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drawings/drawing6.xml" ContentType="application/vnd.openxmlformats-officedocument.drawing+xml"/>
  <Override PartName="/xl/comments7.xml" ContentType="application/vnd.openxmlformats-officedocument.spreadsheetml.comments+xml"/>
  <Override PartName="/xl/drawings/drawing7.xml" ContentType="application/vnd.openxmlformats-officedocument.drawing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55A8D1-46A7-432D-A9B9-2AE72BC3EEB5}" xr6:coauthVersionLast="47" xr6:coauthVersionMax="47" xr10:uidLastSave="{00000000-0000-0000-0000-000000000000}"/>
  <bookViews>
    <workbookView xWindow="-120" yWindow="-120" windowWidth="38640" windowHeight="15720" tabRatio="942" firstSheet="3" activeTab="8"/>
  </bookViews>
  <sheets>
    <sheet name="Explaination about this model" sheetId="39" state="hidden" r:id="rId1"/>
    <sheet name="Org Chart" sheetId="41" state="hidden" r:id="rId2"/>
    <sheet name="Summary" sheetId="38" state="hidden" r:id="rId3"/>
    <sheet name="Assumptions" sheetId="24" r:id="rId4"/>
    <sheet name="Valuation Summary" sheetId="42" r:id="rId5"/>
    <sheet name="Unlev. Consolid" sheetId="9" r:id="rId6"/>
    <sheet name="Lev. Consolid" sheetId="37" r:id="rId7"/>
    <sheet name="Northern Natural DCF" sheetId="35" r:id="rId8"/>
    <sheet name="Transwestern DCF" sheetId="57" r:id="rId9"/>
    <sheet name="NBP DCF" sheetId="58" r:id="rId10"/>
    <sheet name="Citrus DCF" sheetId="59" r:id="rId11"/>
    <sheet name="Trailblazer DCF" sheetId="60" r:id="rId12"/>
    <sheet name="Scenarios" sheetId="46" r:id="rId13"/>
    <sheet name="Debt" sheetId="43" r:id="rId14"/>
    <sheet name="Pipeline Co IS" sheetId="53" state="hidden" r:id="rId15"/>
    <sheet name="Pipeline Co BS" sheetId="51" state="hidden" r:id="rId16"/>
    <sheet name="Pipeline Co CF" sheetId="52" state="hidden" r:id="rId17"/>
    <sheet name="Pipeline Vols" sheetId="44" state="hidden" r:id="rId18"/>
    <sheet name="Curves" sheetId="45" state="hidden" r:id="rId19"/>
    <sheet name="Cons. BS" sheetId="12" state="hidden" r:id="rId20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AACFHDRCOL">[1]JuneYTD!#REF!</definedName>
    <definedName name="AACFHDRROW">[1]JuneYTD!#REF!</definedName>
    <definedName name="AACFWKS">[1]JuneYTD!#REF!</definedName>
    <definedName name="AACFWKS1">[1]JuneYTD!#REF!</definedName>
    <definedName name="AACFWKS2">[1]JuneYTD!#REF!</definedName>
    <definedName name="AAWSSIDEWAYS">[1]JuneYTD!#REF!</definedName>
    <definedName name="ADJUSTMENTS">[1]JuneYTD!#REF!</definedName>
    <definedName name="AgLoop">[2]Agave!$J$50</definedName>
    <definedName name="AgPurPrice">[2]Agave!$K$50</definedName>
    <definedName name="ArkDRate">#REF!</definedName>
    <definedName name="ArkLoop">#REF!</definedName>
    <definedName name="ArkNPVPrice">#REF!</definedName>
    <definedName name="ArkPurPrice">#REF!</definedName>
    <definedName name="ARLoop">'[4]Antelope Ridge'!$J$73</definedName>
    <definedName name="ARPurPrice">'[4]Antelope Ridge'!$K$73</definedName>
    <definedName name="Asset1Drate" localSheetId="9">'NBP DCF'!$L$36</definedName>
    <definedName name="Asset1Drate">#REF!</definedName>
    <definedName name="Asset1NPVPrice">#REF!</definedName>
    <definedName name="Asset1PurPrice">#REF!</definedName>
    <definedName name="Asset2Drate">#REF!</definedName>
    <definedName name="Asset2Loop">#REF!</definedName>
    <definedName name="Asset2NPVPrice">#REF!</definedName>
    <definedName name="Asset2PurPrice">#REF!</definedName>
    <definedName name="Asset3Drate" localSheetId="10">'[7]Pipeline Co'!$L$77</definedName>
    <definedName name="Asset3Drate" localSheetId="14">'Pipeline Co IS'!#REF!</definedName>
    <definedName name="Asset3Drate" localSheetId="11">'Trailblazer DCF'!$M$41</definedName>
    <definedName name="Asset3Drate" localSheetId="8">'Transwestern DCF'!$M$41</definedName>
    <definedName name="Asset3Drate">'Northern Natural DCF'!$M$41</definedName>
    <definedName name="Asset3Loop" localSheetId="14">'Pipeline Co IS'!#REF!</definedName>
    <definedName name="Asset3NPVPrice" localSheetId="14">'Pipeline Co IS'!#REF!</definedName>
    <definedName name="Asset3PurPrice" localSheetId="14">'Pipeline Co IS'!#REF!</definedName>
    <definedName name="Asset4DRate">#REF!</definedName>
    <definedName name="Asset4Loop">#REF!</definedName>
    <definedName name="Asset4NPVPrice">#REF!</definedName>
    <definedName name="Asset4PurPrice">#REF!</definedName>
    <definedName name="ASSETS">[1]JuneYTD!#REF!</definedName>
    <definedName name="AWAACF">[1]JuneYTD!#REF!</definedName>
    <definedName name="AWBALSHT">[1]JuneYTD!#REF!</definedName>
    <definedName name="AWCFWKS">[1]JuneYTD!#REF!</definedName>
    <definedName name="AWGRPCF">[1]JuneYTD!#REF!</definedName>
    <definedName name="AWGRPCF_BRDR">[1]JuneYTD!#REF!</definedName>
    <definedName name="BALSHT">[1]JuneYTD!#REF!</definedName>
    <definedName name="BB">[1]JuneYTD!#REF!</definedName>
    <definedName name="BBK">[1]JuneYTD!#REF!</definedName>
    <definedName name="_BBK1">[1]JuneYTD!#REF!</definedName>
    <definedName name="BBTITLE">[1]JuneYTD!#REF!</definedName>
    <definedName name="BLANK">[1]JuneYTD!#REF!</definedName>
    <definedName name="BLANK1">[1]JuneYTD!#REF!</definedName>
    <definedName name="BORDERC">[1]JuneYTD!#REF!</definedName>
    <definedName name="BORDERC1">[1]JuneYTD!#REF!</definedName>
    <definedName name="BORDERCAAWP">[1]JuneYTD!#REF!</definedName>
    <definedName name="BORDERNONCUR">[1]JuneYTD!#REF!</definedName>
    <definedName name="BORDERR">[1]JuneYTD!#REF!</definedName>
    <definedName name="BORDERR1">[1]JuneYTD!#REF!</definedName>
    <definedName name="BORDERRAAWP">[1]JuneYTD!#REF!</definedName>
    <definedName name="BORDERRWWAP">[1]JuneYTD!#REF!</definedName>
    <definedName name="BS_TitleRow">[1]JuneYTD!#REF!</definedName>
    <definedName name="BSTITLE">[1]JuneYTD!#REF!</definedName>
    <definedName name="BSTITLE1">[1]JuneYTD!#REF!</definedName>
    <definedName name="CASHFLOW">[1]JuneYTD!#REF!</definedName>
    <definedName name="CASHFLOW1">[1]JuneYTD!#REF!</definedName>
    <definedName name="CATEGORY">[1]JuneYTD!#REF!</definedName>
    <definedName name="CATEGORY2">[1]JuneYTD!#REF!</definedName>
    <definedName name="CDRate">'Unlev. Consolid'!$O$116</definedName>
    <definedName name="CF">[1]JuneYTD!#REF!</definedName>
    <definedName name="CF_WKS_TitleRow">[1]JuneYTD!#REF!</definedName>
    <definedName name="CFTITLE">[1]JuneYTD!#REF!</definedName>
    <definedName name="CFTITLE1">[1]JuneYTD!#REF!</definedName>
    <definedName name="CHGNONCUR">[1]JuneYTD!#REF!</definedName>
    <definedName name="CitrusLoop">'Citrus DCF'!$F$60</definedName>
    <definedName name="CitrusNPVPrice">'Citrus DCF'!$L$60</definedName>
    <definedName name="CitrusPurPrice">'Citrus DCF'!$G$60</definedName>
    <definedName name="CLoop">'Unlev. Consolid'!$J$118</definedName>
    <definedName name="CM">[1]JuneYTD!#REF!</definedName>
    <definedName name="CNPVPrice">'Unlev. Consolid'!$O$118</definedName>
    <definedName name="Company">'[5]Print Controls'!$AD$5</definedName>
    <definedName name="ConsDRate">Assumptions!$D$12</definedName>
    <definedName name="CPurPrice">'Unlev. Consolid'!$K$118</definedName>
    <definedName name="CurrentGasPrice" localSheetId="10">'[7]Cons. BS'!#REF!</definedName>
    <definedName name="CurrentGasPrice" localSheetId="9">#REF!</definedName>
    <definedName name="CurrentGasPrice">'Cons. BS'!#REF!</definedName>
    <definedName name="DATE1">[1]JuneYTD!#REF!</definedName>
    <definedName name="DATE2">[1]JuneYTD!#REF!</definedName>
    <definedName name="DATE3">[1]JuneYTD!#REF!</definedName>
    <definedName name="DATE4">[1]JuneYTD!#REF!</definedName>
    <definedName name="DateHeader">'[5]Print Controls'!$AE$13</definedName>
    <definedName name="DATEPRYR">[1]JuneYTD!#REF!</definedName>
    <definedName name="DESC">[1]JuneYTD!#REF!</definedName>
    <definedName name="dollarheader">'[5]P&amp;L'!$B$6</definedName>
    <definedName name="ELoop">[2]Enron!$J$50</definedName>
    <definedName name="EPurPrice">[2]Enron!$K$50</definedName>
    <definedName name="FSDRate">#REF!</definedName>
    <definedName name="FSLoop">#REF!</definedName>
    <definedName name="FSNPVPrice">#REF!</definedName>
    <definedName name="FSPurPrice">#REF!</definedName>
    <definedName name="GROUP">[1]JuneYTD!#REF!</definedName>
    <definedName name="GROUPYTD">[1]JuneYTD!#REF!</definedName>
    <definedName name="GrpPrtRng">[1]JuneYTD!#REF!</definedName>
    <definedName name="GRPTITLE">[1]JuneYTD!#REF!</definedName>
    <definedName name="GRPTITLE1">[1]JuneYTD!#REF!</definedName>
    <definedName name="GRPTITLE2">[1]JuneYTD!#REF!</definedName>
    <definedName name="GrpTitleCol">[1]JuneYTD!#REF!</definedName>
    <definedName name="GWLoop" localSheetId="10">'[7]Cons. BS'!#REF!</definedName>
    <definedName name="GWLoop" localSheetId="9">#REF!</definedName>
    <definedName name="GWLoop">'Cons. BS'!#REF!</definedName>
    <definedName name="HoLoop">[4]Hobbs!$J$73</definedName>
    <definedName name="LIABILITIES">[1]JuneYTD!#REF!</definedName>
    <definedName name="LlLoop">[4]Llano!$J$73</definedName>
    <definedName name="LlPurPrice">[4]Llano!$K$73</definedName>
    <definedName name="MethDRate">#REF!</definedName>
    <definedName name="MethLoop">#REF!</definedName>
    <definedName name="MethNPVPrice">#REF!</definedName>
    <definedName name="MethPurPrice">#REF!</definedName>
    <definedName name="MinneDRate">#REF!</definedName>
    <definedName name="MinneLoop">#REF!</definedName>
    <definedName name="MinneNPVPrice">#REF!</definedName>
    <definedName name="MinneNPVRate">#REF!</definedName>
    <definedName name="MinPurPrice">#REF!</definedName>
    <definedName name="NAME1">[1]JuneYTD!#REF!</definedName>
    <definedName name="NBP_Loop">'NBP DCF'!$F$38</definedName>
    <definedName name="NBP_NPVPrice">'NBP DCF'!$L$38</definedName>
    <definedName name="NBP_PurPrice">'NBP DCF'!$G$38</definedName>
    <definedName name="NN_Loop">'Northern Natural DCF'!$G$43</definedName>
    <definedName name="NN_NPVPrice">'Northern Natural DCF'!$M$43</definedName>
    <definedName name="NN_PurPrice">'Northern Natural DCF'!$H$43</definedName>
    <definedName name="OBLDRate">#REF!</definedName>
    <definedName name="OBLLoop">#REF!</definedName>
    <definedName name="OBLNPVPrice">#REF!</definedName>
    <definedName name="OBLPurPrice">#REF!</definedName>
    <definedName name="OLoop">[2]Orphans!$J$48</definedName>
    <definedName name="OPurPrice">[2]Orphans!$K$48</definedName>
    <definedName name="OTHERBORDER">[1]JuneYTD!#REF!</definedName>
    <definedName name="OTHERNC">[1]JuneYTD!#REF!</definedName>
    <definedName name="OTHERTITLES">[1]JuneYTD!#REF!</definedName>
    <definedName name="OtLoop">[4]Other!$J$73</definedName>
    <definedName name="OtPurPrice">[4]Other!$K$73</definedName>
    <definedName name="_xlnm.Print_Area" localSheetId="3">Assumptions!$A$1:$J$50</definedName>
    <definedName name="_xlnm.Print_Area" localSheetId="10">'Citrus DCF'!$A$1:$R$128</definedName>
    <definedName name="_xlnm.Print_Area" localSheetId="18">Curves!$A$1:$N$51</definedName>
    <definedName name="_xlnm.Print_Area" localSheetId="13">Debt!$A$1:$N$28</definedName>
    <definedName name="_xlnm.Print_Area" localSheetId="6">'Lev. Consolid'!$A$1:$O$40</definedName>
    <definedName name="_xlnm.Print_Area" localSheetId="9">'NBP DCF'!$A$1:$Q$93</definedName>
    <definedName name="_xlnm.Print_Area" localSheetId="7">'Northern Natural DCF'!$A$1:$R$135</definedName>
    <definedName name="_xlnm.Print_Area" localSheetId="14">'Pipeline Co IS'!$A$1:$Q$70</definedName>
    <definedName name="_xlnm.Print_Area" localSheetId="12">Scenarios!$A$1:$M$29</definedName>
    <definedName name="_xlnm.Print_Area" localSheetId="11">'Trailblazer DCF'!$A$1:$R$135</definedName>
    <definedName name="_xlnm.Print_Area" localSheetId="8">'Transwestern DCF'!$A$1:$R$135</definedName>
    <definedName name="_xlnm.Print_Area" localSheetId="5">'Unlev. Consolid'!$A$1:$R$121</definedName>
    <definedName name="Print_Area_MI">[1]JuneYTD!#REF!</definedName>
    <definedName name="Print_Titles_MI">[1]JuneYTD!#REF!,[1]JuneYTD!#REF!</definedName>
    <definedName name="PRIORBB">[1]JuneYTD!#REF!</definedName>
    <definedName name="PRT_RNG_AA">[1]JuneYTD!#REF!</definedName>
    <definedName name="PTDRate">'[3]Power Tex'!$O$71</definedName>
    <definedName name="PTLoop">'[3]Power Tex'!$J$73</definedName>
    <definedName name="PTPurPrice">'[3]Power Tex'!$K$73</definedName>
    <definedName name="REPORT">[1]JuneYTD!#REF!</definedName>
    <definedName name="RTLoop">'[4]Reg Trans (311)'!$J$73</definedName>
    <definedName name="RTPurPrice">'[4]Reg Trans (311)'!$K$73</definedName>
    <definedName name="Salvage_Multiple">Assumptions!$E$22</definedName>
    <definedName name="SRLoop">'[4]Sale Ranch'!$J$73</definedName>
    <definedName name="SRPurPrice">'[4]Sale Ranch'!$K$73</definedName>
    <definedName name="StLoop">[4]Storage!$J$73</definedName>
    <definedName name="StPurPrice">[4]Storage!$K$73</definedName>
    <definedName name="TaxRate">[2]CONSOLIDATED!$B$30</definedName>
    <definedName name="TB_Loop">'Trailblazer DCF'!$G$43</definedName>
    <definedName name="TB_NPVPrice">'Trailblazer DCF'!$M$43</definedName>
    <definedName name="TB_PurPrice">'Trailblazer DCF'!$H$43</definedName>
    <definedName name="Titles_Rptg_Grp_Wks">[1]JuneYTD!#REF!</definedName>
    <definedName name="TW_Loop">'Transwestern DCF'!$G$43</definedName>
    <definedName name="TW_NPV">'Transwestern DCF'!$M$43</definedName>
    <definedName name="TW_NPVPrice">'Transwestern DCF'!$M$43</definedName>
    <definedName name="TW_PurPrice">'Transwestern DCF'!$H$43</definedName>
    <definedName name="UCMLPEquity" localSheetId="10">'[7]Unlev. Consolid'!#REF!</definedName>
    <definedName name="UCMLPEquity" localSheetId="9">'[6]Unlevered Base Case'!#REF!</definedName>
    <definedName name="UCMLPEquity">'Unlev. Consolid'!#REF!</definedName>
    <definedName name="UCMLPLoop" localSheetId="10">'[7]Unlev. Consolid'!#REF!</definedName>
    <definedName name="UCMLPLoop" localSheetId="9">'[6]Unlevered Base Case'!#REF!</definedName>
    <definedName name="UCMLPLoop">'Unlev. Consolid'!#REF!</definedName>
    <definedName name="UCMLPNPV" localSheetId="10">'[7]Unlev. Consolid'!#REF!</definedName>
    <definedName name="UCMLPNPV" localSheetId="9">'[6]Unlevered Base Case'!#REF!</definedName>
    <definedName name="UCMLPNPV">'Unlev. Consolid'!#REF!</definedName>
    <definedName name="YTDBB">[1]JuneYTD!#REF!</definedName>
  </definedNames>
  <calcPr calcId="92512" calcMode="manual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4" l="1"/>
  <c r="D11" i="24"/>
  <c r="E12" i="24"/>
  <c r="D16" i="24"/>
  <c r="D17" i="24"/>
  <c r="D18" i="24"/>
  <c r="B22" i="24"/>
  <c r="F22" i="24"/>
  <c r="H22" i="24"/>
  <c r="B24" i="24"/>
  <c r="E24" i="24"/>
  <c r="F24" i="24"/>
  <c r="H24" i="24"/>
  <c r="B26" i="24"/>
  <c r="D26" i="24"/>
  <c r="E26" i="24"/>
  <c r="F26" i="24"/>
  <c r="H26" i="24"/>
  <c r="B28" i="24"/>
  <c r="E28" i="24"/>
  <c r="F28" i="24"/>
  <c r="H28" i="24"/>
  <c r="E30" i="24"/>
  <c r="F30" i="24"/>
  <c r="H30" i="24"/>
  <c r="D44" i="24"/>
  <c r="G44" i="24"/>
  <c r="G45" i="24"/>
  <c r="D46" i="24"/>
  <c r="G46" i="24"/>
  <c r="A1" i="59"/>
  <c r="G10" i="59"/>
  <c r="D11" i="59"/>
  <c r="E11" i="59"/>
  <c r="F11" i="59"/>
  <c r="G11" i="59"/>
  <c r="H11" i="59"/>
  <c r="I11" i="59"/>
  <c r="J11" i="59"/>
  <c r="K11" i="59"/>
  <c r="L11" i="59"/>
  <c r="M11" i="59"/>
  <c r="N11" i="59"/>
  <c r="O11" i="59"/>
  <c r="P11" i="59"/>
  <c r="Q11" i="59"/>
  <c r="G12" i="59"/>
  <c r="D13" i="59"/>
  <c r="E13" i="59"/>
  <c r="F13" i="59"/>
  <c r="G13" i="59"/>
  <c r="H13" i="59"/>
  <c r="I13" i="59"/>
  <c r="J13" i="59"/>
  <c r="K13" i="59"/>
  <c r="L13" i="59"/>
  <c r="M13" i="59"/>
  <c r="N13" i="59"/>
  <c r="O13" i="59"/>
  <c r="P13" i="59"/>
  <c r="Q13" i="59"/>
  <c r="D15" i="59"/>
  <c r="E15" i="59"/>
  <c r="F15" i="59"/>
  <c r="G15" i="59"/>
  <c r="H15" i="59"/>
  <c r="I15" i="59"/>
  <c r="J15" i="59"/>
  <c r="K15" i="59"/>
  <c r="L15" i="59"/>
  <c r="M15" i="59"/>
  <c r="N15" i="59"/>
  <c r="O15" i="59"/>
  <c r="P15" i="59"/>
  <c r="Q15" i="59"/>
  <c r="D16" i="59"/>
  <c r="E16" i="59"/>
  <c r="F16" i="59"/>
  <c r="G16" i="59"/>
  <c r="H16" i="59"/>
  <c r="I16" i="59"/>
  <c r="J16" i="59"/>
  <c r="K16" i="59"/>
  <c r="L16" i="59"/>
  <c r="M16" i="59"/>
  <c r="N16" i="59"/>
  <c r="O16" i="59"/>
  <c r="P16" i="59"/>
  <c r="Q16" i="59"/>
  <c r="D17" i="59"/>
  <c r="E17" i="59"/>
  <c r="F17" i="59"/>
  <c r="G17" i="59"/>
  <c r="H17" i="59"/>
  <c r="I17" i="59"/>
  <c r="J17" i="59"/>
  <c r="K17" i="59"/>
  <c r="L17" i="59"/>
  <c r="M17" i="59"/>
  <c r="N17" i="59"/>
  <c r="O17" i="59"/>
  <c r="P17" i="59"/>
  <c r="Q17" i="59"/>
  <c r="D19" i="59"/>
  <c r="E19" i="59"/>
  <c r="F19" i="59"/>
  <c r="L19" i="59"/>
  <c r="M19" i="59"/>
  <c r="N19" i="59"/>
  <c r="O19" i="59"/>
  <c r="P19" i="59"/>
  <c r="Q19" i="59"/>
  <c r="D21" i="59"/>
  <c r="E21" i="59"/>
  <c r="F21" i="59"/>
  <c r="G21" i="59"/>
  <c r="H21" i="59"/>
  <c r="I21" i="59"/>
  <c r="J21" i="59"/>
  <c r="K21" i="59"/>
  <c r="L21" i="59"/>
  <c r="M21" i="59"/>
  <c r="N21" i="59"/>
  <c r="O21" i="59"/>
  <c r="P21" i="59"/>
  <c r="Q21" i="59"/>
  <c r="D23" i="59"/>
  <c r="E23" i="59"/>
  <c r="F23" i="59"/>
  <c r="G23" i="59"/>
  <c r="H23" i="59"/>
  <c r="I23" i="59"/>
  <c r="J23" i="59"/>
  <c r="K23" i="59"/>
  <c r="L23" i="59"/>
  <c r="M23" i="59"/>
  <c r="N23" i="59"/>
  <c r="O23" i="59"/>
  <c r="P23" i="59"/>
  <c r="Q23" i="59"/>
  <c r="D26" i="59"/>
  <c r="E26" i="59"/>
  <c r="F26" i="59"/>
  <c r="G26" i="59"/>
  <c r="H26" i="59"/>
  <c r="I26" i="59"/>
  <c r="J26" i="59"/>
  <c r="K26" i="59"/>
  <c r="L26" i="59"/>
  <c r="M26" i="59"/>
  <c r="N26" i="59"/>
  <c r="O26" i="59"/>
  <c r="P26" i="59"/>
  <c r="Q26" i="59"/>
  <c r="D27" i="59"/>
  <c r="E27" i="59"/>
  <c r="F27" i="59"/>
  <c r="G27" i="59"/>
  <c r="H27" i="59"/>
  <c r="I27" i="59"/>
  <c r="J27" i="59"/>
  <c r="K27" i="59"/>
  <c r="L27" i="59"/>
  <c r="M27" i="59"/>
  <c r="N27" i="59"/>
  <c r="O27" i="59"/>
  <c r="P27" i="59"/>
  <c r="Q27" i="59"/>
  <c r="B28" i="59"/>
  <c r="D28" i="59"/>
  <c r="E28" i="59"/>
  <c r="F28" i="59"/>
  <c r="G28" i="59"/>
  <c r="H28" i="59"/>
  <c r="I28" i="59"/>
  <c r="J28" i="59"/>
  <c r="K28" i="59"/>
  <c r="L28" i="59"/>
  <c r="M28" i="59"/>
  <c r="N28" i="59"/>
  <c r="O28" i="59"/>
  <c r="P28" i="59"/>
  <c r="Q28" i="59"/>
  <c r="D30" i="59"/>
  <c r="E30" i="59"/>
  <c r="F30" i="59"/>
  <c r="G30" i="59"/>
  <c r="H30" i="59"/>
  <c r="I30" i="59"/>
  <c r="J30" i="59"/>
  <c r="K30" i="59"/>
  <c r="L30" i="59"/>
  <c r="M30" i="59"/>
  <c r="N30" i="59"/>
  <c r="O30" i="59"/>
  <c r="P30" i="59"/>
  <c r="Q30" i="59"/>
  <c r="D32" i="59"/>
  <c r="E32" i="59"/>
  <c r="F32" i="59"/>
  <c r="G32" i="59"/>
  <c r="H32" i="59"/>
  <c r="I32" i="59"/>
  <c r="J32" i="59"/>
  <c r="K32" i="59"/>
  <c r="L32" i="59"/>
  <c r="M32" i="59"/>
  <c r="N32" i="59"/>
  <c r="O32" i="59"/>
  <c r="P32" i="59"/>
  <c r="Q32" i="59"/>
  <c r="D33" i="59"/>
  <c r="E33" i="59"/>
  <c r="F33" i="59"/>
  <c r="G33" i="59"/>
  <c r="H33" i="59"/>
  <c r="I33" i="59"/>
  <c r="J33" i="59"/>
  <c r="K33" i="59"/>
  <c r="L33" i="59"/>
  <c r="M33" i="59"/>
  <c r="N33" i="59"/>
  <c r="O33" i="59"/>
  <c r="P33" i="59"/>
  <c r="Q33" i="59"/>
  <c r="R33" i="59"/>
  <c r="D35" i="59"/>
  <c r="E35" i="59"/>
  <c r="F35" i="59"/>
  <c r="G35" i="59"/>
  <c r="H35" i="59"/>
  <c r="I35" i="59"/>
  <c r="J35" i="59"/>
  <c r="K35" i="59"/>
  <c r="L35" i="59"/>
  <c r="M35" i="59"/>
  <c r="N35" i="59"/>
  <c r="O35" i="59"/>
  <c r="P35" i="59"/>
  <c r="Q35" i="59"/>
  <c r="R35" i="59"/>
  <c r="B38" i="59"/>
  <c r="I38" i="59"/>
  <c r="J38" i="59"/>
  <c r="K38" i="59"/>
  <c r="G39" i="59"/>
  <c r="H39" i="59"/>
  <c r="I39" i="59"/>
  <c r="J39" i="59"/>
  <c r="K39" i="59"/>
  <c r="B40" i="59"/>
  <c r="B41" i="59"/>
  <c r="B42" i="59"/>
  <c r="B43" i="59"/>
  <c r="G43" i="59"/>
  <c r="H43" i="59"/>
  <c r="I43" i="59"/>
  <c r="J43" i="59"/>
  <c r="K43" i="59"/>
  <c r="G44" i="59"/>
  <c r="H44" i="59"/>
  <c r="I44" i="59"/>
  <c r="J44" i="59"/>
  <c r="K44" i="59"/>
  <c r="A47" i="59"/>
  <c r="B47" i="59"/>
  <c r="C47" i="59"/>
  <c r="D47" i="59"/>
  <c r="E47" i="59"/>
  <c r="G47" i="59"/>
  <c r="H47" i="59"/>
  <c r="I47" i="59"/>
  <c r="J47" i="59"/>
  <c r="K47" i="59"/>
  <c r="A48" i="59"/>
  <c r="G48" i="59"/>
  <c r="H48" i="59"/>
  <c r="I48" i="59"/>
  <c r="J48" i="59"/>
  <c r="K48" i="59"/>
  <c r="A49" i="59"/>
  <c r="B49" i="59"/>
  <c r="A50" i="59"/>
  <c r="B50" i="59"/>
  <c r="A51" i="59"/>
  <c r="B51" i="59"/>
  <c r="A52" i="59"/>
  <c r="B52" i="59"/>
  <c r="C52" i="59"/>
  <c r="G52" i="59"/>
  <c r="H52" i="59"/>
  <c r="I52" i="59"/>
  <c r="J52" i="59"/>
  <c r="K52" i="59"/>
  <c r="A53" i="59"/>
  <c r="G53" i="59"/>
  <c r="H53" i="59"/>
  <c r="I53" i="59"/>
  <c r="J53" i="59"/>
  <c r="K53" i="59"/>
  <c r="H57" i="59"/>
  <c r="L58" i="59"/>
  <c r="M58" i="59"/>
  <c r="F60" i="59"/>
  <c r="H60" i="59"/>
  <c r="K60" i="59"/>
  <c r="L60" i="59"/>
  <c r="M60" i="59"/>
  <c r="A68" i="59"/>
  <c r="B68" i="59"/>
  <c r="D68" i="59"/>
  <c r="E68" i="59"/>
  <c r="F68" i="59"/>
  <c r="G68" i="59"/>
  <c r="H68" i="59"/>
  <c r="I68" i="59"/>
  <c r="J68" i="59"/>
  <c r="K68" i="59"/>
  <c r="L68" i="59"/>
  <c r="M68" i="59"/>
  <c r="N68" i="59"/>
  <c r="O68" i="59"/>
  <c r="P68" i="59"/>
  <c r="Q68" i="59"/>
  <c r="A71" i="59"/>
  <c r="L73" i="59"/>
  <c r="M73" i="59"/>
  <c r="N73" i="59"/>
  <c r="O73" i="59"/>
  <c r="P73" i="59"/>
  <c r="Q73" i="59"/>
  <c r="L74" i="59"/>
  <c r="M74" i="59"/>
  <c r="N74" i="59"/>
  <c r="O74" i="59"/>
  <c r="P74" i="59"/>
  <c r="Q74" i="59"/>
  <c r="D75" i="59"/>
  <c r="E75" i="59"/>
  <c r="F75" i="59"/>
  <c r="G75" i="59"/>
  <c r="H75" i="59"/>
  <c r="I75" i="59"/>
  <c r="J75" i="59"/>
  <c r="K75" i="59"/>
  <c r="L75" i="59"/>
  <c r="M75" i="59"/>
  <c r="N75" i="59"/>
  <c r="O75" i="59"/>
  <c r="P75" i="59"/>
  <c r="Q75" i="59"/>
  <c r="G76" i="59"/>
  <c r="H76" i="59"/>
  <c r="I76" i="59"/>
  <c r="J76" i="59"/>
  <c r="K76" i="59"/>
  <c r="L76" i="59"/>
  <c r="M76" i="59"/>
  <c r="N76" i="59"/>
  <c r="O76" i="59"/>
  <c r="P76" i="59"/>
  <c r="Q76" i="59"/>
  <c r="A79" i="59"/>
  <c r="D79" i="59"/>
  <c r="E79" i="59"/>
  <c r="F79" i="59"/>
  <c r="G79" i="59"/>
  <c r="H79" i="59"/>
  <c r="I79" i="59"/>
  <c r="J79" i="59"/>
  <c r="K79" i="59"/>
  <c r="L79" i="59"/>
  <c r="M79" i="59"/>
  <c r="N79" i="59"/>
  <c r="O79" i="59"/>
  <c r="P79" i="59"/>
  <c r="Q79" i="59"/>
  <c r="I80" i="59"/>
  <c r="J80" i="59"/>
  <c r="K80" i="59"/>
  <c r="L80" i="59"/>
  <c r="M80" i="59"/>
  <c r="N80" i="59"/>
  <c r="O80" i="59"/>
  <c r="P80" i="59"/>
  <c r="Q80" i="59"/>
  <c r="A82" i="59"/>
  <c r="D82" i="59"/>
  <c r="E82" i="59"/>
  <c r="F82" i="59"/>
  <c r="G82" i="59"/>
  <c r="H82" i="59"/>
  <c r="I82" i="59"/>
  <c r="J82" i="59"/>
  <c r="K82" i="59"/>
  <c r="L82" i="59"/>
  <c r="M82" i="59"/>
  <c r="N82" i="59"/>
  <c r="O82" i="59"/>
  <c r="P82" i="59"/>
  <c r="Q82" i="59"/>
  <c r="I83" i="59"/>
  <c r="J83" i="59"/>
  <c r="K83" i="59"/>
  <c r="L83" i="59"/>
  <c r="M83" i="59"/>
  <c r="N83" i="59"/>
  <c r="O83" i="59"/>
  <c r="P83" i="59"/>
  <c r="Q83" i="59"/>
  <c r="A90" i="59"/>
  <c r="B90" i="59"/>
  <c r="D90" i="59"/>
  <c r="E90" i="59"/>
  <c r="F90" i="59"/>
  <c r="G90" i="59"/>
  <c r="H90" i="59"/>
  <c r="I90" i="59"/>
  <c r="J90" i="59"/>
  <c r="K90" i="59"/>
  <c r="L90" i="59"/>
  <c r="M90" i="59"/>
  <c r="N90" i="59"/>
  <c r="O90" i="59"/>
  <c r="P90" i="59"/>
  <c r="Q90" i="59"/>
  <c r="A93" i="59"/>
  <c r="L96" i="59"/>
  <c r="M96" i="59"/>
  <c r="N96" i="59"/>
  <c r="O96" i="59"/>
  <c r="P96" i="59"/>
  <c r="Q96" i="59"/>
  <c r="L97" i="59"/>
  <c r="M97" i="59"/>
  <c r="N97" i="59"/>
  <c r="O97" i="59"/>
  <c r="P97" i="59"/>
  <c r="Q97" i="59"/>
  <c r="L98" i="59"/>
  <c r="M98" i="59"/>
  <c r="N98" i="59"/>
  <c r="O98" i="59"/>
  <c r="P98" i="59"/>
  <c r="Q98" i="59"/>
  <c r="D99" i="59"/>
  <c r="E99" i="59"/>
  <c r="F99" i="59"/>
  <c r="G99" i="59"/>
  <c r="H99" i="59"/>
  <c r="I99" i="59"/>
  <c r="J99" i="59"/>
  <c r="K99" i="59"/>
  <c r="L99" i="59"/>
  <c r="M99" i="59"/>
  <c r="N99" i="59"/>
  <c r="O99" i="59"/>
  <c r="P99" i="59"/>
  <c r="Q99" i="59"/>
  <c r="D100" i="59"/>
  <c r="E100" i="59"/>
  <c r="F100" i="59"/>
  <c r="G100" i="59"/>
  <c r="H100" i="59"/>
  <c r="I100" i="59"/>
  <c r="J100" i="59"/>
  <c r="K100" i="59"/>
  <c r="L100" i="59"/>
  <c r="M100" i="59"/>
  <c r="N100" i="59"/>
  <c r="O100" i="59"/>
  <c r="P100" i="59"/>
  <c r="Q100" i="59"/>
  <c r="A103" i="59"/>
  <c r="D103" i="59"/>
  <c r="E103" i="59"/>
  <c r="F103" i="59"/>
  <c r="G103" i="59"/>
  <c r="H103" i="59"/>
  <c r="I103" i="59"/>
  <c r="J103" i="59"/>
  <c r="K103" i="59"/>
  <c r="L103" i="59"/>
  <c r="M103" i="59"/>
  <c r="N103" i="59"/>
  <c r="O103" i="59"/>
  <c r="P103" i="59"/>
  <c r="Q103" i="59"/>
  <c r="I104" i="59"/>
  <c r="J104" i="59"/>
  <c r="K104" i="59"/>
  <c r="L104" i="59"/>
  <c r="M104" i="59"/>
  <c r="N104" i="59"/>
  <c r="O104" i="59"/>
  <c r="P104" i="59"/>
  <c r="Q104" i="59"/>
  <c r="A106" i="59"/>
  <c r="D106" i="59"/>
  <c r="E106" i="59"/>
  <c r="F106" i="59"/>
  <c r="G106" i="59"/>
  <c r="H106" i="59"/>
  <c r="I106" i="59"/>
  <c r="J106" i="59"/>
  <c r="K106" i="59"/>
  <c r="L106" i="59"/>
  <c r="M106" i="59"/>
  <c r="N106" i="59"/>
  <c r="O106" i="59"/>
  <c r="P106" i="59"/>
  <c r="Q106" i="59"/>
  <c r="I107" i="59"/>
  <c r="J107" i="59"/>
  <c r="K107" i="59"/>
  <c r="L107" i="59"/>
  <c r="M107" i="59"/>
  <c r="N107" i="59"/>
  <c r="O107" i="59"/>
  <c r="P107" i="59"/>
  <c r="Q107" i="59"/>
  <c r="D113" i="59"/>
  <c r="E113" i="59"/>
  <c r="F113" i="59"/>
  <c r="G113" i="59"/>
  <c r="H113" i="59"/>
  <c r="I113" i="59"/>
  <c r="J113" i="59"/>
  <c r="K113" i="59"/>
  <c r="L113" i="59"/>
  <c r="M113" i="59"/>
  <c r="N113" i="59"/>
  <c r="O113" i="59"/>
  <c r="P113" i="59"/>
  <c r="Q113" i="59"/>
  <c r="D114" i="59"/>
  <c r="E114" i="59"/>
  <c r="F114" i="59"/>
  <c r="G114" i="59"/>
  <c r="H114" i="59"/>
  <c r="I114" i="59"/>
  <c r="J114" i="59"/>
  <c r="K114" i="59"/>
  <c r="L114" i="59"/>
  <c r="M114" i="59"/>
  <c r="N114" i="59"/>
  <c r="O114" i="59"/>
  <c r="P114" i="59"/>
  <c r="Q114" i="59"/>
  <c r="G118" i="59"/>
  <c r="H118" i="59"/>
  <c r="I118" i="59"/>
  <c r="J118" i="59"/>
  <c r="K118" i="59"/>
  <c r="L118" i="59"/>
  <c r="M118" i="59"/>
  <c r="N118" i="59"/>
  <c r="O118" i="59"/>
  <c r="P118" i="59"/>
  <c r="Q118" i="59"/>
  <c r="G119" i="59"/>
  <c r="H119" i="59"/>
  <c r="I119" i="59"/>
  <c r="J119" i="59"/>
  <c r="K119" i="59"/>
  <c r="L119" i="59"/>
  <c r="M119" i="59"/>
  <c r="N119" i="59"/>
  <c r="O119" i="59"/>
  <c r="P119" i="59"/>
  <c r="Q119" i="59"/>
  <c r="G120" i="59"/>
  <c r="H120" i="59"/>
  <c r="I120" i="59"/>
  <c r="J120" i="59"/>
  <c r="K120" i="59"/>
  <c r="L120" i="59"/>
  <c r="M120" i="59"/>
  <c r="N120" i="59"/>
  <c r="O120" i="59"/>
  <c r="P120" i="59"/>
  <c r="Q120" i="59"/>
  <c r="G121" i="59"/>
  <c r="H121" i="59"/>
  <c r="I121" i="59"/>
  <c r="J121" i="59"/>
  <c r="K121" i="59"/>
  <c r="L121" i="59"/>
  <c r="M121" i="59"/>
  <c r="N121" i="59"/>
  <c r="O121" i="59"/>
  <c r="P121" i="59"/>
  <c r="Q121" i="59"/>
  <c r="J123" i="59"/>
  <c r="L123" i="59"/>
  <c r="M123" i="59"/>
  <c r="N123" i="59"/>
  <c r="P123" i="59"/>
  <c r="Q123" i="59"/>
  <c r="G125" i="59"/>
  <c r="H125" i="59"/>
  <c r="I125" i="59"/>
  <c r="J125" i="59"/>
  <c r="K125" i="59"/>
  <c r="L125" i="59"/>
  <c r="M125" i="59"/>
  <c r="N125" i="59"/>
  <c r="O125" i="59"/>
  <c r="P125" i="59"/>
  <c r="Q125" i="59"/>
  <c r="G126" i="59"/>
  <c r="H126" i="59"/>
  <c r="I126" i="59"/>
  <c r="J126" i="59"/>
  <c r="K126" i="59"/>
  <c r="L126" i="59"/>
  <c r="M126" i="59"/>
  <c r="N126" i="59"/>
  <c r="O126" i="59"/>
  <c r="P126" i="59"/>
  <c r="Q126" i="59"/>
  <c r="G127" i="59"/>
  <c r="H127" i="59"/>
  <c r="I127" i="59"/>
  <c r="J127" i="59"/>
  <c r="K127" i="59"/>
  <c r="L127" i="59"/>
  <c r="M127" i="59"/>
  <c r="N127" i="59"/>
  <c r="O127" i="59"/>
  <c r="P127" i="59"/>
  <c r="Q127" i="59"/>
  <c r="G128" i="59"/>
  <c r="H128" i="59"/>
  <c r="I128" i="59"/>
  <c r="J128" i="59"/>
  <c r="K128" i="59"/>
  <c r="L128" i="59"/>
  <c r="M128" i="59"/>
  <c r="N128" i="59"/>
  <c r="O128" i="59"/>
  <c r="P128" i="59"/>
  <c r="Q128" i="59"/>
  <c r="G131" i="59"/>
  <c r="H131" i="59"/>
  <c r="I131" i="59"/>
  <c r="J131" i="59"/>
  <c r="K131" i="59"/>
  <c r="L131" i="59"/>
  <c r="M131" i="59"/>
  <c r="N131" i="59"/>
  <c r="O131" i="59"/>
  <c r="P131" i="59"/>
  <c r="Q131" i="59"/>
  <c r="H132" i="59"/>
  <c r="I132" i="59"/>
  <c r="J132" i="59"/>
  <c r="K132" i="59"/>
  <c r="L132" i="59"/>
  <c r="M132" i="59"/>
  <c r="N132" i="59"/>
  <c r="O132" i="59"/>
  <c r="P132" i="59"/>
  <c r="Q132" i="59"/>
  <c r="I133" i="59"/>
  <c r="J133" i="59"/>
  <c r="K133" i="59"/>
  <c r="L133" i="59"/>
  <c r="M133" i="59"/>
  <c r="N133" i="59"/>
  <c r="O133" i="59"/>
  <c r="P133" i="59"/>
  <c r="Q133" i="59"/>
  <c r="J134" i="59"/>
  <c r="K134" i="59"/>
  <c r="L134" i="59"/>
  <c r="M134" i="59"/>
  <c r="N134" i="59"/>
  <c r="O134" i="59"/>
  <c r="P134" i="59"/>
  <c r="Q134" i="59"/>
  <c r="K135" i="59"/>
  <c r="L135" i="59"/>
  <c r="M135" i="59"/>
  <c r="N135" i="59"/>
  <c r="O135" i="59"/>
  <c r="P135" i="59"/>
  <c r="Q135" i="59"/>
  <c r="L136" i="59"/>
  <c r="M136" i="59"/>
  <c r="N136" i="59"/>
  <c r="O136" i="59"/>
  <c r="P136" i="59"/>
  <c r="Q136" i="59"/>
  <c r="M137" i="59"/>
  <c r="N137" i="59"/>
  <c r="O137" i="59"/>
  <c r="P137" i="59"/>
  <c r="Q137" i="59"/>
  <c r="N138" i="59"/>
  <c r="O138" i="59"/>
  <c r="P138" i="59"/>
  <c r="Q138" i="59"/>
  <c r="O139" i="59"/>
  <c r="P139" i="59"/>
  <c r="Q139" i="59"/>
  <c r="P140" i="59"/>
  <c r="Q140" i="59"/>
  <c r="Q141" i="59"/>
  <c r="G142" i="59"/>
  <c r="H142" i="59"/>
  <c r="I142" i="59"/>
  <c r="J142" i="59"/>
  <c r="K142" i="59"/>
  <c r="L142" i="59"/>
  <c r="M142" i="59"/>
  <c r="N142" i="59"/>
  <c r="O142" i="59"/>
  <c r="P142" i="59"/>
  <c r="Q142" i="59"/>
  <c r="G144" i="59"/>
  <c r="H144" i="59"/>
  <c r="I144" i="59"/>
  <c r="J144" i="59"/>
  <c r="K144" i="59"/>
  <c r="L144" i="59"/>
  <c r="M144" i="59"/>
  <c r="N144" i="59"/>
  <c r="O144" i="59"/>
  <c r="P144" i="59"/>
  <c r="Q144" i="59"/>
  <c r="H145" i="59"/>
  <c r="I145" i="59"/>
  <c r="J145" i="59"/>
  <c r="K145" i="59"/>
  <c r="L145" i="59"/>
  <c r="M145" i="59"/>
  <c r="N145" i="59"/>
  <c r="O145" i="59"/>
  <c r="P145" i="59"/>
  <c r="Q145" i="59"/>
  <c r="I146" i="59"/>
  <c r="J146" i="59"/>
  <c r="K146" i="59"/>
  <c r="L146" i="59"/>
  <c r="M146" i="59"/>
  <c r="N146" i="59"/>
  <c r="O146" i="59"/>
  <c r="P146" i="59"/>
  <c r="Q146" i="59"/>
  <c r="J147" i="59"/>
  <c r="K147" i="59"/>
  <c r="L147" i="59"/>
  <c r="M147" i="59"/>
  <c r="N147" i="59"/>
  <c r="O147" i="59"/>
  <c r="P147" i="59"/>
  <c r="Q147" i="59"/>
  <c r="K148" i="59"/>
  <c r="L148" i="59"/>
  <c r="M148" i="59"/>
  <c r="N148" i="59"/>
  <c r="O148" i="59"/>
  <c r="P148" i="59"/>
  <c r="Q148" i="59"/>
  <c r="L149" i="59"/>
  <c r="M149" i="59"/>
  <c r="N149" i="59"/>
  <c r="O149" i="59"/>
  <c r="P149" i="59"/>
  <c r="Q149" i="59"/>
  <c r="M150" i="59"/>
  <c r="N150" i="59"/>
  <c r="O150" i="59"/>
  <c r="P150" i="59"/>
  <c r="Q150" i="59"/>
  <c r="N151" i="59"/>
  <c r="O151" i="59"/>
  <c r="P151" i="59"/>
  <c r="Q151" i="59"/>
  <c r="O152" i="59"/>
  <c r="P152" i="59"/>
  <c r="Q152" i="59"/>
  <c r="P153" i="59"/>
  <c r="Q153" i="59"/>
  <c r="Q154" i="59"/>
  <c r="G155" i="59"/>
  <c r="H155" i="59"/>
  <c r="I155" i="59"/>
  <c r="J155" i="59"/>
  <c r="K155" i="59"/>
  <c r="L155" i="59"/>
  <c r="M155" i="59"/>
  <c r="N155" i="59"/>
  <c r="O155" i="59"/>
  <c r="P155" i="59"/>
  <c r="Q155" i="59"/>
  <c r="A1" i="12"/>
  <c r="D9" i="12"/>
  <c r="D10" i="12"/>
  <c r="D11" i="12"/>
  <c r="D12" i="12"/>
  <c r="D13" i="12"/>
  <c r="D14" i="12"/>
  <c r="D15" i="12"/>
  <c r="B16" i="12"/>
  <c r="C16" i="12"/>
  <c r="D16" i="12"/>
  <c r="D18" i="12"/>
  <c r="D19" i="12"/>
  <c r="B20" i="12"/>
  <c r="C20" i="12"/>
  <c r="D20" i="12"/>
  <c r="D21" i="12"/>
  <c r="B23" i="12"/>
  <c r="C23" i="12"/>
  <c r="D23" i="12"/>
  <c r="D28" i="12"/>
  <c r="D29" i="12"/>
  <c r="D30" i="12"/>
  <c r="D31" i="12"/>
  <c r="D32" i="12"/>
  <c r="D33" i="12"/>
  <c r="B34" i="12"/>
  <c r="C34" i="12"/>
  <c r="D34" i="12"/>
  <c r="C36" i="12"/>
  <c r="D36" i="12"/>
  <c r="D37" i="12"/>
  <c r="B38" i="12"/>
  <c r="C38" i="12"/>
  <c r="D38" i="12"/>
  <c r="D40" i="12"/>
  <c r="D41" i="12"/>
  <c r="D42" i="12"/>
  <c r="B43" i="12"/>
  <c r="C43" i="12"/>
  <c r="D43" i="12"/>
  <c r="B45" i="12"/>
  <c r="C45" i="12"/>
  <c r="D45" i="12"/>
  <c r="B46" i="12"/>
  <c r="C46" i="12"/>
  <c r="D46" i="12"/>
  <c r="A1" i="45"/>
  <c r="A1" i="43"/>
  <c r="E7" i="43"/>
  <c r="F7" i="43"/>
  <c r="G7" i="43"/>
  <c r="H7" i="43"/>
  <c r="I7" i="43"/>
  <c r="J7" i="43"/>
  <c r="E8" i="43"/>
  <c r="F8" i="43"/>
  <c r="G8" i="43"/>
  <c r="H8" i="43"/>
  <c r="I8" i="43"/>
  <c r="J8" i="43"/>
  <c r="E9" i="43"/>
  <c r="F9" i="43"/>
  <c r="G9" i="43"/>
  <c r="H9" i="43"/>
  <c r="I9" i="43"/>
  <c r="J9" i="43"/>
  <c r="G10" i="43"/>
  <c r="H10" i="43"/>
  <c r="I10" i="43"/>
  <c r="J10" i="43"/>
  <c r="E11" i="43"/>
  <c r="F11" i="43"/>
  <c r="A16" i="43"/>
  <c r="F17" i="43"/>
  <c r="G17" i="43"/>
  <c r="H17" i="43"/>
  <c r="I17" i="43"/>
  <c r="J17" i="43"/>
  <c r="F18" i="43"/>
  <c r="G18" i="43"/>
  <c r="H18" i="43"/>
  <c r="I18" i="43"/>
  <c r="J18" i="43"/>
  <c r="F19" i="43"/>
  <c r="G19" i="43"/>
  <c r="H19" i="43"/>
  <c r="I19" i="43"/>
  <c r="J19" i="43"/>
  <c r="E20" i="43"/>
  <c r="F20" i="43"/>
  <c r="G20" i="43"/>
  <c r="H20" i="43"/>
  <c r="I20" i="43"/>
  <c r="J20" i="43"/>
  <c r="F21" i="43"/>
  <c r="G21" i="43"/>
  <c r="H21" i="43"/>
  <c r="I21" i="43"/>
  <c r="J21" i="43"/>
  <c r="A23" i="43"/>
  <c r="E24" i="43"/>
  <c r="F24" i="43"/>
  <c r="G24" i="43"/>
  <c r="H24" i="43"/>
  <c r="I24" i="43"/>
  <c r="J24" i="43"/>
  <c r="K24" i="43"/>
  <c r="L24" i="43"/>
  <c r="M24" i="43"/>
  <c r="N24" i="43"/>
  <c r="E25" i="43"/>
  <c r="F25" i="43"/>
  <c r="G25" i="43"/>
  <c r="H25" i="43"/>
  <c r="I25" i="43"/>
  <c r="J25" i="43"/>
  <c r="K25" i="43"/>
  <c r="L25" i="43"/>
  <c r="M25" i="43"/>
  <c r="N25" i="43"/>
  <c r="E27" i="43"/>
  <c r="F27" i="43"/>
  <c r="G27" i="43"/>
  <c r="H27" i="43"/>
  <c r="I27" i="43"/>
  <c r="J27" i="43"/>
  <c r="K27" i="43"/>
  <c r="L27" i="43"/>
  <c r="M27" i="43"/>
  <c r="N27" i="43"/>
  <c r="E28" i="43"/>
  <c r="F28" i="43"/>
  <c r="G28" i="43"/>
  <c r="H28" i="43"/>
  <c r="I28" i="43"/>
  <c r="J28" i="43"/>
  <c r="K28" i="43"/>
  <c r="L28" i="43"/>
  <c r="M28" i="43"/>
  <c r="N28" i="43"/>
  <c r="A30" i="43"/>
  <c r="E31" i="43"/>
  <c r="F31" i="43"/>
  <c r="G31" i="43"/>
  <c r="H31" i="43"/>
  <c r="I31" i="43"/>
  <c r="J31" i="43"/>
  <c r="K31" i="43"/>
  <c r="L31" i="43"/>
  <c r="M31" i="43"/>
  <c r="N31" i="43"/>
  <c r="E32" i="43"/>
  <c r="F32" i="43"/>
  <c r="G32" i="43"/>
  <c r="H32" i="43"/>
  <c r="I32" i="43"/>
  <c r="J32" i="43"/>
  <c r="K32" i="43"/>
  <c r="L32" i="43"/>
  <c r="M32" i="43"/>
  <c r="N32" i="43"/>
  <c r="E34" i="43"/>
  <c r="F34" i="43"/>
  <c r="G34" i="43"/>
  <c r="H34" i="43"/>
  <c r="I34" i="43"/>
  <c r="J34" i="43"/>
  <c r="K34" i="43"/>
  <c r="L34" i="43"/>
  <c r="M34" i="43"/>
  <c r="N34" i="43"/>
  <c r="E35" i="43"/>
  <c r="F35" i="43"/>
  <c r="G35" i="43"/>
  <c r="H35" i="43"/>
  <c r="I35" i="43"/>
  <c r="J35" i="43"/>
  <c r="K35" i="43"/>
  <c r="L35" i="43"/>
  <c r="M35" i="43"/>
  <c r="N35" i="43"/>
  <c r="A37" i="43"/>
  <c r="E38" i="43"/>
  <c r="F38" i="43"/>
  <c r="G38" i="43"/>
  <c r="H38" i="43"/>
  <c r="I38" i="43"/>
  <c r="J38" i="43"/>
  <c r="K38" i="43"/>
  <c r="L38" i="43"/>
  <c r="M38" i="43"/>
  <c r="N38" i="43"/>
  <c r="E39" i="43"/>
  <c r="F39" i="43"/>
  <c r="G39" i="43"/>
  <c r="H39" i="43"/>
  <c r="I39" i="43"/>
  <c r="J39" i="43"/>
  <c r="K39" i="43"/>
  <c r="L39" i="43"/>
  <c r="M39" i="43"/>
  <c r="N39" i="43"/>
  <c r="E41" i="43"/>
  <c r="F41" i="43"/>
  <c r="G41" i="43"/>
  <c r="H41" i="43"/>
  <c r="I41" i="43"/>
  <c r="J41" i="43"/>
  <c r="K41" i="43"/>
  <c r="L41" i="43"/>
  <c r="M41" i="43"/>
  <c r="N41" i="43"/>
  <c r="E42" i="43"/>
  <c r="F42" i="43"/>
  <c r="G42" i="43"/>
  <c r="H42" i="43"/>
  <c r="I42" i="43"/>
  <c r="J42" i="43"/>
  <c r="K42" i="43"/>
  <c r="L42" i="43"/>
  <c r="M42" i="43"/>
  <c r="N42" i="43"/>
  <c r="F45" i="43"/>
  <c r="G45" i="43"/>
  <c r="H45" i="43"/>
  <c r="I45" i="43"/>
  <c r="J45" i="43"/>
  <c r="K45" i="43"/>
  <c r="L45" i="43"/>
  <c r="M45" i="43"/>
  <c r="N45" i="43"/>
  <c r="F46" i="43"/>
  <c r="G46" i="43"/>
  <c r="H46" i="43"/>
  <c r="I46" i="43"/>
  <c r="J46" i="43"/>
  <c r="F47" i="43"/>
  <c r="G47" i="43"/>
  <c r="H47" i="43"/>
  <c r="I47" i="43"/>
  <c r="J47" i="43"/>
  <c r="E48" i="43"/>
  <c r="F48" i="43"/>
  <c r="G48" i="43"/>
  <c r="H48" i="43"/>
  <c r="I48" i="43"/>
  <c r="J48" i="43"/>
  <c r="A49" i="43"/>
  <c r="F49" i="43"/>
  <c r="G49" i="43"/>
  <c r="H49" i="43"/>
  <c r="I49" i="43"/>
  <c r="J49" i="43"/>
  <c r="A50" i="43"/>
  <c r="F50" i="43"/>
  <c r="G50" i="43"/>
  <c r="H50" i="43"/>
  <c r="I50" i="43"/>
  <c r="J50" i="43"/>
  <c r="A51" i="43"/>
  <c r="F51" i="43"/>
  <c r="G51" i="43"/>
  <c r="H51" i="43"/>
  <c r="I51" i="43"/>
  <c r="J51" i="43"/>
  <c r="A59" i="43"/>
  <c r="E59" i="43"/>
  <c r="F59" i="43"/>
  <c r="G59" i="43"/>
  <c r="H59" i="43"/>
  <c r="I59" i="43"/>
  <c r="J59" i="43"/>
  <c r="K59" i="43"/>
  <c r="L59" i="43"/>
  <c r="M59" i="43"/>
  <c r="N59" i="43"/>
  <c r="A60" i="43"/>
  <c r="E60" i="43"/>
  <c r="F60" i="43"/>
  <c r="G60" i="43"/>
  <c r="H60" i="43"/>
  <c r="I60" i="43"/>
  <c r="J60" i="43"/>
  <c r="K60" i="43"/>
  <c r="L60" i="43"/>
  <c r="M60" i="43"/>
  <c r="N60" i="43"/>
  <c r="A61" i="43"/>
  <c r="E61" i="43"/>
  <c r="F61" i="43"/>
  <c r="G61" i="43"/>
  <c r="H61" i="43"/>
  <c r="I61" i="43"/>
  <c r="J61" i="43"/>
  <c r="K61" i="43"/>
  <c r="L61" i="43"/>
  <c r="M61" i="43"/>
  <c r="N61" i="43"/>
  <c r="A66" i="43"/>
  <c r="E67" i="43"/>
  <c r="F67" i="43"/>
  <c r="G67" i="43"/>
  <c r="H67" i="43"/>
  <c r="I67" i="43"/>
  <c r="J67" i="43"/>
  <c r="K67" i="43"/>
  <c r="L67" i="43"/>
  <c r="M67" i="43"/>
  <c r="N67" i="43"/>
  <c r="E68" i="43"/>
  <c r="F68" i="43"/>
  <c r="G68" i="43"/>
  <c r="H68" i="43"/>
  <c r="I68" i="43"/>
  <c r="J68" i="43"/>
  <c r="K68" i="43"/>
  <c r="L68" i="43"/>
  <c r="M68" i="43"/>
  <c r="N68" i="43"/>
  <c r="E69" i="43"/>
  <c r="F69" i="43"/>
  <c r="G69" i="43"/>
  <c r="H69" i="43"/>
  <c r="I69" i="43"/>
  <c r="J69" i="43"/>
  <c r="K69" i="43"/>
  <c r="L69" i="43"/>
  <c r="M69" i="43"/>
  <c r="N69" i="43"/>
  <c r="A70" i="43"/>
  <c r="E71" i="43"/>
  <c r="F71" i="43"/>
  <c r="G71" i="43"/>
  <c r="H71" i="43"/>
  <c r="I71" i="43"/>
  <c r="J71" i="43"/>
  <c r="K71" i="43"/>
  <c r="L71" i="43"/>
  <c r="M71" i="43"/>
  <c r="N71" i="43"/>
  <c r="E72" i="43"/>
  <c r="F72" i="43"/>
  <c r="G72" i="43"/>
  <c r="H72" i="43"/>
  <c r="I72" i="43"/>
  <c r="J72" i="43"/>
  <c r="K72" i="43"/>
  <c r="L72" i="43"/>
  <c r="M72" i="43"/>
  <c r="N72" i="43"/>
  <c r="E73" i="43"/>
  <c r="F73" i="43"/>
  <c r="G73" i="43"/>
  <c r="H73" i="43"/>
  <c r="I73" i="43"/>
  <c r="J73" i="43"/>
  <c r="K73" i="43"/>
  <c r="L73" i="43"/>
  <c r="M73" i="43"/>
  <c r="N73" i="43"/>
  <c r="A74" i="43"/>
  <c r="E75" i="43"/>
  <c r="F75" i="43"/>
  <c r="G75" i="43"/>
  <c r="H75" i="43"/>
  <c r="I75" i="43"/>
  <c r="J75" i="43"/>
  <c r="K75" i="43"/>
  <c r="L75" i="43"/>
  <c r="M75" i="43"/>
  <c r="N75" i="43"/>
  <c r="E76" i="43"/>
  <c r="F76" i="43"/>
  <c r="G76" i="43"/>
  <c r="H76" i="43"/>
  <c r="I76" i="43"/>
  <c r="J76" i="43"/>
  <c r="K76" i="43"/>
  <c r="L76" i="43"/>
  <c r="M76" i="43"/>
  <c r="N76" i="43"/>
  <c r="E77" i="43"/>
  <c r="F77" i="43"/>
  <c r="G77" i="43"/>
  <c r="H77" i="43"/>
  <c r="I77" i="43"/>
  <c r="J77" i="43"/>
  <c r="K77" i="43"/>
  <c r="L77" i="43"/>
  <c r="M77" i="43"/>
  <c r="N77" i="43"/>
  <c r="A82" i="43"/>
  <c r="E83" i="43"/>
  <c r="F83" i="43"/>
  <c r="G83" i="43"/>
  <c r="H83" i="43"/>
  <c r="I83" i="43"/>
  <c r="J83" i="43"/>
  <c r="K83" i="43"/>
  <c r="L83" i="43"/>
  <c r="M83" i="43"/>
  <c r="N83" i="43"/>
  <c r="E84" i="43"/>
  <c r="F84" i="43"/>
  <c r="G84" i="43"/>
  <c r="H84" i="43"/>
  <c r="I84" i="43"/>
  <c r="J84" i="43"/>
  <c r="K84" i="43"/>
  <c r="L84" i="43"/>
  <c r="M84" i="43"/>
  <c r="N84" i="43"/>
  <c r="E85" i="43"/>
  <c r="F85" i="43"/>
  <c r="G85" i="43"/>
  <c r="H85" i="43"/>
  <c r="I85" i="43"/>
  <c r="J85" i="43"/>
  <c r="K85" i="43"/>
  <c r="L85" i="43"/>
  <c r="M85" i="43"/>
  <c r="N85" i="43"/>
  <c r="E86" i="43"/>
  <c r="F86" i="43"/>
  <c r="G86" i="43"/>
  <c r="H86" i="43"/>
  <c r="I86" i="43"/>
  <c r="J86" i="43"/>
  <c r="K86" i="43"/>
  <c r="L86" i="43"/>
  <c r="M86" i="43"/>
  <c r="N86" i="43"/>
  <c r="A87" i="43"/>
  <c r="E88" i="43"/>
  <c r="F88" i="43"/>
  <c r="G88" i="43"/>
  <c r="H88" i="43"/>
  <c r="I88" i="43"/>
  <c r="J88" i="43"/>
  <c r="K88" i="43"/>
  <c r="L88" i="43"/>
  <c r="M88" i="43"/>
  <c r="N88" i="43"/>
  <c r="E89" i="43"/>
  <c r="F89" i="43"/>
  <c r="G89" i="43"/>
  <c r="H89" i="43"/>
  <c r="I89" i="43"/>
  <c r="J89" i="43"/>
  <c r="K89" i="43"/>
  <c r="L89" i="43"/>
  <c r="M89" i="43"/>
  <c r="N89" i="43"/>
  <c r="E90" i="43"/>
  <c r="F90" i="43"/>
  <c r="G90" i="43"/>
  <c r="H90" i="43"/>
  <c r="I90" i="43"/>
  <c r="J90" i="43"/>
  <c r="K90" i="43"/>
  <c r="L90" i="43"/>
  <c r="M90" i="43"/>
  <c r="N90" i="43"/>
  <c r="E91" i="43"/>
  <c r="F91" i="43"/>
  <c r="G91" i="43"/>
  <c r="H91" i="43"/>
  <c r="I91" i="43"/>
  <c r="J91" i="43"/>
  <c r="K91" i="43"/>
  <c r="L91" i="43"/>
  <c r="M91" i="43"/>
  <c r="N91" i="43"/>
  <c r="E93" i="43"/>
  <c r="F93" i="43"/>
  <c r="G93" i="43"/>
  <c r="H93" i="43"/>
  <c r="I93" i="43"/>
  <c r="J93" i="43"/>
  <c r="K93" i="43"/>
  <c r="L93" i="43"/>
  <c r="M93" i="43"/>
  <c r="N93" i="43"/>
  <c r="E94" i="43"/>
  <c r="F94" i="43"/>
  <c r="G94" i="43"/>
  <c r="H94" i="43"/>
  <c r="I94" i="43"/>
  <c r="J94" i="43"/>
  <c r="K94" i="43"/>
  <c r="L94" i="43"/>
  <c r="M94" i="43"/>
  <c r="N94" i="43"/>
  <c r="E95" i="43"/>
  <c r="F95" i="43"/>
  <c r="G95" i="43"/>
  <c r="H95" i="43"/>
  <c r="I95" i="43"/>
  <c r="J95" i="43"/>
  <c r="K95" i="43"/>
  <c r="L95" i="43"/>
  <c r="M95" i="43"/>
  <c r="N95" i="43"/>
  <c r="E96" i="43"/>
  <c r="F96" i="43"/>
  <c r="G96" i="43"/>
  <c r="H96" i="43"/>
  <c r="I96" i="43"/>
  <c r="J96" i="43"/>
  <c r="K96" i="43"/>
  <c r="L96" i="43"/>
  <c r="M96" i="43"/>
  <c r="N96" i="43"/>
  <c r="A1" i="37"/>
  <c r="C5" i="37"/>
  <c r="D5" i="37"/>
  <c r="F6" i="37"/>
  <c r="G6" i="37"/>
  <c r="H6" i="37"/>
  <c r="C7" i="37"/>
  <c r="F7" i="37"/>
  <c r="G7" i="37"/>
  <c r="H7" i="37"/>
  <c r="B8" i="37"/>
  <c r="C8" i="37"/>
  <c r="G8" i="37"/>
  <c r="B9" i="37"/>
  <c r="C9" i="37"/>
  <c r="E15" i="37"/>
  <c r="F15" i="37"/>
  <c r="G15" i="37"/>
  <c r="H15" i="37"/>
  <c r="I15" i="37"/>
  <c r="J15" i="37"/>
  <c r="K15" i="37"/>
  <c r="L15" i="37"/>
  <c r="M15" i="37"/>
  <c r="N15" i="37"/>
  <c r="E16" i="37"/>
  <c r="F16" i="37"/>
  <c r="G16" i="37"/>
  <c r="H16" i="37"/>
  <c r="I16" i="37"/>
  <c r="J16" i="37"/>
  <c r="K16" i="37"/>
  <c r="L16" i="37"/>
  <c r="M16" i="37"/>
  <c r="N16" i="37"/>
  <c r="E17" i="37"/>
  <c r="F17" i="37"/>
  <c r="G17" i="37"/>
  <c r="H17" i="37"/>
  <c r="I17" i="37"/>
  <c r="J17" i="37"/>
  <c r="K17" i="37"/>
  <c r="L17" i="37"/>
  <c r="M17" i="37"/>
  <c r="N17" i="37"/>
  <c r="E18" i="37"/>
  <c r="F18" i="37"/>
  <c r="G18" i="37"/>
  <c r="H18" i="37"/>
  <c r="I18" i="37"/>
  <c r="J18" i="37"/>
  <c r="K18" i="37"/>
  <c r="L18" i="37"/>
  <c r="M18" i="37"/>
  <c r="N18" i="37"/>
  <c r="B19" i="37"/>
  <c r="E19" i="37"/>
  <c r="F19" i="37"/>
  <c r="G19" i="37"/>
  <c r="H19" i="37"/>
  <c r="I19" i="37"/>
  <c r="J19" i="37"/>
  <c r="K19" i="37"/>
  <c r="L19" i="37"/>
  <c r="M19" i="37"/>
  <c r="N19" i="37"/>
  <c r="E20" i="37"/>
  <c r="F20" i="37"/>
  <c r="G20" i="37"/>
  <c r="H20" i="37"/>
  <c r="I20" i="37"/>
  <c r="J20" i="37"/>
  <c r="K20" i="37"/>
  <c r="L20" i="37"/>
  <c r="M20" i="37"/>
  <c r="N20" i="37"/>
  <c r="E21" i="37"/>
  <c r="F21" i="37"/>
  <c r="G21" i="37"/>
  <c r="H21" i="37"/>
  <c r="I21" i="37"/>
  <c r="J21" i="37"/>
  <c r="K21" i="37"/>
  <c r="L21" i="37"/>
  <c r="M21" i="37"/>
  <c r="N21" i="37"/>
  <c r="E22" i="37"/>
  <c r="F22" i="37"/>
  <c r="G22" i="37"/>
  <c r="H22" i="37"/>
  <c r="I22" i="37"/>
  <c r="J22" i="37"/>
  <c r="K22" i="37"/>
  <c r="L22" i="37"/>
  <c r="M22" i="37"/>
  <c r="N22" i="37"/>
  <c r="B23" i="37"/>
  <c r="E23" i="37"/>
  <c r="F23" i="37"/>
  <c r="G23" i="37"/>
  <c r="H23" i="37"/>
  <c r="I23" i="37"/>
  <c r="J23" i="37"/>
  <c r="K23" i="37"/>
  <c r="L23" i="37"/>
  <c r="M23" i="37"/>
  <c r="N23" i="37"/>
  <c r="E24" i="37"/>
  <c r="F24" i="37"/>
  <c r="G24" i="37"/>
  <c r="H24" i="37"/>
  <c r="I24" i="37"/>
  <c r="J24" i="37"/>
  <c r="K24" i="37"/>
  <c r="L24" i="37"/>
  <c r="M24" i="37"/>
  <c r="N24" i="37"/>
  <c r="B25" i="37"/>
  <c r="E25" i="37"/>
  <c r="F25" i="37"/>
  <c r="G25" i="37"/>
  <c r="H25" i="37"/>
  <c r="I25" i="37"/>
  <c r="J25" i="37"/>
  <c r="K25" i="37"/>
  <c r="L25" i="37"/>
  <c r="M25" i="37"/>
  <c r="N25" i="37"/>
  <c r="B26" i="37"/>
  <c r="E26" i="37"/>
  <c r="F26" i="37"/>
  <c r="G26" i="37"/>
  <c r="H26" i="37"/>
  <c r="I26" i="37"/>
  <c r="J26" i="37"/>
  <c r="K26" i="37"/>
  <c r="L26" i="37"/>
  <c r="M26" i="37"/>
  <c r="N26" i="37"/>
  <c r="E28" i="37"/>
  <c r="F28" i="37"/>
  <c r="G28" i="37"/>
  <c r="H28" i="37"/>
  <c r="I28" i="37"/>
  <c r="J28" i="37"/>
  <c r="K28" i="37"/>
  <c r="L28" i="37"/>
  <c r="M28" i="37"/>
  <c r="N28" i="37"/>
  <c r="E29" i="37"/>
  <c r="F29" i="37"/>
  <c r="G29" i="37"/>
  <c r="H29" i="37"/>
  <c r="I29" i="37"/>
  <c r="J29" i="37"/>
  <c r="K29" i="37"/>
  <c r="L29" i="37"/>
  <c r="M29" i="37"/>
  <c r="N29" i="37"/>
  <c r="O29" i="37"/>
  <c r="E30" i="37"/>
  <c r="F30" i="37"/>
  <c r="G30" i="37"/>
  <c r="H30" i="37"/>
  <c r="I30" i="37"/>
  <c r="J30" i="37"/>
  <c r="K30" i="37"/>
  <c r="L30" i="37"/>
  <c r="M30" i="37"/>
  <c r="N30" i="37"/>
  <c r="E31" i="37"/>
  <c r="F31" i="37"/>
  <c r="G31" i="37"/>
  <c r="H31" i="37"/>
  <c r="I31" i="37"/>
  <c r="J31" i="37"/>
  <c r="K31" i="37"/>
  <c r="L31" i="37"/>
  <c r="M31" i="37"/>
  <c r="N31" i="37"/>
  <c r="O31" i="37"/>
  <c r="E32" i="37"/>
  <c r="F32" i="37"/>
  <c r="G32" i="37"/>
  <c r="H32" i="37"/>
  <c r="I32" i="37"/>
  <c r="J32" i="37"/>
  <c r="K32" i="37"/>
  <c r="L32" i="37"/>
  <c r="M32" i="37"/>
  <c r="N32" i="37"/>
  <c r="O32" i="37"/>
  <c r="B33" i="37"/>
  <c r="C33" i="37"/>
  <c r="E33" i="37"/>
  <c r="F33" i="37"/>
  <c r="G33" i="37"/>
  <c r="H33" i="37"/>
  <c r="I33" i="37"/>
  <c r="J33" i="37"/>
  <c r="K33" i="37"/>
  <c r="L33" i="37"/>
  <c r="M33" i="37"/>
  <c r="N33" i="37"/>
  <c r="O33" i="37"/>
  <c r="B34" i="37"/>
  <c r="C34" i="37"/>
  <c r="E34" i="37"/>
  <c r="F34" i="37"/>
  <c r="G34" i="37"/>
  <c r="H34" i="37"/>
  <c r="I34" i="37"/>
  <c r="J34" i="37"/>
  <c r="K34" i="37"/>
  <c r="L34" i="37"/>
  <c r="M34" i="37"/>
  <c r="N34" i="37"/>
  <c r="O34" i="37"/>
  <c r="E37" i="37"/>
  <c r="F37" i="37"/>
  <c r="G37" i="37"/>
  <c r="H37" i="37"/>
  <c r="I37" i="37"/>
  <c r="J37" i="37"/>
  <c r="K37" i="37"/>
  <c r="L37" i="37"/>
  <c r="M37" i="37"/>
  <c r="N37" i="37"/>
  <c r="E38" i="37"/>
  <c r="F38" i="37"/>
  <c r="G38" i="37"/>
  <c r="H38" i="37"/>
  <c r="I38" i="37"/>
  <c r="J38" i="37"/>
  <c r="K38" i="37"/>
  <c r="L38" i="37"/>
  <c r="M38" i="37"/>
  <c r="N38" i="37"/>
  <c r="E39" i="37"/>
  <c r="F39" i="37"/>
  <c r="G39" i="37"/>
  <c r="H39" i="37"/>
  <c r="I39" i="37"/>
  <c r="J39" i="37"/>
  <c r="K39" i="37"/>
  <c r="L39" i="37"/>
  <c r="M39" i="37"/>
  <c r="N39" i="37"/>
  <c r="A1" i="58"/>
  <c r="F6" i="58"/>
  <c r="H6" i="58"/>
  <c r="I6" i="58"/>
  <c r="J6" i="58"/>
  <c r="K6" i="58"/>
  <c r="L6" i="58"/>
  <c r="M6" i="58"/>
  <c r="N6" i="58"/>
  <c r="O6" i="58"/>
  <c r="P6" i="58"/>
  <c r="G9" i="58"/>
  <c r="E10" i="58"/>
  <c r="F10" i="58"/>
  <c r="G10" i="58"/>
  <c r="H10" i="58"/>
  <c r="I10" i="58"/>
  <c r="J10" i="58"/>
  <c r="K10" i="58"/>
  <c r="L10" i="58"/>
  <c r="M10" i="58"/>
  <c r="N10" i="58"/>
  <c r="O10" i="58"/>
  <c r="P10" i="58"/>
  <c r="G12" i="58"/>
  <c r="E13" i="58"/>
  <c r="F13" i="58"/>
  <c r="G13" i="58"/>
  <c r="H13" i="58"/>
  <c r="I13" i="58"/>
  <c r="J13" i="58"/>
  <c r="K13" i="58"/>
  <c r="L13" i="58"/>
  <c r="M13" i="58"/>
  <c r="N13" i="58"/>
  <c r="O13" i="58"/>
  <c r="P13" i="58"/>
  <c r="E14" i="58"/>
  <c r="F14" i="58"/>
  <c r="G14" i="58"/>
  <c r="H14" i="58"/>
  <c r="I14" i="58"/>
  <c r="J14" i="58"/>
  <c r="K14" i="58"/>
  <c r="L14" i="58"/>
  <c r="M14" i="58"/>
  <c r="N14" i="58"/>
  <c r="O14" i="58"/>
  <c r="P14" i="58"/>
  <c r="E15" i="58"/>
  <c r="F15" i="58"/>
  <c r="G15" i="58"/>
  <c r="H15" i="58"/>
  <c r="I15" i="58"/>
  <c r="J15" i="58"/>
  <c r="K15" i="58"/>
  <c r="L15" i="58"/>
  <c r="M15" i="58"/>
  <c r="N15" i="58"/>
  <c r="O15" i="58"/>
  <c r="P15" i="58"/>
  <c r="E16" i="58"/>
  <c r="F16" i="58"/>
  <c r="G16" i="58"/>
  <c r="H16" i="58"/>
  <c r="I16" i="58"/>
  <c r="J16" i="58"/>
  <c r="K16" i="58"/>
  <c r="L16" i="58"/>
  <c r="M16" i="58"/>
  <c r="N16" i="58"/>
  <c r="O16" i="58"/>
  <c r="P16" i="58"/>
  <c r="E18" i="58"/>
  <c r="E20" i="58"/>
  <c r="F20" i="58"/>
  <c r="G20" i="58"/>
  <c r="H20" i="58"/>
  <c r="I20" i="58"/>
  <c r="J20" i="58"/>
  <c r="K20" i="58"/>
  <c r="L20" i="58"/>
  <c r="M20" i="58"/>
  <c r="N20" i="58"/>
  <c r="O20" i="58"/>
  <c r="P20" i="58"/>
  <c r="E22" i="58"/>
  <c r="F22" i="58"/>
  <c r="G22" i="58"/>
  <c r="H22" i="58"/>
  <c r="I22" i="58"/>
  <c r="J22" i="58"/>
  <c r="K22" i="58"/>
  <c r="L22" i="58"/>
  <c r="M22" i="58"/>
  <c r="N22" i="58"/>
  <c r="O22" i="58"/>
  <c r="P22" i="58"/>
  <c r="E24" i="58"/>
  <c r="F24" i="58"/>
  <c r="G24" i="58"/>
  <c r="H24" i="58"/>
  <c r="I24" i="58"/>
  <c r="J24" i="58"/>
  <c r="K24" i="58"/>
  <c r="L24" i="58"/>
  <c r="M24" i="58"/>
  <c r="N24" i="58"/>
  <c r="O24" i="58"/>
  <c r="P24" i="58"/>
  <c r="E25" i="58"/>
  <c r="F25" i="58"/>
  <c r="G25" i="58"/>
  <c r="H25" i="58"/>
  <c r="I25" i="58"/>
  <c r="J25" i="58"/>
  <c r="K25" i="58"/>
  <c r="L25" i="58"/>
  <c r="M25" i="58"/>
  <c r="N25" i="58"/>
  <c r="O25" i="58"/>
  <c r="P25" i="58"/>
  <c r="B26" i="58"/>
  <c r="E26" i="58"/>
  <c r="F26" i="58"/>
  <c r="G26" i="58"/>
  <c r="H26" i="58"/>
  <c r="I26" i="58"/>
  <c r="J26" i="58"/>
  <c r="K26" i="58"/>
  <c r="L26" i="58"/>
  <c r="M26" i="58"/>
  <c r="N26" i="58"/>
  <c r="O26" i="58"/>
  <c r="P26" i="58"/>
  <c r="E28" i="58"/>
  <c r="F28" i="58"/>
  <c r="G28" i="58"/>
  <c r="H28" i="58"/>
  <c r="I28" i="58"/>
  <c r="J28" i="58"/>
  <c r="K28" i="58"/>
  <c r="L28" i="58"/>
  <c r="M28" i="58"/>
  <c r="N28" i="58"/>
  <c r="O28" i="58"/>
  <c r="P28" i="58"/>
  <c r="E30" i="58"/>
  <c r="F30" i="58"/>
  <c r="G30" i="58"/>
  <c r="H30" i="58"/>
  <c r="I30" i="58"/>
  <c r="J30" i="58"/>
  <c r="K30" i="58"/>
  <c r="L30" i="58"/>
  <c r="M30" i="58"/>
  <c r="N30" i="58"/>
  <c r="O30" i="58"/>
  <c r="P30" i="58"/>
  <c r="E31" i="58"/>
  <c r="F31" i="58"/>
  <c r="G31" i="58"/>
  <c r="H31" i="58"/>
  <c r="I31" i="58"/>
  <c r="J31" i="58"/>
  <c r="K31" i="58"/>
  <c r="L31" i="58"/>
  <c r="M31" i="58"/>
  <c r="N31" i="58"/>
  <c r="O31" i="58"/>
  <c r="P31" i="58"/>
  <c r="Q31" i="58"/>
  <c r="E32" i="58"/>
  <c r="F32" i="58"/>
  <c r="G32" i="58"/>
  <c r="H32" i="58"/>
  <c r="I32" i="58"/>
  <c r="J32" i="58"/>
  <c r="K32" i="58"/>
  <c r="L32" i="58"/>
  <c r="M32" i="58"/>
  <c r="N32" i="58"/>
  <c r="O32" i="58"/>
  <c r="P32" i="58"/>
  <c r="Q32" i="58"/>
  <c r="H35" i="58"/>
  <c r="L36" i="58"/>
  <c r="M36" i="58"/>
  <c r="F38" i="58"/>
  <c r="H38" i="58"/>
  <c r="K38" i="58"/>
  <c r="L38" i="58"/>
  <c r="M38" i="58"/>
  <c r="F44" i="58"/>
  <c r="G44" i="58"/>
  <c r="H44" i="58"/>
  <c r="I44" i="58"/>
  <c r="J44" i="58"/>
  <c r="K44" i="58"/>
  <c r="L44" i="58"/>
  <c r="M44" i="58"/>
  <c r="N44" i="58"/>
  <c r="O44" i="58"/>
  <c r="P44" i="58"/>
  <c r="A45" i="58"/>
  <c r="B45" i="58"/>
  <c r="E45" i="58"/>
  <c r="F45" i="58"/>
  <c r="G45" i="58"/>
  <c r="H45" i="58"/>
  <c r="I45" i="58"/>
  <c r="J45" i="58"/>
  <c r="K45" i="58"/>
  <c r="L45" i="58"/>
  <c r="M45" i="58"/>
  <c r="N45" i="58"/>
  <c r="O45" i="58"/>
  <c r="P45" i="58"/>
  <c r="A48" i="58"/>
  <c r="K49" i="58"/>
  <c r="L49" i="58"/>
  <c r="M49" i="58"/>
  <c r="N49" i="58"/>
  <c r="O49" i="58"/>
  <c r="P49" i="58"/>
  <c r="E50" i="58"/>
  <c r="F50" i="58"/>
  <c r="G50" i="58"/>
  <c r="H50" i="58"/>
  <c r="I50" i="58"/>
  <c r="J50" i="58"/>
  <c r="K50" i="58"/>
  <c r="L50" i="58"/>
  <c r="M50" i="58"/>
  <c r="N50" i="58"/>
  <c r="O50" i="58"/>
  <c r="P50" i="58"/>
  <c r="I51" i="58"/>
  <c r="J51" i="58"/>
  <c r="K51" i="58"/>
  <c r="L51" i="58"/>
  <c r="M51" i="58"/>
  <c r="N51" i="58"/>
  <c r="O51" i="58"/>
  <c r="P51" i="58"/>
  <c r="A53" i="58"/>
  <c r="K53" i="58"/>
  <c r="L53" i="58"/>
  <c r="M53" i="58"/>
  <c r="N53" i="58"/>
  <c r="O53" i="58"/>
  <c r="P53" i="58"/>
  <c r="I54" i="58"/>
  <c r="J54" i="58"/>
  <c r="K54" i="58"/>
  <c r="L54" i="58"/>
  <c r="M54" i="58"/>
  <c r="N54" i="58"/>
  <c r="O54" i="58"/>
  <c r="P54" i="58"/>
  <c r="A56" i="58"/>
  <c r="F56" i="58"/>
  <c r="G56" i="58"/>
  <c r="H56" i="58"/>
  <c r="I56" i="58"/>
  <c r="J56" i="58"/>
  <c r="K56" i="58"/>
  <c r="L56" i="58"/>
  <c r="M56" i="58"/>
  <c r="N56" i="58"/>
  <c r="O56" i="58"/>
  <c r="P56" i="58"/>
  <c r="I57" i="58"/>
  <c r="J57" i="58"/>
  <c r="K57" i="58"/>
  <c r="L57" i="58"/>
  <c r="M57" i="58"/>
  <c r="N57" i="58"/>
  <c r="O57" i="58"/>
  <c r="P57" i="58"/>
  <c r="F61" i="58"/>
  <c r="G61" i="58"/>
  <c r="H61" i="58"/>
  <c r="I61" i="58"/>
  <c r="J61" i="58"/>
  <c r="K61" i="58"/>
  <c r="L61" i="58"/>
  <c r="M61" i="58"/>
  <c r="N61" i="58"/>
  <c r="O61" i="58"/>
  <c r="P61" i="58"/>
  <c r="A62" i="58"/>
  <c r="B62" i="58"/>
  <c r="E62" i="58"/>
  <c r="F62" i="58"/>
  <c r="G62" i="58"/>
  <c r="H62" i="58"/>
  <c r="I62" i="58"/>
  <c r="J62" i="58"/>
  <c r="K62" i="58"/>
  <c r="L62" i="58"/>
  <c r="M62" i="58"/>
  <c r="N62" i="58"/>
  <c r="O62" i="58"/>
  <c r="P62" i="58"/>
  <c r="A65" i="58"/>
  <c r="E67" i="58"/>
  <c r="K67" i="58"/>
  <c r="L67" i="58"/>
  <c r="M67" i="58"/>
  <c r="N67" i="58"/>
  <c r="O67" i="58"/>
  <c r="P67" i="58"/>
  <c r="E68" i="58"/>
  <c r="F68" i="58"/>
  <c r="G68" i="58"/>
  <c r="H68" i="58"/>
  <c r="I68" i="58"/>
  <c r="J68" i="58"/>
  <c r="K68" i="58"/>
  <c r="L68" i="58"/>
  <c r="M68" i="58"/>
  <c r="N68" i="58"/>
  <c r="O68" i="58"/>
  <c r="P68" i="58"/>
  <c r="A71" i="58"/>
  <c r="K71" i="58"/>
  <c r="L71" i="58"/>
  <c r="M71" i="58"/>
  <c r="N71" i="58"/>
  <c r="O71" i="58"/>
  <c r="P71" i="58"/>
  <c r="I72" i="58"/>
  <c r="J72" i="58"/>
  <c r="K72" i="58"/>
  <c r="L72" i="58"/>
  <c r="M72" i="58"/>
  <c r="N72" i="58"/>
  <c r="O72" i="58"/>
  <c r="P72" i="58"/>
  <c r="A74" i="58"/>
  <c r="F74" i="58"/>
  <c r="G74" i="58"/>
  <c r="H74" i="58"/>
  <c r="I74" i="58"/>
  <c r="J74" i="58"/>
  <c r="K74" i="58"/>
  <c r="L74" i="58"/>
  <c r="M74" i="58"/>
  <c r="N74" i="58"/>
  <c r="O74" i="58"/>
  <c r="P74" i="58"/>
  <c r="I75" i="58"/>
  <c r="J75" i="58"/>
  <c r="K75" i="58"/>
  <c r="L75" i="58"/>
  <c r="M75" i="58"/>
  <c r="N75" i="58"/>
  <c r="O75" i="58"/>
  <c r="P75" i="58"/>
  <c r="K80" i="58"/>
  <c r="L80" i="58"/>
  <c r="M80" i="58"/>
  <c r="N80" i="58"/>
  <c r="O80" i="58"/>
  <c r="P80" i="58"/>
  <c r="F84" i="58"/>
  <c r="G84" i="58"/>
  <c r="H84" i="58"/>
  <c r="I84" i="58"/>
  <c r="J84" i="58"/>
  <c r="K84" i="58"/>
  <c r="L84" i="58"/>
  <c r="M84" i="58"/>
  <c r="N84" i="58"/>
  <c r="O84" i="58"/>
  <c r="P84" i="58"/>
  <c r="F85" i="58"/>
  <c r="G85" i="58"/>
  <c r="H85" i="58"/>
  <c r="I85" i="58"/>
  <c r="J85" i="58"/>
  <c r="K85" i="58"/>
  <c r="L85" i="58"/>
  <c r="M85" i="58"/>
  <c r="N85" i="58"/>
  <c r="O85" i="58"/>
  <c r="P85" i="58"/>
  <c r="F86" i="58"/>
  <c r="G86" i="58"/>
  <c r="H86" i="58"/>
  <c r="I86" i="58"/>
  <c r="J86" i="58"/>
  <c r="K86" i="58"/>
  <c r="L86" i="58"/>
  <c r="M86" i="58"/>
  <c r="N86" i="58"/>
  <c r="O86" i="58"/>
  <c r="P86" i="58"/>
  <c r="F87" i="58"/>
  <c r="G87" i="58"/>
  <c r="H87" i="58"/>
  <c r="I87" i="58"/>
  <c r="J87" i="58"/>
  <c r="K87" i="58"/>
  <c r="L87" i="58"/>
  <c r="M87" i="58"/>
  <c r="N87" i="58"/>
  <c r="O87" i="58"/>
  <c r="P87" i="58"/>
  <c r="I89" i="58"/>
  <c r="K89" i="58"/>
  <c r="L89" i="58"/>
  <c r="M89" i="58"/>
  <c r="O89" i="58"/>
  <c r="P89" i="58"/>
  <c r="F91" i="58"/>
  <c r="G91" i="58"/>
  <c r="H91" i="58"/>
  <c r="I91" i="58"/>
  <c r="J91" i="58"/>
  <c r="K91" i="58"/>
  <c r="L91" i="58"/>
  <c r="M91" i="58"/>
  <c r="N91" i="58"/>
  <c r="O91" i="58"/>
  <c r="P91" i="58"/>
  <c r="F92" i="58"/>
  <c r="G92" i="58"/>
  <c r="H92" i="58"/>
  <c r="I92" i="58"/>
  <c r="J92" i="58"/>
  <c r="K92" i="58"/>
  <c r="L92" i="58"/>
  <c r="M92" i="58"/>
  <c r="N92" i="58"/>
  <c r="O92" i="58"/>
  <c r="P92" i="58"/>
  <c r="F93" i="58"/>
  <c r="G93" i="58"/>
  <c r="H93" i="58"/>
  <c r="I93" i="58"/>
  <c r="J93" i="58"/>
  <c r="K93" i="58"/>
  <c r="L93" i="58"/>
  <c r="M93" i="58"/>
  <c r="N93" i="58"/>
  <c r="O93" i="58"/>
  <c r="P93" i="58"/>
  <c r="F94" i="58"/>
  <c r="G94" i="58"/>
  <c r="H94" i="58"/>
  <c r="I94" i="58"/>
  <c r="J94" i="58"/>
  <c r="K94" i="58"/>
  <c r="L94" i="58"/>
  <c r="M94" i="58"/>
  <c r="N94" i="58"/>
  <c r="O94" i="58"/>
  <c r="P94" i="58"/>
  <c r="F97" i="58"/>
  <c r="G97" i="58"/>
  <c r="H97" i="58"/>
  <c r="I97" i="58"/>
  <c r="J97" i="58"/>
  <c r="K97" i="58"/>
  <c r="L97" i="58"/>
  <c r="M97" i="58"/>
  <c r="N97" i="58"/>
  <c r="O97" i="58"/>
  <c r="P97" i="58"/>
  <c r="G98" i="58"/>
  <c r="H98" i="58"/>
  <c r="I98" i="58"/>
  <c r="J98" i="58"/>
  <c r="K98" i="58"/>
  <c r="L98" i="58"/>
  <c r="M98" i="58"/>
  <c r="N98" i="58"/>
  <c r="O98" i="58"/>
  <c r="P98" i="58"/>
  <c r="H99" i="58"/>
  <c r="I99" i="58"/>
  <c r="J99" i="58"/>
  <c r="K99" i="58"/>
  <c r="L99" i="58"/>
  <c r="M99" i="58"/>
  <c r="N99" i="58"/>
  <c r="O99" i="58"/>
  <c r="P99" i="58"/>
  <c r="I100" i="58"/>
  <c r="J100" i="58"/>
  <c r="K100" i="58"/>
  <c r="L100" i="58"/>
  <c r="M100" i="58"/>
  <c r="N100" i="58"/>
  <c r="O100" i="58"/>
  <c r="P100" i="58"/>
  <c r="J101" i="58"/>
  <c r="K101" i="58"/>
  <c r="L101" i="58"/>
  <c r="M101" i="58"/>
  <c r="N101" i="58"/>
  <c r="O101" i="58"/>
  <c r="P101" i="58"/>
  <c r="K102" i="58"/>
  <c r="L102" i="58"/>
  <c r="M102" i="58"/>
  <c r="N102" i="58"/>
  <c r="O102" i="58"/>
  <c r="P102" i="58"/>
  <c r="L103" i="58"/>
  <c r="M103" i="58"/>
  <c r="N103" i="58"/>
  <c r="O103" i="58"/>
  <c r="P103" i="58"/>
  <c r="M104" i="58"/>
  <c r="N104" i="58"/>
  <c r="O104" i="58"/>
  <c r="P104" i="58"/>
  <c r="N105" i="58"/>
  <c r="O105" i="58"/>
  <c r="P105" i="58"/>
  <c r="O106" i="58"/>
  <c r="P106" i="58"/>
  <c r="P107" i="58"/>
  <c r="F108" i="58"/>
  <c r="G108" i="58"/>
  <c r="H108" i="58"/>
  <c r="I108" i="58"/>
  <c r="J108" i="58"/>
  <c r="K108" i="58"/>
  <c r="L108" i="58"/>
  <c r="M108" i="58"/>
  <c r="N108" i="58"/>
  <c r="O108" i="58"/>
  <c r="P108" i="58"/>
  <c r="F110" i="58"/>
  <c r="G110" i="58"/>
  <c r="H110" i="58"/>
  <c r="I110" i="58"/>
  <c r="J110" i="58"/>
  <c r="K110" i="58"/>
  <c r="L110" i="58"/>
  <c r="M110" i="58"/>
  <c r="N110" i="58"/>
  <c r="O110" i="58"/>
  <c r="P110" i="58"/>
  <c r="G111" i="58"/>
  <c r="H111" i="58"/>
  <c r="I111" i="58"/>
  <c r="J111" i="58"/>
  <c r="K111" i="58"/>
  <c r="L111" i="58"/>
  <c r="M111" i="58"/>
  <c r="N111" i="58"/>
  <c r="O111" i="58"/>
  <c r="P111" i="58"/>
  <c r="H112" i="58"/>
  <c r="I112" i="58"/>
  <c r="J112" i="58"/>
  <c r="K112" i="58"/>
  <c r="L112" i="58"/>
  <c r="M112" i="58"/>
  <c r="N112" i="58"/>
  <c r="O112" i="58"/>
  <c r="P112" i="58"/>
  <c r="I113" i="58"/>
  <c r="J113" i="58"/>
  <c r="K113" i="58"/>
  <c r="L113" i="58"/>
  <c r="M113" i="58"/>
  <c r="N113" i="58"/>
  <c r="O113" i="58"/>
  <c r="P113" i="58"/>
  <c r="J114" i="58"/>
  <c r="K114" i="58"/>
  <c r="L114" i="58"/>
  <c r="M114" i="58"/>
  <c r="N114" i="58"/>
  <c r="O114" i="58"/>
  <c r="P114" i="58"/>
  <c r="K115" i="58"/>
  <c r="L115" i="58"/>
  <c r="M115" i="58"/>
  <c r="N115" i="58"/>
  <c r="O115" i="58"/>
  <c r="P115" i="58"/>
  <c r="L116" i="58"/>
  <c r="M116" i="58"/>
  <c r="N116" i="58"/>
  <c r="O116" i="58"/>
  <c r="P116" i="58"/>
  <c r="M117" i="58"/>
  <c r="N117" i="58"/>
  <c r="O117" i="58"/>
  <c r="P117" i="58"/>
  <c r="N118" i="58"/>
  <c r="O118" i="58"/>
  <c r="P118" i="58"/>
  <c r="O119" i="58"/>
  <c r="P119" i="58"/>
  <c r="P120" i="58"/>
  <c r="F121" i="58"/>
  <c r="G121" i="58"/>
  <c r="H121" i="58"/>
  <c r="I121" i="58"/>
  <c r="J121" i="58"/>
  <c r="K121" i="58"/>
  <c r="L121" i="58"/>
  <c r="M121" i="58"/>
  <c r="N121" i="58"/>
  <c r="O121" i="58"/>
  <c r="P121" i="58"/>
  <c r="A1" i="35"/>
  <c r="D11" i="35"/>
  <c r="E11" i="35"/>
  <c r="F11" i="35"/>
  <c r="G11" i="35"/>
  <c r="H11" i="35"/>
  <c r="I11" i="35"/>
  <c r="J11" i="35"/>
  <c r="K11" i="35"/>
  <c r="L11" i="35"/>
  <c r="M11" i="35"/>
  <c r="N11" i="35"/>
  <c r="O11" i="35"/>
  <c r="P11" i="35"/>
  <c r="Q11" i="35"/>
  <c r="R11" i="35"/>
  <c r="D13" i="35"/>
  <c r="E13" i="35"/>
  <c r="F13" i="35"/>
  <c r="G13" i="35"/>
  <c r="H13" i="35"/>
  <c r="I13" i="35"/>
  <c r="J13" i="35"/>
  <c r="K13" i="35"/>
  <c r="L13" i="35"/>
  <c r="M13" i="35"/>
  <c r="N13" i="35"/>
  <c r="O13" i="35"/>
  <c r="P13" i="35"/>
  <c r="Q13" i="35"/>
  <c r="R13" i="35"/>
  <c r="D15" i="35"/>
  <c r="E15" i="35"/>
  <c r="F15" i="35"/>
  <c r="G15" i="35"/>
  <c r="H15" i="35"/>
  <c r="I15" i="35"/>
  <c r="J15" i="35"/>
  <c r="K15" i="35"/>
  <c r="L15" i="35"/>
  <c r="M15" i="35"/>
  <c r="N15" i="35"/>
  <c r="O15" i="35"/>
  <c r="P15" i="35"/>
  <c r="Q15" i="35"/>
  <c r="R15" i="35"/>
  <c r="D16" i="35"/>
  <c r="E16" i="35"/>
  <c r="F16" i="35"/>
  <c r="G16" i="35"/>
  <c r="H16" i="35"/>
  <c r="I16" i="35"/>
  <c r="J16" i="35"/>
  <c r="K16" i="35"/>
  <c r="L16" i="35"/>
  <c r="M16" i="35"/>
  <c r="N16" i="35"/>
  <c r="O16" i="35"/>
  <c r="P16" i="35"/>
  <c r="Q16" i="35"/>
  <c r="R16" i="35"/>
  <c r="D17" i="35"/>
  <c r="E17" i="35"/>
  <c r="F17" i="35"/>
  <c r="G17" i="35"/>
  <c r="H17" i="35"/>
  <c r="I17" i="35"/>
  <c r="J17" i="35"/>
  <c r="K17" i="35"/>
  <c r="L17" i="35"/>
  <c r="M17" i="35"/>
  <c r="N17" i="35"/>
  <c r="O17" i="35"/>
  <c r="P17" i="35"/>
  <c r="Q17" i="35"/>
  <c r="R17" i="35"/>
  <c r="D19" i="35"/>
  <c r="E19" i="35"/>
  <c r="F19" i="35"/>
  <c r="G19" i="35"/>
  <c r="H19" i="35"/>
  <c r="I19" i="35"/>
  <c r="J19" i="35"/>
  <c r="K19" i="35"/>
  <c r="L19" i="35"/>
  <c r="M19" i="35"/>
  <c r="N19" i="35"/>
  <c r="O19" i="35"/>
  <c r="P19" i="35"/>
  <c r="Q19" i="35"/>
  <c r="R19" i="35"/>
  <c r="I20" i="35"/>
  <c r="J20" i="35"/>
  <c r="K20" i="35"/>
  <c r="L20" i="35"/>
  <c r="M20" i="35"/>
  <c r="N20" i="35"/>
  <c r="O20" i="35"/>
  <c r="P20" i="35"/>
  <c r="Q20" i="35"/>
  <c r="R20" i="35"/>
  <c r="D21" i="35"/>
  <c r="E21" i="35"/>
  <c r="F21" i="35"/>
  <c r="G21" i="35"/>
  <c r="H21" i="35"/>
  <c r="I21" i="35"/>
  <c r="J21" i="35"/>
  <c r="K21" i="35"/>
  <c r="L21" i="35"/>
  <c r="M21" i="35"/>
  <c r="N21" i="35"/>
  <c r="O21" i="35"/>
  <c r="P21" i="35"/>
  <c r="Q21" i="35"/>
  <c r="R21" i="35"/>
  <c r="D23" i="35"/>
  <c r="E23" i="35"/>
  <c r="F23" i="35"/>
  <c r="G23" i="35"/>
  <c r="H23" i="35"/>
  <c r="I23" i="35"/>
  <c r="J23" i="35"/>
  <c r="K23" i="35"/>
  <c r="L23" i="35"/>
  <c r="M23" i="35"/>
  <c r="N23" i="35"/>
  <c r="O23" i="35"/>
  <c r="P23" i="35"/>
  <c r="Q23" i="35"/>
  <c r="R23" i="35"/>
  <c r="I24" i="35"/>
  <c r="D26" i="35"/>
  <c r="E26" i="35"/>
  <c r="F26" i="35"/>
  <c r="G26" i="35"/>
  <c r="H26" i="35"/>
  <c r="I26" i="35"/>
  <c r="J26" i="35"/>
  <c r="K26" i="35"/>
  <c r="L26" i="35"/>
  <c r="M26" i="35"/>
  <c r="N26" i="35"/>
  <c r="O26" i="35"/>
  <c r="P26" i="35"/>
  <c r="Q26" i="35"/>
  <c r="R26" i="35"/>
  <c r="D27" i="35"/>
  <c r="E27" i="35"/>
  <c r="F27" i="35"/>
  <c r="G27" i="35"/>
  <c r="H27" i="35"/>
  <c r="I27" i="35"/>
  <c r="J27" i="35"/>
  <c r="K27" i="35"/>
  <c r="L27" i="35"/>
  <c r="M27" i="35"/>
  <c r="N27" i="35"/>
  <c r="O27" i="35"/>
  <c r="P27" i="35"/>
  <c r="Q27" i="35"/>
  <c r="R27" i="35"/>
  <c r="B28" i="35"/>
  <c r="D28" i="35"/>
  <c r="E28" i="35"/>
  <c r="F28" i="35"/>
  <c r="G28" i="35"/>
  <c r="H28" i="35"/>
  <c r="I28" i="35"/>
  <c r="J28" i="35"/>
  <c r="K28" i="35"/>
  <c r="L28" i="35"/>
  <c r="M28" i="35"/>
  <c r="N28" i="35"/>
  <c r="O28" i="35"/>
  <c r="P28" i="35"/>
  <c r="Q28" i="35"/>
  <c r="R28" i="35"/>
  <c r="D30" i="35"/>
  <c r="E30" i="35"/>
  <c r="F30" i="35"/>
  <c r="G30" i="35"/>
  <c r="H30" i="35"/>
  <c r="I30" i="35"/>
  <c r="J30" i="35"/>
  <c r="K30" i="35"/>
  <c r="L30" i="35"/>
  <c r="M30" i="35"/>
  <c r="N30" i="35"/>
  <c r="O30" i="35"/>
  <c r="P30" i="35"/>
  <c r="Q30" i="35"/>
  <c r="R30" i="35"/>
  <c r="D32" i="35"/>
  <c r="E32" i="35"/>
  <c r="F32" i="35"/>
  <c r="G32" i="35"/>
  <c r="H32" i="35"/>
  <c r="I32" i="35"/>
  <c r="J32" i="35"/>
  <c r="K32" i="35"/>
  <c r="L32" i="35"/>
  <c r="M32" i="35"/>
  <c r="N32" i="35"/>
  <c r="O32" i="35"/>
  <c r="P32" i="35"/>
  <c r="Q32" i="35"/>
  <c r="R32" i="35"/>
  <c r="D33" i="35"/>
  <c r="E33" i="35"/>
  <c r="F33" i="35"/>
  <c r="G33" i="35"/>
  <c r="H33" i="35"/>
  <c r="I33" i="35"/>
  <c r="J33" i="35"/>
  <c r="K33" i="35"/>
  <c r="L33" i="35"/>
  <c r="M33" i="35"/>
  <c r="N33" i="35"/>
  <c r="O33" i="35"/>
  <c r="P33" i="35"/>
  <c r="Q33" i="35"/>
  <c r="R33" i="35"/>
  <c r="D35" i="35"/>
  <c r="E35" i="35"/>
  <c r="F35" i="35"/>
  <c r="G35" i="35"/>
  <c r="H35" i="35"/>
  <c r="I35" i="35"/>
  <c r="J35" i="35"/>
  <c r="K35" i="35"/>
  <c r="L35" i="35"/>
  <c r="M35" i="35"/>
  <c r="N35" i="35"/>
  <c r="O35" i="35"/>
  <c r="P35" i="35"/>
  <c r="Q35" i="35"/>
  <c r="R35" i="35"/>
  <c r="S35" i="35"/>
  <c r="S37" i="35"/>
  <c r="I40" i="35"/>
  <c r="L41" i="35"/>
  <c r="M41" i="35"/>
  <c r="N41" i="35"/>
  <c r="G43" i="35"/>
  <c r="I43" i="35"/>
  <c r="L43" i="35"/>
  <c r="M43" i="35"/>
  <c r="N43" i="35"/>
  <c r="E51" i="35"/>
  <c r="F51" i="35"/>
  <c r="G51" i="35"/>
  <c r="H51" i="35"/>
  <c r="I51" i="35"/>
  <c r="J51" i="35"/>
  <c r="K51" i="35"/>
  <c r="L51" i="35"/>
  <c r="M51" i="35"/>
  <c r="N51" i="35"/>
  <c r="O51" i="35"/>
  <c r="P51" i="35"/>
  <c r="Q51" i="35"/>
  <c r="R51" i="35"/>
  <c r="E52" i="35"/>
  <c r="F52" i="35"/>
  <c r="G52" i="35"/>
  <c r="H52" i="35"/>
  <c r="I52" i="35"/>
  <c r="J52" i="35"/>
  <c r="K52" i="35"/>
  <c r="L52" i="35"/>
  <c r="M52" i="35"/>
  <c r="N52" i="35"/>
  <c r="O52" i="35"/>
  <c r="P52" i="35"/>
  <c r="Q52" i="35"/>
  <c r="R52" i="35"/>
  <c r="J53" i="35"/>
  <c r="K53" i="35"/>
  <c r="L53" i="35"/>
  <c r="M53" i="35"/>
  <c r="N53" i="35"/>
  <c r="O53" i="35"/>
  <c r="P53" i="35"/>
  <c r="Q53" i="35"/>
  <c r="R53" i="35"/>
  <c r="E54" i="35"/>
  <c r="F54" i="35"/>
  <c r="G54" i="35"/>
  <c r="H54" i="35"/>
  <c r="I54" i="35"/>
  <c r="J54" i="35"/>
  <c r="K54" i="35"/>
  <c r="L54" i="35"/>
  <c r="M54" i="35"/>
  <c r="N54" i="35"/>
  <c r="O54" i="35"/>
  <c r="P54" i="35"/>
  <c r="Q54" i="35"/>
  <c r="R54" i="35"/>
  <c r="E55" i="35"/>
  <c r="F55" i="35"/>
  <c r="G55" i="35"/>
  <c r="H55" i="35"/>
  <c r="I55" i="35"/>
  <c r="J55" i="35"/>
  <c r="K55" i="35"/>
  <c r="L55" i="35"/>
  <c r="M55" i="35"/>
  <c r="N55" i="35"/>
  <c r="O55" i="35"/>
  <c r="P55" i="35"/>
  <c r="Q55" i="35"/>
  <c r="R55" i="35"/>
  <c r="I56" i="35"/>
  <c r="J56" i="35"/>
  <c r="K56" i="35"/>
  <c r="L56" i="35"/>
  <c r="M56" i="35"/>
  <c r="N56" i="35"/>
  <c r="O56" i="35"/>
  <c r="P56" i="35"/>
  <c r="Q56" i="35"/>
  <c r="R56" i="35"/>
  <c r="E57" i="35"/>
  <c r="F57" i="35"/>
  <c r="G57" i="35"/>
  <c r="H57" i="35"/>
  <c r="I57" i="35"/>
  <c r="J57" i="35"/>
  <c r="K57" i="35"/>
  <c r="L57" i="35"/>
  <c r="M57" i="35"/>
  <c r="N57" i="35"/>
  <c r="O57" i="35"/>
  <c r="P57" i="35"/>
  <c r="Q57" i="35"/>
  <c r="R57" i="35"/>
  <c r="J58" i="35"/>
  <c r="K58" i="35"/>
  <c r="L58" i="35"/>
  <c r="M58" i="35"/>
  <c r="N58" i="35"/>
  <c r="O58" i="35"/>
  <c r="P58" i="35"/>
  <c r="Q58" i="35"/>
  <c r="R58" i="35"/>
  <c r="D59" i="35"/>
  <c r="E59" i="35"/>
  <c r="F59" i="35"/>
  <c r="G59" i="35"/>
  <c r="H59" i="35"/>
  <c r="I59" i="35"/>
  <c r="J59" i="35"/>
  <c r="K59" i="35"/>
  <c r="L59" i="35"/>
  <c r="M59" i="35"/>
  <c r="N59" i="35"/>
  <c r="O59" i="35"/>
  <c r="P59" i="35"/>
  <c r="Q59" i="35"/>
  <c r="R59" i="35"/>
  <c r="E64" i="35"/>
  <c r="F64" i="35"/>
  <c r="G64" i="35"/>
  <c r="H64" i="35"/>
  <c r="K64" i="35"/>
  <c r="L64" i="35"/>
  <c r="M64" i="35"/>
  <c r="N64" i="35"/>
  <c r="O64" i="35"/>
  <c r="P64" i="35"/>
  <c r="Q64" i="35"/>
  <c r="R64" i="35"/>
  <c r="A67" i="35"/>
  <c r="E67" i="35"/>
  <c r="F67" i="35"/>
  <c r="G67" i="35"/>
  <c r="E69" i="35"/>
  <c r="F69" i="35"/>
  <c r="G69" i="35"/>
  <c r="J69" i="35"/>
  <c r="K69" i="35"/>
  <c r="L69" i="35"/>
  <c r="E75" i="35"/>
  <c r="F75" i="35"/>
  <c r="G75" i="35"/>
  <c r="H75" i="35"/>
  <c r="I75" i="35"/>
  <c r="J75" i="35"/>
  <c r="K75" i="35"/>
  <c r="L75" i="35"/>
  <c r="M75" i="35"/>
  <c r="N75" i="35"/>
  <c r="O75" i="35"/>
  <c r="P75" i="35"/>
  <c r="Q75" i="35"/>
  <c r="R75" i="35"/>
  <c r="E76" i="35"/>
  <c r="F76" i="35"/>
  <c r="G76" i="35"/>
  <c r="H76" i="35"/>
  <c r="I76" i="35"/>
  <c r="J76" i="35"/>
  <c r="K76" i="35"/>
  <c r="L76" i="35"/>
  <c r="M76" i="35"/>
  <c r="N76" i="35"/>
  <c r="O76" i="35"/>
  <c r="P76" i="35"/>
  <c r="Q76" i="35"/>
  <c r="R76" i="35"/>
  <c r="E77" i="35"/>
  <c r="F77" i="35"/>
  <c r="G77" i="35"/>
  <c r="H77" i="35"/>
  <c r="I77" i="35"/>
  <c r="J77" i="35"/>
  <c r="K77" i="35"/>
  <c r="L77" i="35"/>
  <c r="M77" i="35"/>
  <c r="N77" i="35"/>
  <c r="O77" i="35"/>
  <c r="P77" i="35"/>
  <c r="Q77" i="35"/>
  <c r="R77" i="35"/>
  <c r="E78" i="35"/>
  <c r="F78" i="35"/>
  <c r="G78" i="35"/>
  <c r="H78" i="35"/>
  <c r="I78" i="35"/>
  <c r="J78" i="35"/>
  <c r="K78" i="35"/>
  <c r="L78" i="35"/>
  <c r="M78" i="35"/>
  <c r="N78" i="35"/>
  <c r="O78" i="35"/>
  <c r="P78" i="35"/>
  <c r="Q78" i="35"/>
  <c r="R78" i="35"/>
  <c r="I79" i="35"/>
  <c r="J79" i="35"/>
  <c r="K79" i="35"/>
  <c r="L79" i="35"/>
  <c r="M79" i="35"/>
  <c r="N79" i="35"/>
  <c r="O79" i="35"/>
  <c r="P79" i="35"/>
  <c r="Q79" i="35"/>
  <c r="R79" i="35"/>
  <c r="J80" i="35"/>
  <c r="K80" i="35"/>
  <c r="L80" i="35"/>
  <c r="M80" i="35"/>
  <c r="N80" i="35"/>
  <c r="O80" i="35"/>
  <c r="P80" i="35"/>
  <c r="Q80" i="35"/>
  <c r="R80" i="35"/>
  <c r="H81" i="35"/>
  <c r="J81" i="35"/>
  <c r="K81" i="35"/>
  <c r="L81" i="35"/>
  <c r="M81" i="35"/>
  <c r="N81" i="35"/>
  <c r="O81" i="35"/>
  <c r="P81" i="35"/>
  <c r="Q81" i="35"/>
  <c r="R81" i="35"/>
  <c r="J82" i="35"/>
  <c r="K82" i="35"/>
  <c r="L82" i="35"/>
  <c r="M82" i="35"/>
  <c r="N82" i="35"/>
  <c r="O82" i="35"/>
  <c r="P82" i="35"/>
  <c r="Q82" i="35"/>
  <c r="R82" i="35"/>
  <c r="D83" i="35"/>
  <c r="E83" i="35"/>
  <c r="F83" i="35"/>
  <c r="G83" i="35"/>
  <c r="H83" i="35"/>
  <c r="I83" i="35"/>
  <c r="J83" i="35"/>
  <c r="K83" i="35"/>
  <c r="L83" i="35"/>
  <c r="M83" i="35"/>
  <c r="N83" i="35"/>
  <c r="O83" i="35"/>
  <c r="P83" i="35"/>
  <c r="Q83" i="35"/>
  <c r="R83" i="35"/>
  <c r="M85" i="35"/>
  <c r="A90" i="35"/>
  <c r="E90" i="35"/>
  <c r="F90" i="35"/>
  <c r="G90" i="35"/>
  <c r="H90" i="35"/>
  <c r="J90" i="35"/>
  <c r="K90" i="35"/>
  <c r="L90" i="35"/>
  <c r="M90" i="35"/>
  <c r="M91" i="35"/>
  <c r="N91" i="35"/>
  <c r="O91" i="35"/>
  <c r="P91" i="35"/>
  <c r="Q91" i="35"/>
  <c r="R91" i="35"/>
  <c r="E92" i="35"/>
  <c r="F92" i="35"/>
  <c r="G92" i="35"/>
  <c r="H92" i="35"/>
  <c r="M92" i="35"/>
  <c r="N92" i="35"/>
  <c r="O92" i="35"/>
  <c r="P92" i="35"/>
  <c r="Q92" i="35"/>
  <c r="R92" i="35"/>
  <c r="E93" i="35"/>
  <c r="F93" i="35"/>
  <c r="G93" i="35"/>
  <c r="H93" i="35"/>
  <c r="I93" i="35"/>
  <c r="J93" i="35"/>
  <c r="L93" i="35"/>
  <c r="M93" i="35"/>
  <c r="N93" i="35"/>
  <c r="O93" i="35"/>
  <c r="P93" i="35"/>
  <c r="Q93" i="35"/>
  <c r="R93" i="35"/>
  <c r="H99" i="35"/>
  <c r="I99" i="35"/>
  <c r="J99" i="35"/>
  <c r="K99" i="35"/>
  <c r="L99" i="35"/>
  <c r="M99" i="35"/>
  <c r="N99" i="35"/>
  <c r="O99" i="35"/>
  <c r="P99" i="35"/>
  <c r="Q99" i="35"/>
  <c r="R99" i="35"/>
  <c r="H100" i="35"/>
  <c r="I100" i="35"/>
  <c r="J100" i="35"/>
  <c r="K100" i="35"/>
  <c r="L100" i="35"/>
  <c r="M100" i="35"/>
  <c r="N100" i="35"/>
  <c r="O100" i="35"/>
  <c r="P100" i="35"/>
  <c r="Q100" i="35"/>
  <c r="R100" i="35"/>
  <c r="K101" i="35"/>
  <c r="L101" i="35"/>
  <c r="M101" i="35"/>
  <c r="N101" i="35"/>
  <c r="O101" i="35"/>
  <c r="P101" i="35"/>
  <c r="Q101" i="35"/>
  <c r="R101" i="35"/>
  <c r="F102" i="35"/>
  <c r="G102" i="35"/>
  <c r="J102" i="35"/>
  <c r="K102" i="35"/>
  <c r="L102" i="35"/>
  <c r="M102" i="35"/>
  <c r="N102" i="35"/>
  <c r="O102" i="35"/>
  <c r="P102" i="35"/>
  <c r="Q102" i="35"/>
  <c r="R102" i="35"/>
  <c r="D103" i="35"/>
  <c r="E103" i="35"/>
  <c r="F103" i="35"/>
  <c r="G103" i="35"/>
  <c r="H103" i="35"/>
  <c r="I103" i="35"/>
  <c r="J103" i="35"/>
  <c r="K103" i="35"/>
  <c r="L103" i="35"/>
  <c r="M103" i="35"/>
  <c r="N103" i="35"/>
  <c r="O103" i="35"/>
  <c r="P103" i="35"/>
  <c r="Q103" i="35"/>
  <c r="R103" i="35"/>
  <c r="J104" i="35"/>
  <c r="K104" i="35"/>
  <c r="L104" i="35"/>
  <c r="M104" i="35"/>
  <c r="N104" i="35"/>
  <c r="O104" i="35"/>
  <c r="P104" i="35"/>
  <c r="Q104" i="35"/>
  <c r="R104" i="35"/>
  <c r="H105" i="35"/>
  <c r="I105" i="35"/>
  <c r="J105" i="35"/>
  <c r="K105" i="35"/>
  <c r="L105" i="35"/>
  <c r="M105" i="35"/>
  <c r="N105" i="35"/>
  <c r="O105" i="35"/>
  <c r="P105" i="35"/>
  <c r="Q105" i="35"/>
  <c r="R105" i="35"/>
  <c r="I106" i="35"/>
  <c r="J106" i="35"/>
  <c r="K106" i="35"/>
  <c r="L106" i="35"/>
  <c r="M106" i="35"/>
  <c r="N106" i="35"/>
  <c r="O106" i="35"/>
  <c r="P106" i="35"/>
  <c r="Q106" i="35"/>
  <c r="R106" i="35"/>
  <c r="D107" i="35"/>
  <c r="E107" i="35"/>
  <c r="F107" i="35"/>
  <c r="G107" i="35"/>
  <c r="H107" i="35"/>
  <c r="I107" i="35"/>
  <c r="J107" i="35"/>
  <c r="K107" i="35"/>
  <c r="L107" i="35"/>
  <c r="M107" i="35"/>
  <c r="N107" i="35"/>
  <c r="O107" i="35"/>
  <c r="P107" i="35"/>
  <c r="Q107" i="35"/>
  <c r="R107" i="35"/>
  <c r="E112" i="35"/>
  <c r="F112" i="35"/>
  <c r="G112" i="35"/>
  <c r="H112" i="35"/>
  <c r="I112" i="35"/>
  <c r="N112" i="35"/>
  <c r="O112" i="35"/>
  <c r="P112" i="35"/>
  <c r="Q112" i="35"/>
  <c r="R112" i="35"/>
  <c r="E113" i="35"/>
  <c r="F113" i="35"/>
  <c r="G113" i="35"/>
  <c r="H113" i="35"/>
  <c r="K113" i="35"/>
  <c r="L113" i="35"/>
  <c r="M113" i="35"/>
  <c r="N113" i="35"/>
  <c r="O113" i="35"/>
  <c r="P113" i="35"/>
  <c r="Q113" i="35"/>
  <c r="R113" i="35"/>
  <c r="E115" i="35"/>
  <c r="F115" i="35"/>
  <c r="G115" i="35"/>
  <c r="H115" i="35"/>
  <c r="L115" i="35"/>
  <c r="M115" i="35"/>
  <c r="N115" i="35"/>
  <c r="O115" i="35"/>
  <c r="P115" i="35"/>
  <c r="Q115" i="35"/>
  <c r="R115" i="35"/>
  <c r="H125" i="35"/>
  <c r="I125" i="35"/>
  <c r="J125" i="35"/>
  <c r="K125" i="35"/>
  <c r="L125" i="35"/>
  <c r="M125" i="35"/>
  <c r="N125" i="35"/>
  <c r="O125" i="35"/>
  <c r="P125" i="35"/>
  <c r="Q125" i="35"/>
  <c r="R125" i="35"/>
  <c r="S125" i="35"/>
  <c r="I126" i="35"/>
  <c r="J126" i="35"/>
  <c r="K126" i="35"/>
  <c r="L126" i="35"/>
  <c r="M126" i="35"/>
  <c r="N126" i="35"/>
  <c r="O126" i="35"/>
  <c r="P126" i="35"/>
  <c r="Q126" i="35"/>
  <c r="R126" i="35"/>
  <c r="S126" i="35"/>
  <c r="I127" i="35"/>
  <c r="J127" i="35"/>
  <c r="K127" i="35"/>
  <c r="L127" i="35"/>
  <c r="M127" i="35"/>
  <c r="N127" i="35"/>
  <c r="O127" i="35"/>
  <c r="P127" i="35"/>
  <c r="Q127" i="35"/>
  <c r="R127" i="35"/>
  <c r="D128" i="35"/>
  <c r="E128" i="35"/>
  <c r="F128" i="35"/>
  <c r="G128" i="35"/>
  <c r="I128" i="35"/>
  <c r="J128" i="35"/>
  <c r="K128" i="35"/>
  <c r="L128" i="35"/>
  <c r="M128" i="35"/>
  <c r="N128" i="35"/>
  <c r="O128" i="35"/>
  <c r="P128" i="35"/>
  <c r="Q128" i="35"/>
  <c r="R128" i="35"/>
  <c r="K130" i="35"/>
  <c r="M130" i="35"/>
  <c r="N130" i="35"/>
  <c r="O130" i="35"/>
  <c r="Q130" i="35"/>
  <c r="R130" i="35"/>
  <c r="H132" i="35"/>
  <c r="I132" i="35"/>
  <c r="J132" i="35"/>
  <c r="K132" i="35"/>
  <c r="L132" i="35"/>
  <c r="M132" i="35"/>
  <c r="N132" i="35"/>
  <c r="O132" i="35"/>
  <c r="P132" i="35"/>
  <c r="Q132" i="35"/>
  <c r="R132" i="35"/>
  <c r="S132" i="35"/>
  <c r="H133" i="35"/>
  <c r="I133" i="35"/>
  <c r="J133" i="35"/>
  <c r="K133" i="35"/>
  <c r="L133" i="35"/>
  <c r="M133" i="35"/>
  <c r="N133" i="35"/>
  <c r="O133" i="35"/>
  <c r="P133" i="35"/>
  <c r="Q133" i="35"/>
  <c r="R133" i="35"/>
  <c r="D134" i="35"/>
  <c r="E134" i="35"/>
  <c r="F134" i="35"/>
  <c r="G134" i="35"/>
  <c r="H134" i="35"/>
  <c r="I134" i="35"/>
  <c r="J134" i="35"/>
  <c r="K134" i="35"/>
  <c r="L134" i="35"/>
  <c r="M134" i="35"/>
  <c r="N134" i="35"/>
  <c r="O134" i="35"/>
  <c r="P134" i="35"/>
  <c r="Q134" i="35"/>
  <c r="R134" i="35"/>
  <c r="D135" i="35"/>
  <c r="E135" i="35"/>
  <c r="F135" i="35"/>
  <c r="G135" i="35"/>
  <c r="H135" i="35"/>
  <c r="I135" i="35"/>
  <c r="J135" i="35"/>
  <c r="K135" i="35"/>
  <c r="L135" i="35"/>
  <c r="M135" i="35"/>
  <c r="N135" i="35"/>
  <c r="O135" i="35"/>
  <c r="P135" i="35"/>
  <c r="Q135" i="35"/>
  <c r="R135" i="35"/>
  <c r="H138" i="35"/>
  <c r="I138" i="35"/>
  <c r="J138" i="35"/>
  <c r="K138" i="35"/>
  <c r="L138" i="35"/>
  <c r="M138" i="35"/>
  <c r="N138" i="35"/>
  <c r="O138" i="35"/>
  <c r="P138" i="35"/>
  <c r="Q138" i="35"/>
  <c r="R138" i="35"/>
  <c r="I139" i="35"/>
  <c r="J139" i="35"/>
  <c r="K139" i="35"/>
  <c r="L139" i="35"/>
  <c r="M139" i="35"/>
  <c r="N139" i="35"/>
  <c r="O139" i="35"/>
  <c r="P139" i="35"/>
  <c r="Q139" i="35"/>
  <c r="R139" i="35"/>
  <c r="J140" i="35"/>
  <c r="K140" i="35"/>
  <c r="L140" i="35"/>
  <c r="M140" i="35"/>
  <c r="N140" i="35"/>
  <c r="O140" i="35"/>
  <c r="P140" i="35"/>
  <c r="Q140" i="35"/>
  <c r="R140" i="35"/>
  <c r="K141" i="35"/>
  <c r="L141" i="35"/>
  <c r="M141" i="35"/>
  <c r="N141" i="35"/>
  <c r="O141" i="35"/>
  <c r="P141" i="35"/>
  <c r="Q141" i="35"/>
  <c r="R141" i="35"/>
  <c r="L142" i="35"/>
  <c r="M142" i="35"/>
  <c r="N142" i="35"/>
  <c r="O142" i="35"/>
  <c r="P142" i="35"/>
  <c r="Q142" i="35"/>
  <c r="R142" i="35"/>
  <c r="M143" i="35"/>
  <c r="N143" i="35"/>
  <c r="O143" i="35"/>
  <c r="P143" i="35"/>
  <c r="Q143" i="35"/>
  <c r="R143" i="35"/>
  <c r="N144" i="35"/>
  <c r="O144" i="35"/>
  <c r="P144" i="35"/>
  <c r="Q144" i="35"/>
  <c r="R144" i="35"/>
  <c r="O145" i="35"/>
  <c r="P145" i="35"/>
  <c r="Q145" i="35"/>
  <c r="R145" i="35"/>
  <c r="P146" i="35"/>
  <c r="Q146" i="35"/>
  <c r="R146" i="35"/>
  <c r="Q147" i="35"/>
  <c r="R147" i="35"/>
  <c r="R148" i="35"/>
  <c r="H149" i="35"/>
  <c r="I149" i="35"/>
  <c r="J149" i="35"/>
  <c r="K149" i="35"/>
  <c r="L149" i="35"/>
  <c r="M149" i="35"/>
  <c r="N149" i="35"/>
  <c r="O149" i="35"/>
  <c r="P149" i="35"/>
  <c r="Q149" i="35"/>
  <c r="R149" i="35"/>
  <c r="H151" i="35"/>
  <c r="I151" i="35"/>
  <c r="J151" i="35"/>
  <c r="K151" i="35"/>
  <c r="L151" i="35"/>
  <c r="M151" i="35"/>
  <c r="N151" i="35"/>
  <c r="O151" i="35"/>
  <c r="P151" i="35"/>
  <c r="Q151" i="35"/>
  <c r="R151" i="35"/>
  <c r="I152" i="35"/>
  <c r="J152" i="35"/>
  <c r="K152" i="35"/>
  <c r="L152" i="35"/>
  <c r="M152" i="35"/>
  <c r="N152" i="35"/>
  <c r="O152" i="35"/>
  <c r="P152" i="35"/>
  <c r="Q152" i="35"/>
  <c r="R152" i="35"/>
  <c r="J153" i="35"/>
  <c r="K153" i="35"/>
  <c r="L153" i="35"/>
  <c r="M153" i="35"/>
  <c r="N153" i="35"/>
  <c r="O153" i="35"/>
  <c r="P153" i="35"/>
  <c r="Q153" i="35"/>
  <c r="R153" i="35"/>
  <c r="K154" i="35"/>
  <c r="L154" i="35"/>
  <c r="M154" i="35"/>
  <c r="N154" i="35"/>
  <c r="O154" i="35"/>
  <c r="P154" i="35"/>
  <c r="Q154" i="35"/>
  <c r="R154" i="35"/>
  <c r="L155" i="35"/>
  <c r="M155" i="35"/>
  <c r="N155" i="35"/>
  <c r="O155" i="35"/>
  <c r="P155" i="35"/>
  <c r="Q155" i="35"/>
  <c r="R155" i="35"/>
  <c r="M156" i="35"/>
  <c r="N156" i="35"/>
  <c r="O156" i="35"/>
  <c r="P156" i="35"/>
  <c r="Q156" i="35"/>
  <c r="R156" i="35"/>
  <c r="N157" i="35"/>
  <c r="O157" i="35"/>
  <c r="P157" i="35"/>
  <c r="Q157" i="35"/>
  <c r="R157" i="35"/>
  <c r="O158" i="35"/>
  <c r="P158" i="35"/>
  <c r="Q158" i="35"/>
  <c r="R158" i="35"/>
  <c r="P159" i="35"/>
  <c r="Q159" i="35"/>
  <c r="R159" i="35"/>
  <c r="Q160" i="35"/>
  <c r="R160" i="35"/>
  <c r="R161" i="35"/>
  <c r="H162" i="35"/>
  <c r="I162" i="35"/>
  <c r="J162" i="35"/>
  <c r="K162" i="35"/>
  <c r="L162" i="35"/>
  <c r="M162" i="35"/>
  <c r="N162" i="35"/>
  <c r="O162" i="35"/>
  <c r="P162" i="35"/>
  <c r="Q162" i="35"/>
  <c r="R162" i="35"/>
  <c r="A1" i="41"/>
  <c r="A1" i="51"/>
  <c r="A2" i="51"/>
  <c r="J12" i="51"/>
  <c r="K12" i="51"/>
  <c r="L12" i="51"/>
  <c r="M12" i="51"/>
  <c r="N12" i="51"/>
  <c r="O12" i="51"/>
  <c r="P12" i="51"/>
  <c r="Q12" i="51"/>
  <c r="R12" i="51"/>
  <c r="S12" i="51"/>
  <c r="T12" i="51"/>
  <c r="J13" i="51"/>
  <c r="K13" i="51"/>
  <c r="J14" i="51"/>
  <c r="J15" i="51"/>
  <c r="J16" i="51"/>
  <c r="J17" i="51"/>
  <c r="J18" i="51"/>
  <c r="J19" i="51"/>
  <c r="J20" i="51"/>
  <c r="E21" i="51"/>
  <c r="F21" i="51"/>
  <c r="G21" i="51"/>
  <c r="J21" i="51"/>
  <c r="E26" i="51"/>
  <c r="F26" i="51"/>
  <c r="G26" i="51"/>
  <c r="E33" i="51"/>
  <c r="F33" i="51"/>
  <c r="G33" i="51"/>
  <c r="K33" i="51"/>
  <c r="L33" i="51"/>
  <c r="E35" i="51"/>
  <c r="F35" i="51"/>
  <c r="G35" i="51"/>
  <c r="E48" i="51"/>
  <c r="F48" i="51"/>
  <c r="G48" i="51"/>
  <c r="E60" i="51"/>
  <c r="F60" i="51"/>
  <c r="G60" i="51"/>
  <c r="E72" i="51"/>
  <c r="F72" i="51"/>
  <c r="G72" i="51"/>
  <c r="E74" i="51"/>
  <c r="F74" i="51"/>
  <c r="G74" i="51"/>
  <c r="D76" i="51"/>
  <c r="E76" i="51"/>
  <c r="F76" i="51"/>
  <c r="G76" i="51"/>
  <c r="H76" i="51"/>
  <c r="I76" i="51"/>
  <c r="J76" i="51"/>
  <c r="K76" i="51"/>
  <c r="L76" i="51"/>
  <c r="M76" i="51"/>
  <c r="N76" i="51"/>
  <c r="O76" i="51"/>
  <c r="P76" i="51"/>
  <c r="Q76" i="51"/>
  <c r="A1" i="52"/>
  <c r="A2" i="52"/>
  <c r="A1" i="53"/>
  <c r="A2" i="53"/>
  <c r="A11" i="53"/>
  <c r="D11" i="53"/>
  <c r="E11" i="53"/>
  <c r="F11" i="53"/>
  <c r="G11" i="53"/>
  <c r="H11" i="53"/>
  <c r="I11" i="53"/>
  <c r="J11" i="53"/>
  <c r="K11" i="53"/>
  <c r="L11" i="53"/>
  <c r="M11" i="53"/>
  <c r="N11" i="53"/>
  <c r="O11" i="53"/>
  <c r="P11" i="53"/>
  <c r="Q11" i="53"/>
  <c r="A12" i="53"/>
  <c r="D12" i="53"/>
  <c r="E12" i="53"/>
  <c r="F12" i="53"/>
  <c r="G12" i="53"/>
  <c r="H12" i="53"/>
  <c r="I12" i="53"/>
  <c r="J12" i="53"/>
  <c r="K12" i="53"/>
  <c r="L12" i="53"/>
  <c r="M12" i="53"/>
  <c r="N12" i="53"/>
  <c r="O12" i="53"/>
  <c r="P12" i="53"/>
  <c r="Q12" i="53"/>
  <c r="A13" i="53"/>
  <c r="D13" i="53"/>
  <c r="E13" i="53"/>
  <c r="F13" i="53"/>
  <c r="G13" i="53"/>
  <c r="H13" i="53"/>
  <c r="I13" i="53"/>
  <c r="J13" i="53"/>
  <c r="K13" i="53"/>
  <c r="L13" i="53"/>
  <c r="M13" i="53"/>
  <c r="N13" i="53"/>
  <c r="O13" i="53"/>
  <c r="P13" i="53"/>
  <c r="Q13" i="53"/>
  <c r="A14" i="53"/>
  <c r="D14" i="53"/>
  <c r="E14" i="53"/>
  <c r="F14" i="53"/>
  <c r="G14" i="53"/>
  <c r="H14" i="53"/>
  <c r="I14" i="53"/>
  <c r="J14" i="53"/>
  <c r="K14" i="53"/>
  <c r="L14" i="53"/>
  <c r="M14" i="53"/>
  <c r="N14" i="53"/>
  <c r="O14" i="53"/>
  <c r="P14" i="53"/>
  <c r="Q14" i="53"/>
  <c r="A15" i="53"/>
  <c r="D15" i="53"/>
  <c r="E15" i="53"/>
  <c r="F15" i="53"/>
  <c r="G15" i="53"/>
  <c r="H15" i="53"/>
  <c r="I15" i="53"/>
  <c r="J15" i="53"/>
  <c r="K15" i="53"/>
  <c r="L15" i="53"/>
  <c r="M15" i="53"/>
  <c r="N15" i="53"/>
  <c r="O15" i="53"/>
  <c r="P15" i="53"/>
  <c r="Q15" i="53"/>
  <c r="A16" i="53"/>
  <c r="D16" i="53"/>
  <c r="E16" i="53"/>
  <c r="F16" i="53"/>
  <c r="G16" i="53"/>
  <c r="H16" i="53"/>
  <c r="I16" i="53"/>
  <c r="J16" i="53"/>
  <c r="K16" i="53"/>
  <c r="L16" i="53"/>
  <c r="M16" i="53"/>
  <c r="N16" i="53"/>
  <c r="O16" i="53"/>
  <c r="P16" i="53"/>
  <c r="Q16" i="53"/>
  <c r="D17" i="53"/>
  <c r="E17" i="53"/>
  <c r="F17" i="53"/>
  <c r="G17" i="53"/>
  <c r="H17" i="53"/>
  <c r="I17" i="53"/>
  <c r="J17" i="53"/>
  <c r="K17" i="53"/>
  <c r="L17" i="53"/>
  <c r="M17" i="53"/>
  <c r="N17" i="53"/>
  <c r="O17" i="53"/>
  <c r="P17" i="53"/>
  <c r="Q17" i="53"/>
  <c r="A20" i="53"/>
  <c r="D20" i="53"/>
  <c r="E20" i="53"/>
  <c r="F20" i="53"/>
  <c r="G20" i="53"/>
  <c r="H20" i="53"/>
  <c r="I20" i="53"/>
  <c r="J20" i="53"/>
  <c r="K20" i="53"/>
  <c r="L20" i="53"/>
  <c r="M20" i="53"/>
  <c r="N20" i="53"/>
  <c r="O20" i="53"/>
  <c r="P20" i="53"/>
  <c r="Q20" i="53"/>
  <c r="A21" i="53"/>
  <c r="D21" i="53"/>
  <c r="E21" i="53"/>
  <c r="F21" i="53"/>
  <c r="G21" i="53"/>
  <c r="H21" i="53"/>
  <c r="I21" i="53"/>
  <c r="J21" i="53"/>
  <c r="K21" i="53"/>
  <c r="L21" i="53"/>
  <c r="M21" i="53"/>
  <c r="N21" i="53"/>
  <c r="O21" i="53"/>
  <c r="P21" i="53"/>
  <c r="Q21" i="53"/>
  <c r="A22" i="53"/>
  <c r="D22" i="53"/>
  <c r="E22" i="53"/>
  <c r="F22" i="53"/>
  <c r="G22" i="53"/>
  <c r="H22" i="53"/>
  <c r="I22" i="53"/>
  <c r="J22" i="53"/>
  <c r="K22" i="53"/>
  <c r="L22" i="53"/>
  <c r="M22" i="53"/>
  <c r="N22" i="53"/>
  <c r="O22" i="53"/>
  <c r="P22" i="53"/>
  <c r="Q22" i="53"/>
  <c r="A23" i="53"/>
  <c r="D23" i="53"/>
  <c r="E23" i="53"/>
  <c r="F23" i="53"/>
  <c r="G23" i="53"/>
  <c r="H23" i="53"/>
  <c r="I23" i="53"/>
  <c r="J23" i="53"/>
  <c r="K23" i="53"/>
  <c r="L23" i="53"/>
  <c r="M23" i="53"/>
  <c r="N23" i="53"/>
  <c r="O23" i="53"/>
  <c r="P23" i="53"/>
  <c r="Q23" i="53"/>
  <c r="A24" i="53"/>
  <c r="D24" i="53"/>
  <c r="E24" i="53"/>
  <c r="F24" i="53"/>
  <c r="G24" i="53"/>
  <c r="H24" i="53"/>
  <c r="I24" i="53"/>
  <c r="J24" i="53"/>
  <c r="K24" i="53"/>
  <c r="L24" i="53"/>
  <c r="M24" i="53"/>
  <c r="N24" i="53"/>
  <c r="O24" i="53"/>
  <c r="P24" i="53"/>
  <c r="Q24" i="53"/>
  <c r="D25" i="53"/>
  <c r="E25" i="53"/>
  <c r="F25" i="53"/>
  <c r="G25" i="53"/>
  <c r="H25" i="53"/>
  <c r="I25" i="53"/>
  <c r="J25" i="53"/>
  <c r="K25" i="53"/>
  <c r="L25" i="53"/>
  <c r="M25" i="53"/>
  <c r="N25" i="53"/>
  <c r="O25" i="53"/>
  <c r="P25" i="53"/>
  <c r="Q25" i="53"/>
  <c r="D27" i="53"/>
  <c r="E27" i="53"/>
  <c r="F27" i="53"/>
  <c r="G27" i="53"/>
  <c r="H27" i="53"/>
  <c r="I27" i="53"/>
  <c r="J27" i="53"/>
  <c r="K27" i="53"/>
  <c r="L27" i="53"/>
  <c r="M27" i="53"/>
  <c r="N27" i="53"/>
  <c r="O27" i="53"/>
  <c r="P27" i="53"/>
  <c r="Q27" i="53"/>
  <c r="G29" i="53"/>
  <c r="D31" i="53"/>
  <c r="E31" i="53"/>
  <c r="F31" i="53"/>
  <c r="G31" i="53"/>
  <c r="H31" i="53"/>
  <c r="I31" i="53"/>
  <c r="J31" i="53"/>
  <c r="K31" i="53"/>
  <c r="L31" i="53"/>
  <c r="M31" i="53"/>
  <c r="N31" i="53"/>
  <c r="O31" i="53"/>
  <c r="P31" i="53"/>
  <c r="Q31" i="53"/>
  <c r="D34" i="53"/>
  <c r="E34" i="53"/>
  <c r="F34" i="53"/>
  <c r="G34" i="53"/>
  <c r="H34" i="53"/>
  <c r="I34" i="53"/>
  <c r="J34" i="53"/>
  <c r="K34" i="53"/>
  <c r="L34" i="53"/>
  <c r="M34" i="53"/>
  <c r="N34" i="53"/>
  <c r="O34" i="53"/>
  <c r="P34" i="53"/>
  <c r="Q34" i="53"/>
  <c r="D35" i="53"/>
  <c r="E35" i="53"/>
  <c r="F35" i="53"/>
  <c r="G35" i="53"/>
  <c r="H35" i="53"/>
  <c r="I35" i="53"/>
  <c r="J35" i="53"/>
  <c r="K35" i="53"/>
  <c r="L35" i="53"/>
  <c r="M35" i="53"/>
  <c r="N35" i="53"/>
  <c r="O35" i="53"/>
  <c r="P35" i="53"/>
  <c r="Q35" i="53"/>
  <c r="D36" i="53"/>
  <c r="E36" i="53"/>
  <c r="F36" i="53"/>
  <c r="G36" i="53"/>
  <c r="H36" i="53"/>
  <c r="I36" i="53"/>
  <c r="J36" i="53"/>
  <c r="K36" i="53"/>
  <c r="L36" i="53"/>
  <c r="M36" i="53"/>
  <c r="N36" i="53"/>
  <c r="O36" i="53"/>
  <c r="P36" i="53"/>
  <c r="Q36" i="53"/>
  <c r="D37" i="53"/>
  <c r="E37" i="53"/>
  <c r="F37" i="53"/>
  <c r="G37" i="53"/>
  <c r="H37" i="53"/>
  <c r="I37" i="53"/>
  <c r="J37" i="53"/>
  <c r="K37" i="53"/>
  <c r="L37" i="53"/>
  <c r="M37" i="53"/>
  <c r="N37" i="53"/>
  <c r="O37" i="53"/>
  <c r="P37" i="53"/>
  <c r="Q37" i="53"/>
  <c r="G40" i="53"/>
  <c r="G41" i="53"/>
  <c r="D44" i="53"/>
  <c r="E44" i="53"/>
  <c r="F44" i="53"/>
  <c r="G44" i="53"/>
  <c r="H44" i="53"/>
  <c r="I44" i="53"/>
  <c r="J44" i="53"/>
  <c r="K44" i="53"/>
  <c r="L44" i="53"/>
  <c r="M44" i="53"/>
  <c r="N44" i="53"/>
  <c r="O44" i="53"/>
  <c r="P44" i="53"/>
  <c r="Q44" i="53"/>
  <c r="D46" i="53"/>
  <c r="E46" i="53"/>
  <c r="F46" i="53"/>
  <c r="G46" i="53"/>
  <c r="H46" i="53"/>
  <c r="I46" i="53"/>
  <c r="J46" i="53"/>
  <c r="K46" i="53"/>
  <c r="L46" i="53"/>
  <c r="M46" i="53"/>
  <c r="N46" i="53"/>
  <c r="O46" i="53"/>
  <c r="P46" i="53"/>
  <c r="Q46" i="53"/>
  <c r="G49" i="53"/>
  <c r="G50" i="53"/>
  <c r="D53" i="53"/>
  <c r="E53" i="53"/>
  <c r="F53" i="53"/>
  <c r="G53" i="53"/>
  <c r="H53" i="53"/>
  <c r="I53" i="53"/>
  <c r="J53" i="53"/>
  <c r="K53" i="53"/>
  <c r="L53" i="53"/>
  <c r="M53" i="53"/>
  <c r="N53" i="53"/>
  <c r="O53" i="53"/>
  <c r="P53" i="53"/>
  <c r="Q53" i="53"/>
  <c r="D55" i="53"/>
  <c r="E55" i="53"/>
  <c r="F55" i="53"/>
  <c r="G55" i="53"/>
  <c r="H55" i="53"/>
  <c r="I55" i="53"/>
  <c r="J55" i="53"/>
  <c r="K55" i="53"/>
  <c r="L55" i="53"/>
  <c r="M55" i="53"/>
  <c r="N55" i="53"/>
  <c r="O55" i="53"/>
  <c r="P55" i="53"/>
  <c r="Q55" i="53"/>
  <c r="E63" i="53"/>
  <c r="F63" i="53"/>
  <c r="G63" i="53"/>
  <c r="H63" i="53"/>
  <c r="I63" i="53"/>
  <c r="J63" i="53"/>
  <c r="K63" i="53"/>
  <c r="L63" i="53"/>
  <c r="M63" i="53"/>
  <c r="N63" i="53"/>
  <c r="O63" i="53"/>
  <c r="P63" i="53"/>
  <c r="Q63" i="53"/>
  <c r="E64" i="53"/>
  <c r="F64" i="53"/>
  <c r="G64" i="53"/>
  <c r="H64" i="53"/>
  <c r="I64" i="53"/>
  <c r="J64" i="53"/>
  <c r="K64" i="53"/>
  <c r="L64" i="53"/>
  <c r="M64" i="53"/>
  <c r="N64" i="53"/>
  <c r="O64" i="53"/>
  <c r="P64" i="53"/>
  <c r="Q64" i="53"/>
  <c r="E65" i="53"/>
  <c r="F65" i="53"/>
  <c r="G65" i="53"/>
  <c r="H65" i="53"/>
  <c r="I65" i="53"/>
  <c r="J65" i="53"/>
  <c r="K65" i="53"/>
  <c r="L65" i="53"/>
  <c r="M65" i="53"/>
  <c r="N65" i="53"/>
  <c r="O65" i="53"/>
  <c r="P65" i="53"/>
  <c r="Q65" i="53"/>
  <c r="D68" i="53"/>
  <c r="E68" i="53"/>
  <c r="F68" i="53"/>
  <c r="G68" i="53"/>
  <c r="H68" i="53"/>
  <c r="I68" i="53"/>
  <c r="J68" i="53"/>
  <c r="K68" i="53"/>
  <c r="L68" i="53"/>
  <c r="M68" i="53"/>
  <c r="N68" i="53"/>
  <c r="O68" i="53"/>
  <c r="P68" i="53"/>
  <c r="Q68" i="53"/>
  <c r="D69" i="53"/>
  <c r="E69" i="53"/>
  <c r="F69" i="53"/>
  <c r="G69" i="53"/>
  <c r="H69" i="53"/>
  <c r="I69" i="53"/>
  <c r="J69" i="53"/>
  <c r="K69" i="53"/>
  <c r="L69" i="53"/>
  <c r="M69" i="53"/>
  <c r="N69" i="53"/>
  <c r="O69" i="53"/>
  <c r="P69" i="53"/>
  <c r="Q69" i="53"/>
  <c r="D70" i="53"/>
  <c r="E70" i="53"/>
  <c r="F70" i="53"/>
  <c r="G70" i="53"/>
  <c r="H70" i="53"/>
  <c r="I70" i="53"/>
  <c r="J70" i="53"/>
  <c r="K70" i="53"/>
  <c r="L70" i="53"/>
  <c r="M70" i="53"/>
  <c r="N70" i="53"/>
  <c r="O70" i="53"/>
  <c r="P70" i="53"/>
  <c r="Q70" i="53"/>
  <c r="G78" i="53"/>
  <c r="H78" i="53"/>
  <c r="I78" i="53"/>
  <c r="J78" i="53"/>
  <c r="K78" i="53"/>
  <c r="L78" i="53"/>
  <c r="M78" i="53"/>
  <c r="N78" i="53"/>
  <c r="O78" i="53"/>
  <c r="P78" i="53"/>
  <c r="Q78" i="53"/>
  <c r="G79" i="53"/>
  <c r="H79" i="53"/>
  <c r="I79" i="53"/>
  <c r="J79" i="53"/>
  <c r="K79" i="53"/>
  <c r="L79" i="53"/>
  <c r="M79" i="53"/>
  <c r="N79" i="53"/>
  <c r="O79" i="53"/>
  <c r="P79" i="53"/>
  <c r="Q79" i="53"/>
  <c r="G80" i="53"/>
  <c r="H80" i="53"/>
  <c r="I80" i="53"/>
  <c r="J80" i="53"/>
  <c r="K80" i="53"/>
  <c r="L80" i="53"/>
  <c r="M80" i="53"/>
  <c r="N80" i="53"/>
  <c r="O80" i="53"/>
  <c r="P80" i="53"/>
  <c r="Q80" i="53"/>
  <c r="H81" i="53"/>
  <c r="I81" i="53"/>
  <c r="J81" i="53"/>
  <c r="K81" i="53"/>
  <c r="L81" i="53"/>
  <c r="M81" i="53"/>
  <c r="N81" i="53"/>
  <c r="O81" i="53"/>
  <c r="P81" i="53"/>
  <c r="Q81" i="53"/>
  <c r="H82" i="53"/>
  <c r="I82" i="53"/>
  <c r="J82" i="53"/>
  <c r="K82" i="53"/>
  <c r="L82" i="53"/>
  <c r="M82" i="53"/>
  <c r="N82" i="53"/>
  <c r="O82" i="53"/>
  <c r="P82" i="53"/>
  <c r="Q82" i="53"/>
  <c r="H83" i="53"/>
  <c r="I83" i="53"/>
  <c r="J83" i="53"/>
  <c r="K83" i="53"/>
  <c r="L83" i="53"/>
  <c r="M83" i="53"/>
  <c r="N83" i="53"/>
  <c r="O83" i="53"/>
  <c r="P83" i="53"/>
  <c r="Q83" i="53"/>
  <c r="D84" i="53"/>
  <c r="E84" i="53"/>
  <c r="F84" i="53"/>
  <c r="G84" i="53"/>
  <c r="H84" i="53"/>
  <c r="I84" i="53"/>
  <c r="J84" i="53"/>
  <c r="K84" i="53"/>
  <c r="L84" i="53"/>
  <c r="M84" i="53"/>
  <c r="N84" i="53"/>
  <c r="O84" i="53"/>
  <c r="P84" i="53"/>
  <c r="Q84" i="53"/>
  <c r="G100" i="53"/>
  <c r="H100" i="53"/>
  <c r="I100" i="53"/>
  <c r="J100" i="53"/>
  <c r="K100" i="53"/>
  <c r="L100" i="53"/>
  <c r="M100" i="53"/>
  <c r="N100" i="53"/>
  <c r="O100" i="53"/>
  <c r="P100" i="53"/>
  <c r="Q100" i="53"/>
  <c r="H101" i="53"/>
  <c r="I101" i="53"/>
  <c r="J101" i="53"/>
  <c r="K101" i="53"/>
  <c r="L101" i="53"/>
  <c r="M101" i="53"/>
  <c r="N101" i="53"/>
  <c r="O101" i="53"/>
  <c r="P101" i="53"/>
  <c r="Q101" i="53"/>
  <c r="H102" i="53"/>
  <c r="I102" i="53"/>
  <c r="J102" i="53"/>
  <c r="K102" i="53"/>
  <c r="L102" i="53"/>
  <c r="M102" i="53"/>
  <c r="N102" i="53"/>
  <c r="O102" i="53"/>
  <c r="P102" i="53"/>
  <c r="Q102" i="53"/>
  <c r="H103" i="53"/>
  <c r="I103" i="53"/>
  <c r="J103" i="53"/>
  <c r="K103" i="53"/>
  <c r="L103" i="53"/>
  <c r="M103" i="53"/>
  <c r="N103" i="53"/>
  <c r="O103" i="53"/>
  <c r="P103" i="53"/>
  <c r="Q103" i="53"/>
  <c r="H104" i="53"/>
  <c r="I104" i="53"/>
  <c r="J104" i="53"/>
  <c r="K104" i="53"/>
  <c r="L104" i="53"/>
  <c r="M104" i="53"/>
  <c r="N104" i="53"/>
  <c r="O104" i="53"/>
  <c r="P104" i="53"/>
  <c r="Q104" i="53"/>
  <c r="D105" i="53"/>
  <c r="E105" i="53"/>
  <c r="F105" i="53"/>
  <c r="G105" i="53"/>
  <c r="H105" i="53"/>
  <c r="I105" i="53"/>
  <c r="J105" i="53"/>
  <c r="K105" i="53"/>
  <c r="L105" i="53"/>
  <c r="M105" i="53"/>
  <c r="N105" i="53"/>
  <c r="O105" i="53"/>
  <c r="P105" i="53"/>
  <c r="Q105" i="53"/>
  <c r="G120" i="53"/>
  <c r="H120" i="53"/>
  <c r="I120" i="53"/>
  <c r="J120" i="53"/>
  <c r="K120" i="53"/>
  <c r="L120" i="53"/>
  <c r="M120" i="53"/>
  <c r="N120" i="53"/>
  <c r="O120" i="53"/>
  <c r="P120" i="53"/>
  <c r="Q120" i="53"/>
  <c r="H121" i="53"/>
  <c r="I121" i="53"/>
  <c r="J121" i="53"/>
  <c r="K121" i="53"/>
  <c r="L121" i="53"/>
  <c r="M121" i="53"/>
  <c r="N121" i="53"/>
  <c r="O121" i="53"/>
  <c r="P121" i="53"/>
  <c r="Q121" i="53"/>
  <c r="H122" i="53"/>
  <c r="I122" i="53"/>
  <c r="J122" i="53"/>
  <c r="K122" i="53"/>
  <c r="L122" i="53"/>
  <c r="M122" i="53"/>
  <c r="N122" i="53"/>
  <c r="O122" i="53"/>
  <c r="P122" i="53"/>
  <c r="Q122" i="53"/>
  <c r="D123" i="53"/>
  <c r="E123" i="53"/>
  <c r="F123" i="53"/>
  <c r="G123" i="53"/>
  <c r="H123" i="53"/>
  <c r="I123" i="53"/>
  <c r="J123" i="53"/>
  <c r="K123" i="53"/>
  <c r="L123" i="53"/>
  <c r="M123" i="53"/>
  <c r="N123" i="53"/>
  <c r="O123" i="53"/>
  <c r="P123" i="53"/>
  <c r="Q123" i="53"/>
  <c r="B135" i="53"/>
  <c r="H135" i="53"/>
  <c r="I135" i="53"/>
  <c r="J135" i="53"/>
  <c r="K135" i="53"/>
  <c r="L135" i="53"/>
  <c r="M135" i="53"/>
  <c r="N135" i="53"/>
  <c r="O135" i="53"/>
  <c r="P135" i="53"/>
  <c r="Q135" i="53"/>
  <c r="R135" i="53"/>
  <c r="B136" i="53"/>
  <c r="H136" i="53"/>
  <c r="I136" i="53"/>
  <c r="J136" i="53"/>
  <c r="K136" i="53"/>
  <c r="L136" i="53"/>
  <c r="M136" i="53"/>
  <c r="N136" i="53"/>
  <c r="O136" i="53"/>
  <c r="P136" i="53"/>
  <c r="Q136" i="53"/>
  <c r="R136" i="53"/>
  <c r="H137" i="53"/>
  <c r="I137" i="53"/>
  <c r="J137" i="53"/>
  <c r="K137" i="53"/>
  <c r="L137" i="53"/>
  <c r="M137" i="53"/>
  <c r="N137" i="53"/>
  <c r="O137" i="53"/>
  <c r="P137" i="53"/>
  <c r="Q137" i="53"/>
  <c r="R137" i="53"/>
  <c r="H138" i="53"/>
  <c r="I138" i="53"/>
  <c r="J138" i="53"/>
  <c r="K138" i="53"/>
  <c r="L138" i="53"/>
  <c r="M138" i="53"/>
  <c r="N138" i="53"/>
  <c r="O138" i="53"/>
  <c r="P138" i="53"/>
  <c r="Q138" i="53"/>
  <c r="R138" i="53"/>
  <c r="H141" i="53"/>
  <c r="I141" i="53"/>
  <c r="J141" i="53"/>
  <c r="K141" i="53"/>
  <c r="L141" i="53"/>
  <c r="M141" i="53"/>
  <c r="N141" i="53"/>
  <c r="O141" i="53"/>
  <c r="P141" i="53"/>
  <c r="Q141" i="53"/>
  <c r="R141" i="53"/>
  <c r="H142" i="53"/>
  <c r="I142" i="53"/>
  <c r="J142" i="53"/>
  <c r="K142" i="53"/>
  <c r="L142" i="53"/>
  <c r="M142" i="53"/>
  <c r="N142" i="53"/>
  <c r="O142" i="53"/>
  <c r="P142" i="53"/>
  <c r="Q142" i="53"/>
  <c r="R142" i="53"/>
  <c r="H143" i="53"/>
  <c r="I143" i="53"/>
  <c r="J143" i="53"/>
  <c r="K143" i="53"/>
  <c r="L143" i="53"/>
  <c r="M143" i="53"/>
  <c r="N143" i="53"/>
  <c r="O143" i="53"/>
  <c r="P143" i="53"/>
  <c r="Q143" i="53"/>
  <c r="R143" i="53"/>
  <c r="A1" i="44"/>
  <c r="H14" i="44"/>
  <c r="I14" i="44"/>
  <c r="J14" i="44"/>
  <c r="K14" i="44"/>
  <c r="L14" i="44"/>
  <c r="M14" i="44"/>
  <c r="N14" i="44"/>
  <c r="O14" i="44"/>
  <c r="P14" i="44"/>
  <c r="Q14" i="44"/>
  <c r="R14" i="44"/>
  <c r="H15" i="44"/>
  <c r="I15" i="44"/>
  <c r="J15" i="44"/>
  <c r="K15" i="44"/>
  <c r="L15" i="44"/>
  <c r="M15" i="44"/>
  <c r="N15" i="44"/>
  <c r="O15" i="44"/>
  <c r="P15" i="44"/>
  <c r="Q15" i="44"/>
  <c r="R15" i="44"/>
  <c r="H17" i="44"/>
  <c r="I17" i="44"/>
  <c r="J17" i="44"/>
  <c r="K17" i="44"/>
  <c r="L17" i="44"/>
  <c r="M17" i="44"/>
  <c r="N17" i="44"/>
  <c r="O17" i="44"/>
  <c r="P17" i="44"/>
  <c r="Q17" i="44"/>
  <c r="R17" i="44"/>
  <c r="I18" i="44"/>
  <c r="J18" i="44"/>
  <c r="K18" i="44"/>
  <c r="L18" i="44"/>
  <c r="M18" i="44"/>
  <c r="N18" i="44"/>
  <c r="O18" i="44"/>
  <c r="P18" i="44"/>
  <c r="Q18" i="44"/>
  <c r="R18" i="44"/>
  <c r="F20" i="44"/>
  <c r="G20" i="44"/>
  <c r="H20" i="44"/>
  <c r="I20" i="44"/>
  <c r="J20" i="44"/>
  <c r="K20" i="44"/>
  <c r="L20" i="44"/>
  <c r="M20" i="44"/>
  <c r="N20" i="44"/>
  <c r="O20" i="44"/>
  <c r="P20" i="44"/>
  <c r="Q20" i="44"/>
  <c r="R20" i="44"/>
  <c r="H22" i="44"/>
  <c r="I22" i="44"/>
  <c r="J22" i="44"/>
  <c r="K22" i="44"/>
  <c r="L22" i="44"/>
  <c r="M22" i="44"/>
  <c r="N22" i="44"/>
  <c r="O22" i="44"/>
  <c r="P22" i="44"/>
  <c r="Q22" i="44"/>
  <c r="R22" i="44"/>
  <c r="A1" i="46"/>
  <c r="C5" i="46"/>
  <c r="C6" i="46"/>
  <c r="B11" i="46"/>
  <c r="C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Q33" i="46"/>
  <c r="C34" i="46"/>
  <c r="C36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Q36" i="46"/>
  <c r="C40" i="46"/>
  <c r="D40" i="46"/>
  <c r="E40" i="46"/>
  <c r="F40" i="46"/>
  <c r="G40" i="46"/>
  <c r="H40" i="46"/>
  <c r="I40" i="46"/>
  <c r="J40" i="46"/>
  <c r="K40" i="46"/>
  <c r="L40" i="46"/>
  <c r="M40" i="46"/>
  <c r="N40" i="46"/>
  <c r="O40" i="46"/>
  <c r="P40" i="46"/>
  <c r="Q40" i="46"/>
  <c r="C41" i="46"/>
  <c r="C43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P43" i="46"/>
  <c r="Q43" i="46"/>
  <c r="B50" i="46"/>
  <c r="A1" i="38"/>
  <c r="D2" i="38"/>
  <c r="D3" i="38"/>
  <c r="D7" i="38"/>
  <c r="E7" i="38"/>
  <c r="F7" i="38"/>
  <c r="D8" i="38"/>
  <c r="E8" i="38"/>
  <c r="F8" i="38"/>
  <c r="C9" i="38"/>
  <c r="D13" i="38"/>
  <c r="D15" i="38"/>
  <c r="E15" i="38"/>
  <c r="F15" i="38"/>
  <c r="D16" i="38"/>
  <c r="E16" i="38"/>
  <c r="F16" i="38"/>
  <c r="C17" i="38"/>
  <c r="A1" i="60"/>
  <c r="D11" i="60"/>
  <c r="E11" i="60"/>
  <c r="F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D13" i="60"/>
  <c r="E13" i="60"/>
  <c r="F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D15" i="60"/>
  <c r="E15" i="60"/>
  <c r="F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D16" i="60"/>
  <c r="E16" i="60"/>
  <c r="F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D17" i="60"/>
  <c r="E17" i="60"/>
  <c r="F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H19" i="60"/>
  <c r="I19" i="60"/>
  <c r="J19" i="60"/>
  <c r="K19" i="60"/>
  <c r="L19" i="60"/>
  <c r="M19" i="60"/>
  <c r="N19" i="60"/>
  <c r="O19" i="60"/>
  <c r="P19" i="60"/>
  <c r="Q19" i="60"/>
  <c r="R19" i="60"/>
  <c r="I20" i="60"/>
  <c r="J20" i="60"/>
  <c r="K20" i="60"/>
  <c r="L20" i="60"/>
  <c r="M20" i="60"/>
  <c r="N20" i="60"/>
  <c r="O20" i="60"/>
  <c r="P20" i="60"/>
  <c r="Q20" i="60"/>
  <c r="R20" i="60"/>
  <c r="D21" i="60"/>
  <c r="E21" i="60"/>
  <c r="F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D23" i="60"/>
  <c r="E23" i="60"/>
  <c r="F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D26" i="60"/>
  <c r="E26" i="60"/>
  <c r="F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D27" i="60"/>
  <c r="E27" i="60"/>
  <c r="F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B28" i="60"/>
  <c r="D28" i="60"/>
  <c r="E28" i="60"/>
  <c r="F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D30" i="60"/>
  <c r="E30" i="60"/>
  <c r="F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D32" i="60"/>
  <c r="E32" i="60"/>
  <c r="F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D33" i="60"/>
  <c r="E33" i="60"/>
  <c r="F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D35" i="60"/>
  <c r="E35" i="60"/>
  <c r="F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S37" i="60"/>
  <c r="I40" i="60"/>
  <c r="L41" i="60"/>
  <c r="M41" i="60"/>
  <c r="N41" i="60"/>
  <c r="G43" i="60"/>
  <c r="I43" i="60"/>
  <c r="L43" i="60"/>
  <c r="M43" i="60"/>
  <c r="N43" i="60"/>
  <c r="E51" i="60"/>
  <c r="F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E52" i="60"/>
  <c r="F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H53" i="60"/>
  <c r="I53" i="60"/>
  <c r="J53" i="60"/>
  <c r="K53" i="60"/>
  <c r="L53" i="60"/>
  <c r="M53" i="60"/>
  <c r="N53" i="60"/>
  <c r="O53" i="60"/>
  <c r="P53" i="60"/>
  <c r="Q53" i="60"/>
  <c r="R53" i="60"/>
  <c r="E54" i="60"/>
  <c r="F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E55" i="60"/>
  <c r="F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H56" i="60"/>
  <c r="I56" i="60"/>
  <c r="J56" i="60"/>
  <c r="K56" i="60"/>
  <c r="L56" i="60"/>
  <c r="M56" i="60"/>
  <c r="N56" i="60"/>
  <c r="O56" i="60"/>
  <c r="P56" i="60"/>
  <c r="Q56" i="60"/>
  <c r="R56" i="60"/>
  <c r="H57" i="60"/>
  <c r="I57" i="60"/>
  <c r="J57" i="60"/>
  <c r="K57" i="60"/>
  <c r="L57" i="60"/>
  <c r="M57" i="60"/>
  <c r="N57" i="60"/>
  <c r="O57" i="60"/>
  <c r="P57" i="60"/>
  <c r="Q57" i="60"/>
  <c r="R57" i="60"/>
  <c r="H58" i="60"/>
  <c r="I58" i="60"/>
  <c r="J58" i="60"/>
  <c r="K58" i="60"/>
  <c r="L58" i="60"/>
  <c r="M58" i="60"/>
  <c r="N58" i="60"/>
  <c r="O58" i="60"/>
  <c r="P58" i="60"/>
  <c r="Q58" i="60"/>
  <c r="R58" i="60"/>
  <c r="D59" i="60"/>
  <c r="E59" i="60"/>
  <c r="F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E64" i="60"/>
  <c r="F64" i="60"/>
  <c r="G64" i="60"/>
  <c r="H64" i="60"/>
  <c r="M64" i="60"/>
  <c r="N64" i="60"/>
  <c r="O64" i="60"/>
  <c r="P64" i="60"/>
  <c r="Q64" i="60"/>
  <c r="R64" i="60"/>
  <c r="A67" i="60"/>
  <c r="I69" i="60"/>
  <c r="J69" i="60"/>
  <c r="K69" i="60"/>
  <c r="L69" i="60"/>
  <c r="E75" i="60"/>
  <c r="F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E76" i="60"/>
  <c r="F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E77" i="60"/>
  <c r="F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E78" i="60"/>
  <c r="F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H79" i="60"/>
  <c r="I79" i="60"/>
  <c r="J79" i="60"/>
  <c r="K79" i="60"/>
  <c r="L79" i="60"/>
  <c r="M79" i="60"/>
  <c r="N79" i="60"/>
  <c r="O79" i="60"/>
  <c r="P79" i="60"/>
  <c r="Q79" i="60"/>
  <c r="R79" i="60"/>
  <c r="E80" i="60"/>
  <c r="F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H81" i="60"/>
  <c r="I81" i="60"/>
  <c r="J81" i="60"/>
  <c r="K81" i="60"/>
  <c r="L81" i="60"/>
  <c r="M81" i="60"/>
  <c r="N81" i="60"/>
  <c r="O81" i="60"/>
  <c r="P81" i="60"/>
  <c r="Q81" i="60"/>
  <c r="R81" i="60"/>
  <c r="H82" i="60"/>
  <c r="I82" i="60"/>
  <c r="J82" i="60"/>
  <c r="K82" i="60"/>
  <c r="L82" i="60"/>
  <c r="M82" i="60"/>
  <c r="N82" i="60"/>
  <c r="O82" i="60"/>
  <c r="P82" i="60"/>
  <c r="Q82" i="60"/>
  <c r="R82" i="60"/>
  <c r="D83" i="60"/>
  <c r="E83" i="60"/>
  <c r="F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A90" i="60"/>
  <c r="I90" i="60"/>
  <c r="J90" i="60"/>
  <c r="K90" i="60"/>
  <c r="L90" i="60"/>
  <c r="N90" i="60"/>
  <c r="E92" i="60"/>
  <c r="F92" i="60"/>
  <c r="G92" i="60"/>
  <c r="J92" i="60"/>
  <c r="K92" i="60"/>
  <c r="L92" i="60"/>
  <c r="M92" i="60"/>
  <c r="N92" i="60"/>
  <c r="O92" i="60"/>
  <c r="P92" i="60"/>
  <c r="Q92" i="60"/>
  <c r="R92" i="60"/>
  <c r="E93" i="60"/>
  <c r="F93" i="60"/>
  <c r="G93" i="60"/>
  <c r="J93" i="60"/>
  <c r="K93" i="60"/>
  <c r="L93" i="60"/>
  <c r="M93" i="60"/>
  <c r="N93" i="60"/>
  <c r="O93" i="60"/>
  <c r="P93" i="60"/>
  <c r="Q93" i="60"/>
  <c r="R93" i="60"/>
  <c r="H99" i="60"/>
  <c r="I99" i="60"/>
  <c r="J99" i="60"/>
  <c r="K99" i="60"/>
  <c r="L99" i="60"/>
  <c r="M99" i="60"/>
  <c r="N99" i="60"/>
  <c r="O99" i="60"/>
  <c r="P99" i="60"/>
  <c r="Q99" i="60"/>
  <c r="R99" i="60"/>
  <c r="H100" i="60"/>
  <c r="I100" i="60"/>
  <c r="J100" i="60"/>
  <c r="K100" i="60"/>
  <c r="L100" i="60"/>
  <c r="M100" i="60"/>
  <c r="N100" i="60"/>
  <c r="O100" i="60"/>
  <c r="P100" i="60"/>
  <c r="Q100" i="60"/>
  <c r="R100" i="60"/>
  <c r="H101" i="60"/>
  <c r="I101" i="60"/>
  <c r="J101" i="60"/>
  <c r="K101" i="60"/>
  <c r="L101" i="60"/>
  <c r="M101" i="60"/>
  <c r="N101" i="60"/>
  <c r="O101" i="60"/>
  <c r="P101" i="60"/>
  <c r="Q101" i="60"/>
  <c r="R101" i="60"/>
  <c r="H102" i="60"/>
  <c r="I102" i="60"/>
  <c r="J102" i="60"/>
  <c r="K102" i="60"/>
  <c r="L102" i="60"/>
  <c r="M102" i="60"/>
  <c r="N102" i="60"/>
  <c r="O102" i="60"/>
  <c r="P102" i="60"/>
  <c r="Q102" i="60"/>
  <c r="R102" i="60"/>
  <c r="H103" i="60"/>
  <c r="I103" i="60"/>
  <c r="J103" i="60"/>
  <c r="K103" i="60"/>
  <c r="L103" i="60"/>
  <c r="M103" i="60"/>
  <c r="N103" i="60"/>
  <c r="O103" i="60"/>
  <c r="P103" i="60"/>
  <c r="Q103" i="60"/>
  <c r="R103" i="60"/>
  <c r="H104" i="60"/>
  <c r="I104" i="60"/>
  <c r="J104" i="60"/>
  <c r="K104" i="60"/>
  <c r="L104" i="60"/>
  <c r="M104" i="60"/>
  <c r="N104" i="60"/>
  <c r="O104" i="60"/>
  <c r="P104" i="60"/>
  <c r="Q104" i="60"/>
  <c r="R104" i="60"/>
  <c r="H105" i="60"/>
  <c r="I105" i="60"/>
  <c r="J105" i="60"/>
  <c r="K105" i="60"/>
  <c r="L105" i="60"/>
  <c r="M105" i="60"/>
  <c r="N105" i="60"/>
  <c r="O105" i="60"/>
  <c r="P105" i="60"/>
  <c r="Q105" i="60"/>
  <c r="R105" i="60"/>
  <c r="H106" i="60"/>
  <c r="I106" i="60"/>
  <c r="J106" i="60"/>
  <c r="K106" i="60"/>
  <c r="L106" i="60"/>
  <c r="M106" i="60"/>
  <c r="N106" i="60"/>
  <c r="O106" i="60"/>
  <c r="P106" i="60"/>
  <c r="Q106" i="60"/>
  <c r="R106" i="60"/>
  <c r="D107" i="60"/>
  <c r="E107" i="60"/>
  <c r="F107" i="60"/>
  <c r="G107" i="60"/>
  <c r="H107" i="60"/>
  <c r="I107" i="60"/>
  <c r="J107" i="60"/>
  <c r="K107" i="60"/>
  <c r="L107" i="60"/>
  <c r="M107" i="60"/>
  <c r="N107" i="60"/>
  <c r="O107" i="60"/>
  <c r="P107" i="60"/>
  <c r="Q107" i="60"/>
  <c r="R107" i="60"/>
  <c r="E112" i="60"/>
  <c r="F112" i="60"/>
  <c r="G112" i="60"/>
  <c r="H112" i="60"/>
  <c r="J112" i="60"/>
  <c r="K112" i="60"/>
  <c r="L112" i="60"/>
  <c r="N112" i="60"/>
  <c r="O112" i="60"/>
  <c r="P112" i="60"/>
  <c r="Q112" i="60"/>
  <c r="R112" i="60"/>
  <c r="J113" i="60"/>
  <c r="K113" i="60"/>
  <c r="L113" i="60"/>
  <c r="M113" i="60"/>
  <c r="N113" i="60"/>
  <c r="O113" i="60"/>
  <c r="P113" i="60"/>
  <c r="Q113" i="60"/>
  <c r="R113" i="60"/>
  <c r="I115" i="60"/>
  <c r="J115" i="60"/>
  <c r="L115" i="60"/>
  <c r="M115" i="60"/>
  <c r="N115" i="60"/>
  <c r="O115" i="60"/>
  <c r="P115" i="60"/>
  <c r="Q115" i="60"/>
  <c r="R115" i="60"/>
  <c r="I125" i="60"/>
  <c r="J125" i="60"/>
  <c r="K125" i="60"/>
  <c r="L125" i="60"/>
  <c r="M125" i="60"/>
  <c r="N125" i="60"/>
  <c r="O125" i="60"/>
  <c r="P125" i="60"/>
  <c r="Q125" i="60"/>
  <c r="R125" i="60"/>
  <c r="S125" i="60"/>
  <c r="H126" i="60"/>
  <c r="I126" i="60"/>
  <c r="J126" i="60"/>
  <c r="K126" i="60"/>
  <c r="L126" i="60"/>
  <c r="M126" i="60"/>
  <c r="N126" i="60"/>
  <c r="O126" i="60"/>
  <c r="P126" i="60"/>
  <c r="Q126" i="60"/>
  <c r="R126" i="60"/>
  <c r="S126" i="60"/>
  <c r="H127" i="60"/>
  <c r="I127" i="60"/>
  <c r="J127" i="60"/>
  <c r="K127" i="60"/>
  <c r="L127" i="60"/>
  <c r="M127" i="60"/>
  <c r="N127" i="60"/>
  <c r="O127" i="60"/>
  <c r="P127" i="60"/>
  <c r="Q127" i="60"/>
  <c r="R127" i="60"/>
  <c r="H128" i="60"/>
  <c r="I128" i="60"/>
  <c r="J128" i="60"/>
  <c r="K128" i="60"/>
  <c r="L128" i="60"/>
  <c r="M128" i="60"/>
  <c r="N128" i="60"/>
  <c r="O128" i="60"/>
  <c r="P128" i="60"/>
  <c r="Q128" i="60"/>
  <c r="R128" i="60"/>
  <c r="N130" i="60"/>
  <c r="O130" i="60"/>
  <c r="Q130" i="60"/>
  <c r="R130" i="60"/>
  <c r="H132" i="60"/>
  <c r="I132" i="60"/>
  <c r="J132" i="60"/>
  <c r="K132" i="60"/>
  <c r="L132" i="60"/>
  <c r="M132" i="60"/>
  <c r="N132" i="60"/>
  <c r="O132" i="60"/>
  <c r="P132" i="60"/>
  <c r="Q132" i="60"/>
  <c r="R132" i="60"/>
  <c r="S132" i="60"/>
  <c r="H133" i="60"/>
  <c r="I133" i="60"/>
  <c r="J133" i="60"/>
  <c r="K133" i="60"/>
  <c r="L133" i="60"/>
  <c r="M133" i="60"/>
  <c r="N133" i="60"/>
  <c r="O133" i="60"/>
  <c r="P133" i="60"/>
  <c r="Q133" i="60"/>
  <c r="R133" i="60"/>
  <c r="D134" i="60"/>
  <c r="E134" i="60"/>
  <c r="F134" i="60"/>
  <c r="G134" i="60"/>
  <c r="H134" i="60"/>
  <c r="I134" i="60"/>
  <c r="J134" i="60"/>
  <c r="K134" i="60"/>
  <c r="L134" i="60"/>
  <c r="M134" i="60"/>
  <c r="N134" i="60"/>
  <c r="O134" i="60"/>
  <c r="P134" i="60"/>
  <c r="Q134" i="60"/>
  <c r="R134" i="60"/>
  <c r="D135" i="60"/>
  <c r="E135" i="60"/>
  <c r="F135" i="60"/>
  <c r="G135" i="60"/>
  <c r="H135" i="60"/>
  <c r="I135" i="60"/>
  <c r="J135" i="60"/>
  <c r="K135" i="60"/>
  <c r="L135" i="60"/>
  <c r="M135" i="60"/>
  <c r="N135" i="60"/>
  <c r="O135" i="60"/>
  <c r="P135" i="60"/>
  <c r="Q135" i="60"/>
  <c r="R135" i="60"/>
  <c r="H138" i="60"/>
  <c r="I138" i="60"/>
  <c r="J138" i="60"/>
  <c r="K138" i="60"/>
  <c r="L138" i="60"/>
  <c r="M138" i="60"/>
  <c r="N138" i="60"/>
  <c r="O138" i="60"/>
  <c r="P138" i="60"/>
  <c r="Q138" i="60"/>
  <c r="R138" i="60"/>
  <c r="I139" i="60"/>
  <c r="J139" i="60"/>
  <c r="K139" i="60"/>
  <c r="L139" i="60"/>
  <c r="M139" i="60"/>
  <c r="N139" i="60"/>
  <c r="O139" i="60"/>
  <c r="P139" i="60"/>
  <c r="Q139" i="60"/>
  <c r="R139" i="60"/>
  <c r="J140" i="60"/>
  <c r="K140" i="60"/>
  <c r="L140" i="60"/>
  <c r="M140" i="60"/>
  <c r="N140" i="60"/>
  <c r="O140" i="60"/>
  <c r="P140" i="60"/>
  <c r="Q140" i="60"/>
  <c r="R140" i="60"/>
  <c r="K141" i="60"/>
  <c r="L141" i="60"/>
  <c r="M141" i="60"/>
  <c r="N141" i="60"/>
  <c r="O141" i="60"/>
  <c r="P141" i="60"/>
  <c r="Q141" i="60"/>
  <c r="R141" i="60"/>
  <c r="L142" i="60"/>
  <c r="M142" i="60"/>
  <c r="N142" i="60"/>
  <c r="O142" i="60"/>
  <c r="P142" i="60"/>
  <c r="Q142" i="60"/>
  <c r="R142" i="60"/>
  <c r="M143" i="60"/>
  <c r="N143" i="60"/>
  <c r="O143" i="60"/>
  <c r="P143" i="60"/>
  <c r="Q143" i="60"/>
  <c r="R143" i="60"/>
  <c r="N144" i="60"/>
  <c r="O144" i="60"/>
  <c r="P144" i="60"/>
  <c r="Q144" i="60"/>
  <c r="R144" i="60"/>
  <c r="O145" i="60"/>
  <c r="P145" i="60"/>
  <c r="Q145" i="60"/>
  <c r="R145" i="60"/>
  <c r="P146" i="60"/>
  <c r="Q146" i="60"/>
  <c r="R146" i="60"/>
  <c r="Q147" i="60"/>
  <c r="R147" i="60"/>
  <c r="R148" i="60"/>
  <c r="H149" i="60"/>
  <c r="I149" i="60"/>
  <c r="J149" i="60"/>
  <c r="K149" i="60"/>
  <c r="L149" i="60"/>
  <c r="M149" i="60"/>
  <c r="N149" i="60"/>
  <c r="O149" i="60"/>
  <c r="P149" i="60"/>
  <c r="Q149" i="60"/>
  <c r="R149" i="60"/>
  <c r="H151" i="60"/>
  <c r="I151" i="60"/>
  <c r="J151" i="60"/>
  <c r="K151" i="60"/>
  <c r="L151" i="60"/>
  <c r="M151" i="60"/>
  <c r="N151" i="60"/>
  <c r="O151" i="60"/>
  <c r="P151" i="60"/>
  <c r="Q151" i="60"/>
  <c r="R151" i="60"/>
  <c r="I152" i="60"/>
  <c r="J152" i="60"/>
  <c r="K152" i="60"/>
  <c r="L152" i="60"/>
  <c r="M152" i="60"/>
  <c r="N152" i="60"/>
  <c r="O152" i="60"/>
  <c r="P152" i="60"/>
  <c r="Q152" i="60"/>
  <c r="R152" i="60"/>
  <c r="J153" i="60"/>
  <c r="K153" i="60"/>
  <c r="L153" i="60"/>
  <c r="M153" i="60"/>
  <c r="N153" i="60"/>
  <c r="O153" i="60"/>
  <c r="P153" i="60"/>
  <c r="Q153" i="60"/>
  <c r="R153" i="60"/>
  <c r="K154" i="60"/>
  <c r="L154" i="60"/>
  <c r="M154" i="60"/>
  <c r="N154" i="60"/>
  <c r="O154" i="60"/>
  <c r="P154" i="60"/>
  <c r="Q154" i="60"/>
  <c r="R154" i="60"/>
  <c r="L155" i="60"/>
  <c r="M155" i="60"/>
  <c r="N155" i="60"/>
  <c r="O155" i="60"/>
  <c r="P155" i="60"/>
  <c r="Q155" i="60"/>
  <c r="R155" i="60"/>
  <c r="M156" i="60"/>
  <c r="N156" i="60"/>
  <c r="O156" i="60"/>
  <c r="P156" i="60"/>
  <c r="Q156" i="60"/>
  <c r="R156" i="60"/>
  <c r="N157" i="60"/>
  <c r="O157" i="60"/>
  <c r="P157" i="60"/>
  <c r="Q157" i="60"/>
  <c r="R157" i="60"/>
  <c r="O158" i="60"/>
  <c r="P158" i="60"/>
  <c r="Q158" i="60"/>
  <c r="R158" i="60"/>
  <c r="P159" i="60"/>
  <c r="Q159" i="60"/>
  <c r="R159" i="60"/>
  <c r="Q160" i="60"/>
  <c r="R160" i="60"/>
  <c r="R161" i="60"/>
  <c r="H162" i="60"/>
  <c r="I162" i="60"/>
  <c r="J162" i="60"/>
  <c r="K162" i="60"/>
  <c r="L162" i="60"/>
  <c r="M162" i="60"/>
  <c r="N162" i="60"/>
  <c r="O162" i="60"/>
  <c r="P162" i="60"/>
  <c r="Q162" i="60"/>
  <c r="R162" i="60"/>
  <c r="E163" i="60"/>
  <c r="F163" i="60"/>
  <c r="G163" i="60"/>
  <c r="A1" i="57"/>
  <c r="D11" i="57"/>
  <c r="E11" i="57"/>
  <c r="F11" i="57"/>
  <c r="G11" i="57"/>
  <c r="H11" i="57"/>
  <c r="I11" i="57"/>
  <c r="J11" i="57"/>
  <c r="K11" i="57"/>
  <c r="L11" i="57"/>
  <c r="M11" i="57"/>
  <c r="N11" i="57"/>
  <c r="O11" i="57"/>
  <c r="P11" i="57"/>
  <c r="Q11" i="57"/>
  <c r="R11" i="57"/>
  <c r="D13" i="57"/>
  <c r="E13" i="57"/>
  <c r="F13" i="57"/>
  <c r="G13" i="57"/>
  <c r="H13" i="57"/>
  <c r="I13" i="57"/>
  <c r="J13" i="57"/>
  <c r="K13" i="57"/>
  <c r="L13" i="57"/>
  <c r="M13" i="57"/>
  <c r="N13" i="57"/>
  <c r="O13" i="57"/>
  <c r="P13" i="57"/>
  <c r="Q13" i="57"/>
  <c r="R13" i="57"/>
  <c r="D15" i="57"/>
  <c r="E15" i="57"/>
  <c r="F15" i="57"/>
  <c r="G15" i="57"/>
  <c r="H15" i="57"/>
  <c r="I15" i="57"/>
  <c r="J15" i="57"/>
  <c r="K15" i="57"/>
  <c r="L15" i="57"/>
  <c r="M15" i="57"/>
  <c r="N15" i="57"/>
  <c r="O15" i="57"/>
  <c r="P15" i="57"/>
  <c r="Q15" i="57"/>
  <c r="R15" i="57"/>
  <c r="D16" i="57"/>
  <c r="E16" i="57"/>
  <c r="F16" i="57"/>
  <c r="G16" i="57"/>
  <c r="H16" i="57"/>
  <c r="I16" i="57"/>
  <c r="J16" i="57"/>
  <c r="K16" i="57"/>
  <c r="L16" i="57"/>
  <c r="M16" i="57"/>
  <c r="N16" i="57"/>
  <c r="O16" i="57"/>
  <c r="P16" i="57"/>
  <c r="Q16" i="57"/>
  <c r="R16" i="57"/>
  <c r="D17" i="57"/>
  <c r="E17" i="57"/>
  <c r="F17" i="57"/>
  <c r="G17" i="57"/>
  <c r="H17" i="57"/>
  <c r="I17" i="57"/>
  <c r="J17" i="57"/>
  <c r="K17" i="57"/>
  <c r="L17" i="57"/>
  <c r="M17" i="57"/>
  <c r="N17" i="57"/>
  <c r="O17" i="57"/>
  <c r="P17" i="57"/>
  <c r="Q17" i="57"/>
  <c r="R17" i="57"/>
  <c r="D19" i="57"/>
  <c r="E19" i="57"/>
  <c r="F19" i="57"/>
  <c r="G19" i="57"/>
  <c r="H19" i="57"/>
  <c r="I19" i="57"/>
  <c r="J19" i="57"/>
  <c r="K19" i="57"/>
  <c r="L19" i="57"/>
  <c r="M19" i="57"/>
  <c r="N19" i="57"/>
  <c r="O19" i="57"/>
  <c r="P19" i="57"/>
  <c r="Q19" i="57"/>
  <c r="R19" i="57"/>
  <c r="I20" i="57"/>
  <c r="J20" i="57"/>
  <c r="K20" i="57"/>
  <c r="L20" i="57"/>
  <c r="M20" i="57"/>
  <c r="N20" i="57"/>
  <c r="O20" i="57"/>
  <c r="P20" i="57"/>
  <c r="Q20" i="57"/>
  <c r="R20" i="57"/>
  <c r="D21" i="57"/>
  <c r="E21" i="57"/>
  <c r="F21" i="57"/>
  <c r="G21" i="57"/>
  <c r="H21" i="57"/>
  <c r="I21" i="57"/>
  <c r="J21" i="57"/>
  <c r="K21" i="57"/>
  <c r="L21" i="57"/>
  <c r="M21" i="57"/>
  <c r="N21" i="57"/>
  <c r="O21" i="57"/>
  <c r="P21" i="57"/>
  <c r="Q21" i="57"/>
  <c r="R21" i="57"/>
  <c r="D23" i="57"/>
  <c r="E23" i="57"/>
  <c r="F23" i="57"/>
  <c r="G23" i="57"/>
  <c r="H23" i="57"/>
  <c r="I23" i="57"/>
  <c r="J23" i="57"/>
  <c r="K23" i="57"/>
  <c r="L23" i="57"/>
  <c r="M23" i="57"/>
  <c r="N23" i="57"/>
  <c r="O23" i="57"/>
  <c r="P23" i="57"/>
  <c r="Q23" i="57"/>
  <c r="R23" i="57"/>
  <c r="D26" i="57"/>
  <c r="E26" i="57"/>
  <c r="F26" i="57"/>
  <c r="G26" i="57"/>
  <c r="H26" i="57"/>
  <c r="I26" i="57"/>
  <c r="J26" i="57"/>
  <c r="K26" i="57"/>
  <c r="L26" i="57"/>
  <c r="M26" i="57"/>
  <c r="N26" i="57"/>
  <c r="O26" i="57"/>
  <c r="P26" i="57"/>
  <c r="Q26" i="57"/>
  <c r="R26" i="57"/>
  <c r="D27" i="57"/>
  <c r="E27" i="57"/>
  <c r="F27" i="57"/>
  <c r="G27" i="57"/>
  <c r="H27" i="57"/>
  <c r="I27" i="57"/>
  <c r="J27" i="57"/>
  <c r="K27" i="57"/>
  <c r="L27" i="57"/>
  <c r="M27" i="57"/>
  <c r="N27" i="57"/>
  <c r="O27" i="57"/>
  <c r="P27" i="57"/>
  <c r="Q27" i="57"/>
  <c r="R27" i="57"/>
  <c r="B28" i="57"/>
  <c r="D28" i="57"/>
  <c r="E28" i="57"/>
  <c r="F28" i="57"/>
  <c r="G28" i="57"/>
  <c r="H28" i="57"/>
  <c r="I28" i="57"/>
  <c r="J28" i="57"/>
  <c r="K28" i="57"/>
  <c r="L28" i="57"/>
  <c r="M28" i="57"/>
  <c r="N28" i="57"/>
  <c r="O28" i="57"/>
  <c r="P28" i="57"/>
  <c r="Q28" i="57"/>
  <c r="R28" i="57"/>
  <c r="D30" i="57"/>
  <c r="E30" i="57"/>
  <c r="F30" i="57"/>
  <c r="G30" i="57"/>
  <c r="H30" i="57"/>
  <c r="I30" i="57"/>
  <c r="J30" i="57"/>
  <c r="K30" i="57"/>
  <c r="L30" i="57"/>
  <c r="M30" i="57"/>
  <c r="N30" i="57"/>
  <c r="O30" i="57"/>
  <c r="P30" i="57"/>
  <c r="Q30" i="57"/>
  <c r="R30" i="57"/>
  <c r="D32" i="57"/>
  <c r="E32" i="57"/>
  <c r="F32" i="57"/>
  <c r="G32" i="57"/>
  <c r="H32" i="57"/>
  <c r="I32" i="57"/>
  <c r="J32" i="57"/>
  <c r="K32" i="57"/>
  <c r="L32" i="57"/>
  <c r="M32" i="57"/>
  <c r="N32" i="57"/>
  <c r="O32" i="57"/>
  <c r="P32" i="57"/>
  <c r="Q32" i="57"/>
  <c r="R32" i="57"/>
  <c r="D33" i="57"/>
  <c r="E33" i="57"/>
  <c r="F33" i="57"/>
  <c r="G33" i="57"/>
  <c r="H33" i="57"/>
  <c r="I33" i="57"/>
  <c r="J33" i="57"/>
  <c r="K33" i="57"/>
  <c r="L33" i="57"/>
  <c r="M33" i="57"/>
  <c r="N33" i="57"/>
  <c r="O33" i="57"/>
  <c r="P33" i="57"/>
  <c r="Q33" i="57"/>
  <c r="R33" i="57"/>
  <c r="D35" i="57"/>
  <c r="E35" i="57"/>
  <c r="F35" i="57"/>
  <c r="G35" i="57"/>
  <c r="H35" i="57"/>
  <c r="I35" i="57"/>
  <c r="J35" i="57"/>
  <c r="K35" i="57"/>
  <c r="L35" i="57"/>
  <c r="M35" i="57"/>
  <c r="N35" i="57"/>
  <c r="O35" i="57"/>
  <c r="P35" i="57"/>
  <c r="Q35" i="57"/>
  <c r="R35" i="57"/>
  <c r="S35" i="57"/>
  <c r="S37" i="57"/>
  <c r="I40" i="57"/>
  <c r="L41" i="57"/>
  <c r="M41" i="57"/>
  <c r="N41" i="57"/>
  <c r="G43" i="57"/>
  <c r="I43" i="57"/>
  <c r="L43" i="57"/>
  <c r="M43" i="57"/>
  <c r="N43" i="57"/>
  <c r="E51" i="57"/>
  <c r="F51" i="57"/>
  <c r="G51" i="57"/>
  <c r="H51" i="57"/>
  <c r="I51" i="57"/>
  <c r="J51" i="57"/>
  <c r="K51" i="57"/>
  <c r="L51" i="57"/>
  <c r="M51" i="57"/>
  <c r="N51" i="57"/>
  <c r="O51" i="57"/>
  <c r="P51" i="57"/>
  <c r="Q51" i="57"/>
  <c r="R51" i="57"/>
  <c r="E52" i="57"/>
  <c r="F52" i="57"/>
  <c r="G52" i="57"/>
  <c r="H52" i="57"/>
  <c r="I52" i="57"/>
  <c r="J52" i="57"/>
  <c r="K52" i="57"/>
  <c r="L52" i="57"/>
  <c r="M52" i="57"/>
  <c r="N52" i="57"/>
  <c r="O52" i="57"/>
  <c r="P52" i="57"/>
  <c r="Q52" i="57"/>
  <c r="R52" i="57"/>
  <c r="J53" i="57"/>
  <c r="K53" i="57"/>
  <c r="L53" i="57"/>
  <c r="M53" i="57"/>
  <c r="N53" i="57"/>
  <c r="O53" i="57"/>
  <c r="P53" i="57"/>
  <c r="Q53" i="57"/>
  <c r="R53" i="57"/>
  <c r="E54" i="57"/>
  <c r="F54" i="57"/>
  <c r="G54" i="57"/>
  <c r="H54" i="57"/>
  <c r="I54" i="57"/>
  <c r="J54" i="57"/>
  <c r="K54" i="57"/>
  <c r="L54" i="57"/>
  <c r="M54" i="57"/>
  <c r="N54" i="57"/>
  <c r="O54" i="57"/>
  <c r="P54" i="57"/>
  <c r="Q54" i="57"/>
  <c r="R54" i="57"/>
  <c r="E55" i="57"/>
  <c r="F55" i="57"/>
  <c r="G55" i="57"/>
  <c r="H55" i="57"/>
  <c r="I55" i="57"/>
  <c r="J55" i="57"/>
  <c r="K55" i="57"/>
  <c r="L55" i="57"/>
  <c r="M55" i="57"/>
  <c r="N55" i="57"/>
  <c r="O55" i="57"/>
  <c r="P55" i="57"/>
  <c r="Q55" i="57"/>
  <c r="R55" i="57"/>
  <c r="H56" i="57"/>
  <c r="J56" i="57"/>
  <c r="K56" i="57"/>
  <c r="L56" i="57"/>
  <c r="M56" i="57"/>
  <c r="N56" i="57"/>
  <c r="O56" i="57"/>
  <c r="P56" i="57"/>
  <c r="Q56" i="57"/>
  <c r="R56" i="57"/>
  <c r="E57" i="57"/>
  <c r="F57" i="57"/>
  <c r="G57" i="57"/>
  <c r="H57" i="57"/>
  <c r="I57" i="57"/>
  <c r="J57" i="57"/>
  <c r="K57" i="57"/>
  <c r="L57" i="57"/>
  <c r="M57" i="57"/>
  <c r="N57" i="57"/>
  <c r="O57" i="57"/>
  <c r="P57" i="57"/>
  <c r="Q57" i="57"/>
  <c r="R57" i="57"/>
  <c r="J58" i="57"/>
  <c r="K58" i="57"/>
  <c r="L58" i="57"/>
  <c r="M58" i="57"/>
  <c r="N58" i="57"/>
  <c r="O58" i="57"/>
  <c r="P58" i="57"/>
  <c r="Q58" i="57"/>
  <c r="R58" i="57"/>
  <c r="D59" i="57"/>
  <c r="E59" i="57"/>
  <c r="F59" i="57"/>
  <c r="G59" i="57"/>
  <c r="H59" i="57"/>
  <c r="I59" i="57"/>
  <c r="J59" i="57"/>
  <c r="K59" i="57"/>
  <c r="L59" i="57"/>
  <c r="M59" i="57"/>
  <c r="N59" i="57"/>
  <c r="O59" i="57"/>
  <c r="P59" i="57"/>
  <c r="Q59" i="57"/>
  <c r="R59" i="57"/>
  <c r="E64" i="57"/>
  <c r="F64" i="57"/>
  <c r="G64" i="57"/>
  <c r="I64" i="57"/>
  <c r="L64" i="57"/>
  <c r="M64" i="57"/>
  <c r="O64" i="57"/>
  <c r="P64" i="57"/>
  <c r="Q64" i="57"/>
  <c r="R64" i="57"/>
  <c r="A67" i="57"/>
  <c r="E67" i="57"/>
  <c r="F67" i="57"/>
  <c r="G67" i="57"/>
  <c r="I67" i="57"/>
  <c r="J67" i="57"/>
  <c r="K67" i="57"/>
  <c r="L67" i="57"/>
  <c r="M67" i="57"/>
  <c r="E69" i="57"/>
  <c r="F69" i="57"/>
  <c r="G69" i="57"/>
  <c r="J69" i="57"/>
  <c r="K69" i="57"/>
  <c r="L69" i="57"/>
  <c r="E75" i="57"/>
  <c r="F75" i="57"/>
  <c r="G75" i="57"/>
  <c r="H75" i="57"/>
  <c r="I75" i="57"/>
  <c r="J75" i="57"/>
  <c r="K75" i="57"/>
  <c r="L75" i="57"/>
  <c r="M75" i="57"/>
  <c r="N75" i="57"/>
  <c r="O75" i="57"/>
  <c r="P75" i="57"/>
  <c r="Q75" i="57"/>
  <c r="R75" i="57"/>
  <c r="E76" i="57"/>
  <c r="F76" i="57"/>
  <c r="G76" i="57"/>
  <c r="H76" i="57"/>
  <c r="I76" i="57"/>
  <c r="J76" i="57"/>
  <c r="K76" i="57"/>
  <c r="L76" i="57"/>
  <c r="M76" i="57"/>
  <c r="N76" i="57"/>
  <c r="O76" i="57"/>
  <c r="P76" i="57"/>
  <c r="Q76" i="57"/>
  <c r="R76" i="57"/>
  <c r="E77" i="57"/>
  <c r="F77" i="57"/>
  <c r="G77" i="57"/>
  <c r="H77" i="57"/>
  <c r="I77" i="57"/>
  <c r="J77" i="57"/>
  <c r="K77" i="57"/>
  <c r="L77" i="57"/>
  <c r="M77" i="57"/>
  <c r="N77" i="57"/>
  <c r="O77" i="57"/>
  <c r="P77" i="57"/>
  <c r="Q77" i="57"/>
  <c r="R77" i="57"/>
  <c r="E78" i="57"/>
  <c r="F78" i="57"/>
  <c r="G78" i="57"/>
  <c r="H78" i="57"/>
  <c r="I78" i="57"/>
  <c r="J78" i="57"/>
  <c r="K78" i="57"/>
  <c r="L78" i="57"/>
  <c r="M78" i="57"/>
  <c r="N78" i="57"/>
  <c r="O78" i="57"/>
  <c r="P78" i="57"/>
  <c r="Q78" i="57"/>
  <c r="R78" i="57"/>
  <c r="H79" i="57"/>
  <c r="I79" i="57"/>
  <c r="J79" i="57"/>
  <c r="K79" i="57"/>
  <c r="L79" i="57"/>
  <c r="M79" i="57"/>
  <c r="N79" i="57"/>
  <c r="O79" i="57"/>
  <c r="P79" i="57"/>
  <c r="Q79" i="57"/>
  <c r="R79" i="57"/>
  <c r="E80" i="57"/>
  <c r="F80" i="57"/>
  <c r="G80" i="57"/>
  <c r="H80" i="57"/>
  <c r="I80" i="57"/>
  <c r="J80" i="57"/>
  <c r="K80" i="57"/>
  <c r="L80" i="57"/>
  <c r="M80" i="57"/>
  <c r="N80" i="57"/>
  <c r="O80" i="57"/>
  <c r="P80" i="57"/>
  <c r="Q80" i="57"/>
  <c r="R80" i="57"/>
  <c r="D81" i="57"/>
  <c r="E81" i="57"/>
  <c r="J81" i="57"/>
  <c r="K81" i="57"/>
  <c r="L81" i="57"/>
  <c r="M81" i="57"/>
  <c r="N81" i="57"/>
  <c r="O81" i="57"/>
  <c r="P81" i="57"/>
  <c r="Q81" i="57"/>
  <c r="R81" i="57"/>
  <c r="J82" i="57"/>
  <c r="K82" i="57"/>
  <c r="L82" i="57"/>
  <c r="M82" i="57"/>
  <c r="N82" i="57"/>
  <c r="O82" i="57"/>
  <c r="P82" i="57"/>
  <c r="Q82" i="57"/>
  <c r="R82" i="57"/>
  <c r="D83" i="57"/>
  <c r="E83" i="57"/>
  <c r="F83" i="57"/>
  <c r="G83" i="57"/>
  <c r="H83" i="57"/>
  <c r="I83" i="57"/>
  <c r="J83" i="57"/>
  <c r="K83" i="57"/>
  <c r="L83" i="57"/>
  <c r="M83" i="57"/>
  <c r="N83" i="57"/>
  <c r="O83" i="57"/>
  <c r="P83" i="57"/>
  <c r="Q83" i="57"/>
  <c r="R83" i="57"/>
  <c r="A90" i="57"/>
  <c r="I90" i="57"/>
  <c r="J90" i="57"/>
  <c r="K90" i="57"/>
  <c r="L90" i="57"/>
  <c r="N90" i="57"/>
  <c r="E92" i="57"/>
  <c r="F92" i="57"/>
  <c r="G92" i="57"/>
  <c r="H92" i="57"/>
  <c r="K92" i="57"/>
  <c r="L92" i="57"/>
  <c r="M92" i="57"/>
  <c r="N92" i="57"/>
  <c r="O92" i="57"/>
  <c r="Q92" i="57"/>
  <c r="R92" i="57"/>
  <c r="E93" i="57"/>
  <c r="F93" i="57"/>
  <c r="G93" i="57"/>
  <c r="K93" i="57"/>
  <c r="L93" i="57"/>
  <c r="M93" i="57"/>
  <c r="N93" i="57"/>
  <c r="O93" i="57"/>
  <c r="P93" i="57"/>
  <c r="Q93" i="57"/>
  <c r="R93" i="57"/>
  <c r="H99" i="57"/>
  <c r="I99" i="57"/>
  <c r="J99" i="57"/>
  <c r="K99" i="57"/>
  <c r="L99" i="57"/>
  <c r="M99" i="57"/>
  <c r="N99" i="57"/>
  <c r="O99" i="57"/>
  <c r="P99" i="57"/>
  <c r="Q99" i="57"/>
  <c r="R99" i="57"/>
  <c r="H100" i="57"/>
  <c r="I100" i="57"/>
  <c r="J100" i="57"/>
  <c r="K100" i="57"/>
  <c r="L100" i="57"/>
  <c r="M100" i="57"/>
  <c r="N100" i="57"/>
  <c r="O100" i="57"/>
  <c r="P100" i="57"/>
  <c r="Q100" i="57"/>
  <c r="R100" i="57"/>
  <c r="L101" i="57"/>
  <c r="M101" i="57"/>
  <c r="N101" i="57"/>
  <c r="O101" i="57"/>
  <c r="P101" i="57"/>
  <c r="Q101" i="57"/>
  <c r="R101" i="57"/>
  <c r="J102" i="57"/>
  <c r="K102" i="57"/>
  <c r="L102" i="57"/>
  <c r="M102" i="57"/>
  <c r="N102" i="57"/>
  <c r="O102" i="57"/>
  <c r="P102" i="57"/>
  <c r="Q102" i="57"/>
  <c r="R102" i="57"/>
  <c r="D103" i="57"/>
  <c r="E103" i="57"/>
  <c r="F103" i="57"/>
  <c r="G103" i="57"/>
  <c r="H103" i="57"/>
  <c r="I103" i="57"/>
  <c r="J103" i="57"/>
  <c r="K103" i="57"/>
  <c r="L103" i="57"/>
  <c r="M103" i="57"/>
  <c r="N103" i="57"/>
  <c r="O103" i="57"/>
  <c r="P103" i="57"/>
  <c r="Q103" i="57"/>
  <c r="R103" i="57"/>
  <c r="J104" i="57"/>
  <c r="K104" i="57"/>
  <c r="L104" i="57"/>
  <c r="M104" i="57"/>
  <c r="N104" i="57"/>
  <c r="O104" i="57"/>
  <c r="P104" i="57"/>
  <c r="Q104" i="57"/>
  <c r="R104" i="57"/>
  <c r="H105" i="57"/>
  <c r="I105" i="57"/>
  <c r="J105" i="57"/>
  <c r="K105" i="57"/>
  <c r="L105" i="57"/>
  <c r="M105" i="57"/>
  <c r="N105" i="57"/>
  <c r="O105" i="57"/>
  <c r="P105" i="57"/>
  <c r="Q105" i="57"/>
  <c r="R105" i="57"/>
  <c r="H106" i="57"/>
  <c r="I106" i="57"/>
  <c r="J106" i="57"/>
  <c r="K106" i="57"/>
  <c r="L106" i="57"/>
  <c r="M106" i="57"/>
  <c r="N106" i="57"/>
  <c r="O106" i="57"/>
  <c r="P106" i="57"/>
  <c r="Q106" i="57"/>
  <c r="R106" i="57"/>
  <c r="D107" i="57"/>
  <c r="E107" i="57"/>
  <c r="F107" i="57"/>
  <c r="G107" i="57"/>
  <c r="H107" i="57"/>
  <c r="I107" i="57"/>
  <c r="J107" i="57"/>
  <c r="K107" i="57"/>
  <c r="L107" i="57"/>
  <c r="M107" i="57"/>
  <c r="N107" i="57"/>
  <c r="O107" i="57"/>
  <c r="P107" i="57"/>
  <c r="Q107" i="57"/>
  <c r="R107" i="57"/>
  <c r="E112" i="57"/>
  <c r="F112" i="57"/>
  <c r="G112" i="57"/>
  <c r="H112" i="57"/>
  <c r="M112" i="57"/>
  <c r="N112" i="57"/>
  <c r="O112" i="57"/>
  <c r="P112" i="57"/>
  <c r="Q112" i="57"/>
  <c r="R112" i="57"/>
  <c r="E113" i="57"/>
  <c r="G113" i="57"/>
  <c r="J113" i="57"/>
  <c r="K113" i="57"/>
  <c r="L113" i="57"/>
  <c r="M113" i="57"/>
  <c r="N113" i="57"/>
  <c r="O113" i="57"/>
  <c r="P113" i="57"/>
  <c r="Q113" i="57"/>
  <c r="R113" i="57"/>
  <c r="E115" i="57"/>
  <c r="F115" i="57"/>
  <c r="G115" i="57"/>
  <c r="I115" i="57"/>
  <c r="J115" i="57"/>
  <c r="K115" i="57"/>
  <c r="L115" i="57"/>
  <c r="I125" i="57"/>
  <c r="J125" i="57"/>
  <c r="K125" i="57"/>
  <c r="L125" i="57"/>
  <c r="M125" i="57"/>
  <c r="N125" i="57"/>
  <c r="O125" i="57"/>
  <c r="P125" i="57"/>
  <c r="Q125" i="57"/>
  <c r="R125" i="57"/>
  <c r="S125" i="57"/>
  <c r="H126" i="57"/>
  <c r="I126" i="57"/>
  <c r="J126" i="57"/>
  <c r="K126" i="57"/>
  <c r="L126" i="57"/>
  <c r="M126" i="57"/>
  <c r="N126" i="57"/>
  <c r="O126" i="57"/>
  <c r="P126" i="57"/>
  <c r="Q126" i="57"/>
  <c r="R126" i="57"/>
  <c r="S126" i="57"/>
  <c r="H127" i="57"/>
  <c r="I127" i="57"/>
  <c r="J127" i="57"/>
  <c r="K127" i="57"/>
  <c r="L127" i="57"/>
  <c r="M127" i="57"/>
  <c r="N127" i="57"/>
  <c r="O127" i="57"/>
  <c r="P127" i="57"/>
  <c r="Q127" i="57"/>
  <c r="R127" i="57"/>
  <c r="D128" i="57"/>
  <c r="E128" i="57"/>
  <c r="F128" i="57"/>
  <c r="G128" i="57"/>
  <c r="I128" i="57"/>
  <c r="J128" i="57"/>
  <c r="K128" i="57"/>
  <c r="L128" i="57"/>
  <c r="M128" i="57"/>
  <c r="N128" i="57"/>
  <c r="O128" i="57"/>
  <c r="P128" i="57"/>
  <c r="Q128" i="57"/>
  <c r="R128" i="57"/>
  <c r="K130" i="57"/>
  <c r="M130" i="57"/>
  <c r="N130" i="57"/>
  <c r="O130" i="57"/>
  <c r="Q130" i="57"/>
  <c r="R130" i="57"/>
  <c r="H132" i="57"/>
  <c r="I132" i="57"/>
  <c r="J132" i="57"/>
  <c r="K132" i="57"/>
  <c r="L132" i="57"/>
  <c r="M132" i="57"/>
  <c r="N132" i="57"/>
  <c r="O132" i="57"/>
  <c r="P132" i="57"/>
  <c r="Q132" i="57"/>
  <c r="R132" i="57"/>
  <c r="S132" i="57"/>
  <c r="H133" i="57"/>
  <c r="I133" i="57"/>
  <c r="J133" i="57"/>
  <c r="K133" i="57"/>
  <c r="L133" i="57"/>
  <c r="M133" i="57"/>
  <c r="N133" i="57"/>
  <c r="O133" i="57"/>
  <c r="P133" i="57"/>
  <c r="Q133" i="57"/>
  <c r="R133" i="57"/>
  <c r="D134" i="57"/>
  <c r="E134" i="57"/>
  <c r="F134" i="57"/>
  <c r="G134" i="57"/>
  <c r="H134" i="57"/>
  <c r="I134" i="57"/>
  <c r="J134" i="57"/>
  <c r="K134" i="57"/>
  <c r="L134" i="57"/>
  <c r="M134" i="57"/>
  <c r="N134" i="57"/>
  <c r="O134" i="57"/>
  <c r="P134" i="57"/>
  <c r="Q134" i="57"/>
  <c r="R134" i="57"/>
  <c r="D135" i="57"/>
  <c r="E135" i="57"/>
  <c r="F135" i="57"/>
  <c r="G135" i="57"/>
  <c r="H135" i="57"/>
  <c r="I135" i="57"/>
  <c r="J135" i="57"/>
  <c r="K135" i="57"/>
  <c r="L135" i="57"/>
  <c r="M135" i="57"/>
  <c r="N135" i="57"/>
  <c r="O135" i="57"/>
  <c r="P135" i="57"/>
  <c r="Q135" i="57"/>
  <c r="R135" i="57"/>
  <c r="H138" i="57"/>
  <c r="I138" i="57"/>
  <c r="J138" i="57"/>
  <c r="K138" i="57"/>
  <c r="L138" i="57"/>
  <c r="M138" i="57"/>
  <c r="N138" i="57"/>
  <c r="O138" i="57"/>
  <c r="P138" i="57"/>
  <c r="Q138" i="57"/>
  <c r="R138" i="57"/>
  <c r="I139" i="57"/>
  <c r="J139" i="57"/>
  <c r="K139" i="57"/>
  <c r="L139" i="57"/>
  <c r="M139" i="57"/>
  <c r="N139" i="57"/>
  <c r="O139" i="57"/>
  <c r="P139" i="57"/>
  <c r="Q139" i="57"/>
  <c r="R139" i="57"/>
  <c r="J140" i="57"/>
  <c r="K140" i="57"/>
  <c r="L140" i="57"/>
  <c r="M140" i="57"/>
  <c r="N140" i="57"/>
  <c r="O140" i="57"/>
  <c r="P140" i="57"/>
  <c r="Q140" i="57"/>
  <c r="R140" i="57"/>
  <c r="K141" i="57"/>
  <c r="L141" i="57"/>
  <c r="M141" i="57"/>
  <c r="N141" i="57"/>
  <c r="O141" i="57"/>
  <c r="P141" i="57"/>
  <c r="Q141" i="57"/>
  <c r="R141" i="57"/>
  <c r="L142" i="57"/>
  <c r="M142" i="57"/>
  <c r="N142" i="57"/>
  <c r="O142" i="57"/>
  <c r="P142" i="57"/>
  <c r="Q142" i="57"/>
  <c r="R142" i="57"/>
  <c r="M143" i="57"/>
  <c r="N143" i="57"/>
  <c r="O143" i="57"/>
  <c r="P143" i="57"/>
  <c r="Q143" i="57"/>
  <c r="R143" i="57"/>
  <c r="N144" i="57"/>
  <c r="O144" i="57"/>
  <c r="P144" i="57"/>
  <c r="Q144" i="57"/>
  <c r="R144" i="57"/>
  <c r="O145" i="57"/>
  <c r="P145" i="57"/>
  <c r="Q145" i="57"/>
  <c r="R145" i="57"/>
  <c r="P146" i="57"/>
  <c r="Q146" i="57"/>
  <c r="R146" i="57"/>
  <c r="Q147" i="57"/>
  <c r="R147" i="57"/>
  <c r="R148" i="57"/>
  <c r="H149" i="57"/>
  <c r="I149" i="57"/>
  <c r="J149" i="57"/>
  <c r="K149" i="57"/>
  <c r="L149" i="57"/>
  <c r="M149" i="57"/>
  <c r="N149" i="57"/>
  <c r="O149" i="57"/>
  <c r="P149" i="57"/>
  <c r="Q149" i="57"/>
  <c r="R149" i="57"/>
  <c r="H151" i="57"/>
  <c r="I151" i="57"/>
  <c r="J151" i="57"/>
  <c r="K151" i="57"/>
  <c r="L151" i="57"/>
  <c r="M151" i="57"/>
  <c r="N151" i="57"/>
  <c r="O151" i="57"/>
  <c r="P151" i="57"/>
  <c r="Q151" i="57"/>
  <c r="R151" i="57"/>
  <c r="I152" i="57"/>
  <c r="J152" i="57"/>
  <c r="K152" i="57"/>
  <c r="L152" i="57"/>
  <c r="M152" i="57"/>
  <c r="N152" i="57"/>
  <c r="O152" i="57"/>
  <c r="P152" i="57"/>
  <c r="Q152" i="57"/>
  <c r="R152" i="57"/>
  <c r="J153" i="57"/>
  <c r="K153" i="57"/>
  <c r="L153" i="57"/>
  <c r="M153" i="57"/>
  <c r="N153" i="57"/>
  <c r="O153" i="57"/>
  <c r="P153" i="57"/>
  <c r="Q153" i="57"/>
  <c r="R153" i="57"/>
  <c r="K154" i="57"/>
  <c r="L154" i="57"/>
  <c r="M154" i="57"/>
  <c r="N154" i="57"/>
  <c r="O154" i="57"/>
  <c r="P154" i="57"/>
  <c r="Q154" i="57"/>
  <c r="R154" i="57"/>
  <c r="L155" i="57"/>
  <c r="M155" i="57"/>
  <c r="N155" i="57"/>
  <c r="O155" i="57"/>
  <c r="P155" i="57"/>
  <c r="Q155" i="57"/>
  <c r="R155" i="57"/>
  <c r="M156" i="57"/>
  <c r="N156" i="57"/>
  <c r="O156" i="57"/>
  <c r="P156" i="57"/>
  <c r="Q156" i="57"/>
  <c r="R156" i="57"/>
  <c r="N157" i="57"/>
  <c r="O157" i="57"/>
  <c r="P157" i="57"/>
  <c r="Q157" i="57"/>
  <c r="R157" i="57"/>
  <c r="O158" i="57"/>
  <c r="P158" i="57"/>
  <c r="Q158" i="57"/>
  <c r="R158" i="57"/>
  <c r="P159" i="57"/>
  <c r="Q159" i="57"/>
  <c r="R159" i="57"/>
  <c r="Q160" i="57"/>
  <c r="R160" i="57"/>
  <c r="R161" i="57"/>
  <c r="H162" i="57"/>
  <c r="I162" i="57"/>
  <c r="J162" i="57"/>
  <c r="K162" i="57"/>
  <c r="L162" i="57"/>
  <c r="M162" i="57"/>
  <c r="N162" i="57"/>
  <c r="O162" i="57"/>
  <c r="P162" i="57"/>
  <c r="Q162" i="57"/>
  <c r="R162" i="57"/>
  <c r="A1" i="9"/>
  <c r="F3" i="9"/>
  <c r="F4" i="9"/>
  <c r="A11" i="9"/>
  <c r="B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A12" i="9"/>
  <c r="B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A13" i="9"/>
  <c r="B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A14" i="9"/>
  <c r="B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A15" i="9"/>
  <c r="B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A19" i="9"/>
  <c r="B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A20" i="9"/>
  <c r="B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A21" i="9"/>
  <c r="B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A22" i="9"/>
  <c r="B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A23" i="9"/>
  <c r="B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A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A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A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A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A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A36" i="9"/>
  <c r="B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A37" i="9"/>
  <c r="B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A38" i="9"/>
  <c r="B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A39" i="9"/>
  <c r="B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A40" i="9"/>
  <c r="B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A44" i="9"/>
  <c r="B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A45" i="9"/>
  <c r="B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A46" i="9"/>
  <c r="B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A47" i="9"/>
  <c r="B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A48" i="9"/>
  <c r="B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A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A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A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A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A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A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A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A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A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A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A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A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A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A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A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A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A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A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A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A76" i="9"/>
  <c r="E76" i="9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A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A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A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A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A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A85" i="9"/>
  <c r="E85" i="9"/>
  <c r="F85" i="9"/>
  <c r="G85" i="9"/>
  <c r="H85" i="9"/>
  <c r="I85" i="9"/>
  <c r="J85" i="9"/>
  <c r="K85" i="9"/>
  <c r="L85" i="9"/>
  <c r="M85" i="9"/>
  <c r="N85" i="9"/>
  <c r="O85" i="9"/>
  <c r="P85" i="9"/>
  <c r="Q85" i="9"/>
  <c r="R85" i="9"/>
  <c r="A86" i="9"/>
  <c r="E86" i="9"/>
  <c r="F86" i="9"/>
  <c r="G86" i="9"/>
  <c r="H86" i="9"/>
  <c r="I86" i="9"/>
  <c r="J86" i="9"/>
  <c r="K86" i="9"/>
  <c r="L86" i="9"/>
  <c r="M86" i="9"/>
  <c r="N86" i="9"/>
  <c r="O86" i="9"/>
  <c r="P86" i="9"/>
  <c r="Q86" i="9"/>
  <c r="R86" i="9"/>
  <c r="A87" i="9"/>
  <c r="E87" i="9"/>
  <c r="F87" i="9"/>
  <c r="G87" i="9"/>
  <c r="H87" i="9"/>
  <c r="I87" i="9"/>
  <c r="J87" i="9"/>
  <c r="K87" i="9"/>
  <c r="L87" i="9"/>
  <c r="M87" i="9"/>
  <c r="N87" i="9"/>
  <c r="O87" i="9"/>
  <c r="P87" i="9"/>
  <c r="Q87" i="9"/>
  <c r="R87" i="9"/>
  <c r="A88" i="9"/>
  <c r="E88" i="9"/>
  <c r="F88" i="9"/>
  <c r="G88" i="9"/>
  <c r="H88" i="9"/>
  <c r="I88" i="9"/>
  <c r="J88" i="9"/>
  <c r="K88" i="9"/>
  <c r="L88" i="9"/>
  <c r="M88" i="9"/>
  <c r="N88" i="9"/>
  <c r="O88" i="9"/>
  <c r="P88" i="9"/>
  <c r="Q88" i="9"/>
  <c r="R88" i="9"/>
  <c r="A89" i="9"/>
  <c r="E89" i="9"/>
  <c r="F89" i="9"/>
  <c r="G89" i="9"/>
  <c r="H89" i="9"/>
  <c r="I89" i="9"/>
  <c r="J89" i="9"/>
  <c r="K89" i="9"/>
  <c r="L89" i="9"/>
  <c r="M89" i="9"/>
  <c r="N89" i="9"/>
  <c r="O89" i="9"/>
  <c r="P89" i="9"/>
  <c r="Q89" i="9"/>
  <c r="R89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A92" i="9"/>
  <c r="E92" i="9"/>
  <c r="F92" i="9"/>
  <c r="G92" i="9"/>
  <c r="H92" i="9"/>
  <c r="I92" i="9"/>
  <c r="J92" i="9"/>
  <c r="K92" i="9"/>
  <c r="L92" i="9"/>
  <c r="M92" i="9"/>
  <c r="N92" i="9"/>
  <c r="O92" i="9"/>
  <c r="P92" i="9"/>
  <c r="Q92" i="9"/>
  <c r="R92" i="9"/>
  <c r="A93" i="9"/>
  <c r="E93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A94" i="9"/>
  <c r="E94" i="9"/>
  <c r="F94" i="9"/>
  <c r="G94" i="9"/>
  <c r="H94" i="9"/>
  <c r="I94" i="9"/>
  <c r="J94" i="9"/>
  <c r="K94" i="9"/>
  <c r="L94" i="9"/>
  <c r="M94" i="9"/>
  <c r="N94" i="9"/>
  <c r="O94" i="9"/>
  <c r="P94" i="9"/>
  <c r="Q94" i="9"/>
  <c r="R94" i="9"/>
  <c r="A95" i="9"/>
  <c r="E95" i="9"/>
  <c r="F95" i="9"/>
  <c r="G95" i="9"/>
  <c r="H95" i="9"/>
  <c r="I95" i="9"/>
  <c r="J95" i="9"/>
  <c r="K95" i="9"/>
  <c r="L95" i="9"/>
  <c r="M95" i="9"/>
  <c r="N95" i="9"/>
  <c r="O95" i="9"/>
  <c r="P95" i="9"/>
  <c r="Q95" i="9"/>
  <c r="R95" i="9"/>
  <c r="A96" i="9"/>
  <c r="E96" i="9"/>
  <c r="F96" i="9"/>
  <c r="G96" i="9"/>
  <c r="H96" i="9"/>
  <c r="I96" i="9"/>
  <c r="J96" i="9"/>
  <c r="K96" i="9"/>
  <c r="L96" i="9"/>
  <c r="M96" i="9"/>
  <c r="N96" i="9"/>
  <c r="O96" i="9"/>
  <c r="P96" i="9"/>
  <c r="Q96" i="9"/>
  <c r="R96" i="9"/>
  <c r="E97" i="9"/>
  <c r="F97" i="9"/>
  <c r="G97" i="9"/>
  <c r="H97" i="9"/>
  <c r="I97" i="9"/>
  <c r="J97" i="9"/>
  <c r="K97" i="9"/>
  <c r="L97" i="9"/>
  <c r="M97" i="9"/>
  <c r="N97" i="9"/>
  <c r="O97" i="9"/>
  <c r="P97" i="9"/>
  <c r="Q97" i="9"/>
  <c r="R97" i="9"/>
  <c r="A99" i="9"/>
  <c r="B99" i="9"/>
  <c r="E99" i="9"/>
  <c r="F99" i="9"/>
  <c r="G99" i="9"/>
  <c r="H99" i="9"/>
  <c r="I99" i="9"/>
  <c r="J99" i="9"/>
  <c r="K99" i="9"/>
  <c r="L99" i="9"/>
  <c r="M99" i="9"/>
  <c r="N99" i="9"/>
  <c r="O99" i="9"/>
  <c r="P99" i="9"/>
  <c r="Q99" i="9"/>
  <c r="R99" i="9"/>
  <c r="A100" i="9"/>
  <c r="B100" i="9"/>
  <c r="E100" i="9"/>
  <c r="F100" i="9"/>
  <c r="G100" i="9"/>
  <c r="H100" i="9"/>
  <c r="I100" i="9"/>
  <c r="J100" i="9"/>
  <c r="K100" i="9"/>
  <c r="L100" i="9"/>
  <c r="M100" i="9"/>
  <c r="N100" i="9"/>
  <c r="O100" i="9"/>
  <c r="P100" i="9"/>
  <c r="Q100" i="9"/>
  <c r="R100" i="9"/>
  <c r="A101" i="9"/>
  <c r="B101" i="9"/>
  <c r="E101" i="9"/>
  <c r="F101" i="9"/>
  <c r="G101" i="9"/>
  <c r="H101" i="9"/>
  <c r="I101" i="9"/>
  <c r="J101" i="9"/>
  <c r="K101" i="9"/>
  <c r="L101" i="9"/>
  <c r="M101" i="9"/>
  <c r="N101" i="9"/>
  <c r="O101" i="9"/>
  <c r="P101" i="9"/>
  <c r="Q101" i="9"/>
  <c r="R101" i="9"/>
  <c r="S101" i="9"/>
  <c r="A102" i="9"/>
  <c r="B102" i="9"/>
  <c r="E102" i="9"/>
  <c r="F102" i="9"/>
  <c r="G102" i="9"/>
  <c r="H102" i="9"/>
  <c r="I102" i="9"/>
  <c r="J102" i="9"/>
  <c r="K102" i="9"/>
  <c r="L102" i="9"/>
  <c r="M102" i="9"/>
  <c r="N102" i="9"/>
  <c r="O102" i="9"/>
  <c r="P102" i="9"/>
  <c r="Q102" i="9"/>
  <c r="R102" i="9"/>
  <c r="A103" i="9"/>
  <c r="B103" i="9"/>
  <c r="E103" i="9"/>
  <c r="F103" i="9"/>
  <c r="G103" i="9"/>
  <c r="H103" i="9"/>
  <c r="I103" i="9"/>
  <c r="J103" i="9"/>
  <c r="K103" i="9"/>
  <c r="L103" i="9"/>
  <c r="M103" i="9"/>
  <c r="N103" i="9"/>
  <c r="O103" i="9"/>
  <c r="P103" i="9"/>
  <c r="Q103" i="9"/>
  <c r="R103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R104" i="9"/>
  <c r="A106" i="9"/>
  <c r="E106" i="9"/>
  <c r="F106" i="9"/>
  <c r="G106" i="9"/>
  <c r="H106" i="9"/>
  <c r="I106" i="9"/>
  <c r="J106" i="9"/>
  <c r="K106" i="9"/>
  <c r="L106" i="9"/>
  <c r="M106" i="9"/>
  <c r="N106" i="9"/>
  <c r="O106" i="9"/>
  <c r="P106" i="9"/>
  <c r="Q106" i="9"/>
  <c r="R106" i="9"/>
  <c r="A107" i="9"/>
  <c r="E107" i="9"/>
  <c r="F107" i="9"/>
  <c r="G107" i="9"/>
  <c r="H107" i="9"/>
  <c r="I107" i="9"/>
  <c r="J107" i="9"/>
  <c r="K107" i="9"/>
  <c r="L107" i="9"/>
  <c r="M107" i="9"/>
  <c r="N107" i="9"/>
  <c r="O107" i="9"/>
  <c r="P107" i="9"/>
  <c r="Q107" i="9"/>
  <c r="R107" i="9"/>
  <c r="A108" i="9"/>
  <c r="E108" i="9"/>
  <c r="F108" i="9"/>
  <c r="G108" i="9"/>
  <c r="H108" i="9"/>
  <c r="I108" i="9"/>
  <c r="J108" i="9"/>
  <c r="K108" i="9"/>
  <c r="L108" i="9"/>
  <c r="M108" i="9"/>
  <c r="N108" i="9"/>
  <c r="O108" i="9"/>
  <c r="P108" i="9"/>
  <c r="Q108" i="9"/>
  <c r="R108" i="9"/>
  <c r="A109" i="9"/>
  <c r="E109" i="9"/>
  <c r="F109" i="9"/>
  <c r="G109" i="9"/>
  <c r="H109" i="9"/>
  <c r="I109" i="9"/>
  <c r="J109" i="9"/>
  <c r="K109" i="9"/>
  <c r="L109" i="9"/>
  <c r="M109" i="9"/>
  <c r="N109" i="9"/>
  <c r="O109" i="9"/>
  <c r="P109" i="9"/>
  <c r="Q109" i="9"/>
  <c r="R109" i="9"/>
  <c r="A110" i="9"/>
  <c r="E110" i="9"/>
  <c r="F110" i="9"/>
  <c r="G110" i="9"/>
  <c r="H110" i="9"/>
  <c r="I110" i="9"/>
  <c r="J110" i="9"/>
  <c r="K110" i="9"/>
  <c r="L110" i="9"/>
  <c r="M110" i="9"/>
  <c r="N110" i="9"/>
  <c r="O110" i="9"/>
  <c r="P110" i="9"/>
  <c r="Q110" i="9"/>
  <c r="R110" i="9"/>
  <c r="E111" i="9"/>
  <c r="F111" i="9"/>
  <c r="G111" i="9"/>
  <c r="H111" i="9"/>
  <c r="I111" i="9"/>
  <c r="J111" i="9"/>
  <c r="K111" i="9"/>
  <c r="L111" i="9"/>
  <c r="M111" i="9"/>
  <c r="N111" i="9"/>
  <c r="O111" i="9"/>
  <c r="P111" i="9"/>
  <c r="Q111" i="9"/>
  <c r="R111" i="9"/>
  <c r="S111" i="9"/>
  <c r="F112" i="9"/>
  <c r="I112" i="9"/>
  <c r="J112" i="9"/>
  <c r="K112" i="9"/>
  <c r="L112" i="9"/>
  <c r="M112" i="9"/>
  <c r="N112" i="9"/>
  <c r="O112" i="9"/>
  <c r="P112" i="9"/>
  <c r="Q112" i="9"/>
  <c r="R112" i="9"/>
  <c r="S112" i="9"/>
  <c r="L115" i="9"/>
  <c r="N116" i="9"/>
  <c r="O116" i="9"/>
  <c r="P116" i="9"/>
  <c r="J118" i="9"/>
  <c r="L118" i="9"/>
  <c r="M118" i="9"/>
  <c r="N118" i="9"/>
  <c r="O118" i="9"/>
  <c r="P118" i="9"/>
  <c r="O119" i="9"/>
  <c r="O120" i="9"/>
  <c r="A1" i="42"/>
  <c r="A6" i="42"/>
  <c r="B6" i="42"/>
  <c r="D6" i="42"/>
  <c r="E6" i="42"/>
  <c r="F6" i="42"/>
  <c r="G6" i="42"/>
  <c r="H6" i="42"/>
  <c r="A7" i="42"/>
  <c r="B7" i="42"/>
  <c r="D7" i="42"/>
  <c r="F7" i="42"/>
  <c r="G7" i="42"/>
  <c r="H7" i="42"/>
  <c r="A8" i="42"/>
  <c r="B8" i="42"/>
  <c r="D8" i="42"/>
  <c r="E8" i="42"/>
  <c r="F8" i="42"/>
  <c r="G8" i="42"/>
  <c r="H8" i="42"/>
  <c r="B9" i="42"/>
  <c r="D9" i="42"/>
  <c r="F9" i="42"/>
  <c r="G9" i="42"/>
  <c r="H9" i="42"/>
  <c r="B10" i="42"/>
  <c r="D10" i="42"/>
  <c r="F10" i="42"/>
  <c r="G10" i="42"/>
  <c r="H10" i="42"/>
  <c r="D11" i="42"/>
  <c r="E11" i="42"/>
  <c r="F11" i="42"/>
  <c r="G11" i="42"/>
  <c r="H11" i="42"/>
  <c r="A16" i="42"/>
  <c r="B16" i="42"/>
  <c r="E16" i="42"/>
  <c r="F16" i="42"/>
  <c r="I16" i="42"/>
  <c r="J16" i="42"/>
  <c r="K16" i="42"/>
  <c r="M16" i="42"/>
  <c r="A17" i="42"/>
  <c r="B17" i="42"/>
  <c r="E17" i="42"/>
  <c r="F17" i="42"/>
  <c r="I17" i="42"/>
  <c r="J17" i="42"/>
  <c r="K17" i="42"/>
  <c r="M17" i="42"/>
  <c r="A18" i="42"/>
  <c r="B18" i="42"/>
  <c r="E18" i="42"/>
  <c r="F18" i="42"/>
  <c r="H18" i="42"/>
  <c r="I18" i="42"/>
  <c r="J18" i="42"/>
  <c r="K18" i="42"/>
  <c r="M18" i="42"/>
  <c r="B19" i="42"/>
  <c r="E19" i="42"/>
  <c r="F19" i="42"/>
  <c r="I19" i="42"/>
  <c r="J19" i="42"/>
  <c r="K19" i="42"/>
  <c r="M19" i="42"/>
  <c r="A20" i="42"/>
  <c r="B20" i="42"/>
  <c r="E20" i="42"/>
  <c r="F20" i="42"/>
  <c r="I20" i="42"/>
  <c r="J20" i="42"/>
  <c r="K20" i="42"/>
  <c r="M20" i="42"/>
  <c r="B21" i="42"/>
  <c r="E21" i="42"/>
  <c r="F21" i="42"/>
  <c r="G21" i="42"/>
  <c r="H21" i="42"/>
  <c r="I21" i="42"/>
  <c r="J21" i="42"/>
  <c r="K21" i="42"/>
  <c r="M21" i="42"/>
  <c r="O21" i="42"/>
  <c r="E23" i="42"/>
  <c r="E24" i="42"/>
  <c r="B29" i="42"/>
  <c r="Q29" i="42"/>
  <c r="R29" i="42"/>
  <c r="T29" i="42"/>
  <c r="P30" i="42"/>
  <c r="B31" i="42"/>
  <c r="P31" i="42"/>
  <c r="B32" i="42"/>
  <c r="P32" i="42"/>
  <c r="Q32" i="42"/>
  <c r="R32" i="42"/>
  <c r="B33" i="42"/>
  <c r="P33" i="42"/>
  <c r="Q33" i="42"/>
  <c r="R33" i="42"/>
  <c r="S33" i="42"/>
  <c r="T33" i="42"/>
  <c r="U33" i="42"/>
  <c r="B34" i="42"/>
  <c r="Q34" i="42"/>
  <c r="R34" i="42"/>
  <c r="S34" i="42"/>
  <c r="T34" i="42"/>
  <c r="U34" i="42"/>
  <c r="B35" i="42"/>
  <c r="P35" i="42"/>
  <c r="Q35" i="42"/>
  <c r="R35" i="42"/>
  <c r="S35" i="42"/>
  <c r="T35" i="42"/>
  <c r="U35" i="42"/>
  <c r="P36" i="42"/>
  <c r="P37" i="42"/>
  <c r="Q37" i="42"/>
  <c r="R37" i="42"/>
  <c r="S37" i="42"/>
  <c r="T37" i="42"/>
  <c r="U37" i="42"/>
  <c r="D51" i="42"/>
  <c r="E51" i="42"/>
  <c r="M51" i="42"/>
  <c r="D52" i="42"/>
  <c r="E52" i="42"/>
  <c r="E53" i="42"/>
  <c r="M53" i="42"/>
</calcChain>
</file>

<file path=xl/comments1.xml><?xml version="1.0" encoding="utf-8"?>
<comments xmlns="http://schemas.openxmlformats.org/spreadsheetml/2006/main">
  <authors>
    <author>jlee7</author>
  </authors>
  <commentList>
    <comment ref="G26" authorId="0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From 10-K</t>
        </r>
      </text>
    </comment>
    <comment ref="G28" authorId="0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From Citrus 10-K</t>
        </r>
      </text>
    </comment>
    <comment ref="G30" authorId="0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From 10-K</t>
        </r>
      </text>
    </comment>
  </commentList>
</comments>
</file>

<file path=xl/comments2.xml><?xml version="1.0" encoding="utf-8"?>
<comments xmlns="http://schemas.openxmlformats.org/spreadsheetml/2006/main">
  <authors>
    <author>jlee7</author>
  </authors>
  <commentList>
    <comment ref="E5" authorId="0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From 2000 F/S</t>
        </r>
      </text>
    </comment>
  </commentList>
</comments>
</file>

<file path=xl/comments3.xml><?xml version="1.0" encoding="utf-8"?>
<comments xmlns="http://schemas.openxmlformats.org/spreadsheetml/2006/main">
  <authors>
    <author>MLR</author>
  </authors>
  <commentList>
    <comment ref="L115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MLR</author>
    <author>jlee7</author>
  </authors>
  <commentList>
    <comment ref="A15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19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Interest income on "Note Receivable to Enron Cop." Was $23.1 mil for 2000.</t>
        </r>
      </text>
    </comment>
    <comment ref="H19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Projection based on 2000 Interest Income. Assumed that Corp will keep the balance at similar level.</t>
        </r>
      </text>
    </comment>
    <comment ref="A23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32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5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S35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I40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M41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I43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A103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Zeroed out since this is cash management program with Enron Corp.</t>
        </r>
      </text>
    </comment>
    <comment ref="C125" authorId="0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  <comment ref="A130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Using different rates between existing and new assets.</t>
        </r>
      </text>
    </comment>
    <comment ref="C134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Scaler to adjust book depreciation to tax depreciation.</t>
        </r>
      </text>
    </comment>
  </commentList>
</comments>
</file>

<file path=xl/comments5.xml><?xml version="1.0" encoding="utf-8"?>
<comments xmlns="http://schemas.openxmlformats.org/spreadsheetml/2006/main">
  <authors>
    <author>MLR</author>
    <author>jlee7</author>
  </authors>
  <commentList>
    <comment ref="A15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3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32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5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S35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I40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M41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I43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A103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Zeroed out since this is cash management program with Enron Corp.</t>
        </r>
      </text>
    </comment>
    <comment ref="C125" authorId="0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  <comment ref="C134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Scaler to adjust book depreciation to tax depreciation.</t>
        </r>
      </text>
    </comment>
  </commentList>
</comments>
</file>

<file path=xl/comments6.xml><?xml version="1.0" encoding="utf-8"?>
<comments xmlns="http://schemas.openxmlformats.org/spreadsheetml/2006/main">
  <authors>
    <author>MLR</author>
  </authors>
  <commentList>
    <comment ref="A14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2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30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2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Q32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5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H38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C84" authorId="0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 as of YE2001.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MLR</author>
    <author>jlee7</author>
    <author>gchavez</author>
  </authors>
  <commentList>
    <comment ref="A15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G20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Interest Expense zeroed out since this is unlevered company valuation.</t>
        </r>
      </text>
    </comment>
    <comment ref="A23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32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5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5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57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H60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A97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Natrual Gas Purchased for 1998-2000</t>
        </r>
      </text>
    </comment>
    <comment ref="C118" authorId="2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Uses 2000 Net Book value for Assets.</t>
        </r>
      </text>
    </comment>
    <comment ref="G131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No depreciation base for 2000 assets, so used 2001 as proxy for 2000 capex</t>
        </r>
      </text>
    </comment>
  </commentList>
</comments>
</file>

<file path=xl/comments8.xml><?xml version="1.0" encoding="utf-8"?>
<comments xmlns="http://schemas.openxmlformats.org/spreadsheetml/2006/main">
  <authors>
    <author>MLR</author>
    <author>jlee7</author>
  </authors>
  <commentList>
    <comment ref="A15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19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Interest income on "Note Receivable to Enron Cop." Was $23.1 mil for 2000.</t>
        </r>
      </text>
    </comment>
    <comment ref="A23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32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5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S35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I40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M41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I43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A103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Zeroed out since this is cash management program with Enron Corp.</t>
        </r>
      </text>
    </comment>
    <comment ref="C125" authorId="0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  <comment ref="A130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Using different rates between existing and new assets.</t>
        </r>
      </text>
    </comment>
    <comment ref="C134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Scaler to adjust book depreciation to tax depreciation.</t>
        </r>
      </text>
    </comment>
  </commentList>
</comments>
</file>

<file path=xl/comments9.xml><?xml version="1.0" encoding="utf-8"?>
<comments xmlns="http://schemas.openxmlformats.org/spreadsheetml/2006/main">
  <authors>
    <author>gchavez</author>
    <author>MLR</author>
  </authors>
  <commentList>
    <comment ref="G8" authorId="0" shapeId="0">
      <text>
        <r>
          <rPr>
            <b/>
            <sz val="8"/>
            <color indexed="81"/>
            <rFont val="Tahoma"/>
          </rPr>
          <t>GC:
Annualized 2Q Data</t>
        </r>
      </text>
    </comment>
    <comment ref="A27" authorId="1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B136" authorId="1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gchavez</author>
  </authors>
  <commentList>
    <comment ref="G8" authorId="0" shapeId="0">
      <text>
        <r>
          <rPr>
            <b/>
            <sz val="8"/>
            <color indexed="81"/>
            <rFont val="Tahoma"/>
          </rPr>
          <t>GC:
2nd Quarter Info</t>
        </r>
      </text>
    </comment>
    <comment ref="G81" authorId="0" shapeId="0">
      <text>
        <r>
          <rPr>
            <b/>
            <sz val="8"/>
            <color indexed="81"/>
            <rFont val="Tahoma"/>
          </rPr>
          <t>GC:
2nd Quarter Info</t>
        </r>
      </text>
    </comment>
  </commentList>
</comments>
</file>

<file path=xl/sharedStrings.xml><?xml version="1.0" encoding="utf-8"?>
<sst xmlns="http://schemas.openxmlformats.org/spreadsheetml/2006/main" count="1259" uniqueCount="562">
  <si>
    <t>TOTAL</t>
  </si>
  <si>
    <t>EBITDA</t>
  </si>
  <si>
    <t>EBIT</t>
  </si>
  <si>
    <t>Current Taxes</t>
  </si>
  <si>
    <t>Deferred Taxes</t>
  </si>
  <si>
    <t>ASSETS</t>
  </si>
  <si>
    <t>TOTAL LIAB. &amp; EQ.</t>
  </si>
  <si>
    <t>Tax Depreciation</t>
  </si>
  <si>
    <t xml:space="preserve">  Purchase Price</t>
  </si>
  <si>
    <t xml:space="preserve">  Capital Expenditures</t>
  </si>
  <si>
    <t>Purchase</t>
  </si>
  <si>
    <t>Net Present Value</t>
  </si>
  <si>
    <t>Price</t>
  </si>
  <si>
    <t>NET INCOME</t>
  </si>
  <si>
    <t>Revenues</t>
  </si>
  <si>
    <t>Expenses</t>
  </si>
  <si>
    <t>Loop</t>
  </si>
  <si>
    <t>CAPEX</t>
  </si>
  <si>
    <t>Multiple</t>
  </si>
  <si>
    <t xml:space="preserve">   Less DD&amp;A</t>
  </si>
  <si>
    <t xml:space="preserve">   Less/Add Other Income</t>
  </si>
  <si>
    <t xml:space="preserve">   Less Interest Expense</t>
  </si>
  <si>
    <t>Unlevered</t>
  </si>
  <si>
    <t>Debt Financed</t>
  </si>
  <si>
    <t>Equity Financed</t>
  </si>
  <si>
    <t>Pre-Tax Income</t>
  </si>
  <si>
    <t>Net Cash Flow</t>
  </si>
  <si>
    <t>Debt Retirement</t>
  </si>
  <si>
    <t>Elim.</t>
  </si>
  <si>
    <t>Pro Forma</t>
  </si>
  <si>
    <t>Valuations - Purchase Price</t>
  </si>
  <si>
    <t>SUBTOTAL</t>
  </si>
  <si>
    <t>Consolidated Balance Sheet</t>
  </si>
  <si>
    <t>Book Depreciation</t>
  </si>
  <si>
    <t>Name of project:</t>
  </si>
  <si>
    <t>ASSET ASSUMPTIONS</t>
  </si>
  <si>
    <t>Corporate Income Tax</t>
  </si>
  <si>
    <t>Assumptions</t>
  </si>
  <si>
    <t>DEBT</t>
  </si>
  <si>
    <t>Salvage Multiple (x EBITDA)</t>
  </si>
  <si>
    <t>Interest Rate</t>
  </si>
  <si>
    <t>Retirement (Years)</t>
  </si>
  <si>
    <t>X</t>
  </si>
  <si>
    <t>Multiple of</t>
  </si>
  <si>
    <t>Potential</t>
  </si>
  <si>
    <t>Buyer</t>
  </si>
  <si>
    <t>NPV Core Rate</t>
  </si>
  <si>
    <t>REVENUE PROJECTIONS ($000)</t>
  </si>
  <si>
    <t>TOTAL Assets</t>
  </si>
  <si>
    <t>Macros</t>
  </si>
  <si>
    <t>Consolidated NPV Core Rate</t>
  </si>
  <si>
    <t>Project Premium</t>
  </si>
  <si>
    <t>Length of Contract (yrs.)</t>
  </si>
  <si>
    <t xml:space="preserve">  Rev per Exp $</t>
  </si>
  <si>
    <t>INCOME STATEMENT ($000)</t>
  </si>
  <si>
    <t>Levered IRR</t>
  </si>
  <si>
    <t>Include in Valuation (1=Yes, 0=No)</t>
  </si>
  <si>
    <t>1=On, 0=Off</t>
  </si>
  <si>
    <t>Other</t>
  </si>
  <si>
    <t xml:space="preserve">  Inventories</t>
  </si>
  <si>
    <t xml:space="preserve">  Materials &amp; Supplies</t>
  </si>
  <si>
    <t xml:space="preserve">  Prepayments - other</t>
  </si>
  <si>
    <t xml:space="preserve">  Accounts &amp; Notes Receivable</t>
  </si>
  <si>
    <t xml:space="preserve">    Employee</t>
  </si>
  <si>
    <t>Current Assets</t>
  </si>
  <si>
    <t xml:space="preserve">    Assoc Co</t>
  </si>
  <si>
    <t xml:space="preserve">    Other</t>
  </si>
  <si>
    <t xml:space="preserve">  Misc. Other Current Assets</t>
  </si>
  <si>
    <t>Investments and Other Assets</t>
  </si>
  <si>
    <t xml:space="preserve">  PP&amp;E</t>
  </si>
  <si>
    <t xml:space="preserve">  Accum. Dep. - PP&amp;E</t>
  </si>
  <si>
    <t>Deferred Charges</t>
  </si>
  <si>
    <t>Current Liabilities</t>
  </si>
  <si>
    <t xml:space="preserve">  Accounts Payable - Assoc Cos.</t>
  </si>
  <si>
    <t xml:space="preserve">  Accounts Payable - Other</t>
  </si>
  <si>
    <t xml:space="preserve">  Income Taxes Payable</t>
  </si>
  <si>
    <t xml:space="preserve">  Accrued Taxes</t>
  </si>
  <si>
    <t xml:space="preserve">  Deferred Income Taxes - Current</t>
  </si>
  <si>
    <t xml:space="preserve">  Other Misc Liability - Current</t>
  </si>
  <si>
    <t>Deferred Credits &amp; Other Liab.</t>
  </si>
  <si>
    <t xml:space="preserve">  Deferred Credits - Other</t>
  </si>
  <si>
    <t xml:space="preserve">  Deferred Income Taxes</t>
  </si>
  <si>
    <t>LIABILITIES &amp; CAPITAL</t>
  </si>
  <si>
    <t>Capital</t>
  </si>
  <si>
    <t xml:space="preserve">  Payable to/(Rec. from) Co 535</t>
  </si>
  <si>
    <t xml:space="preserve">  Payable to/(Rec. from) Corp</t>
  </si>
  <si>
    <t xml:space="preserve">  Capitalization</t>
  </si>
  <si>
    <t>Enron Equity Cash Flow</t>
  </si>
  <si>
    <t>Financial Leverage Rate</t>
  </si>
  <si>
    <t>Equity NPV Value</t>
  </si>
  <si>
    <t>Potential Buyer</t>
  </si>
  <si>
    <t>3. Pessimistic</t>
  </si>
  <si>
    <t>Unlevered Cash Flow Analysis</t>
  </si>
  <si>
    <t>IRR =</t>
  </si>
  <si>
    <t>Discounted@</t>
  </si>
  <si>
    <t>NPV</t>
  </si>
  <si>
    <t>Levered Cash Flow Analyais</t>
  </si>
  <si>
    <t>Debt Financing @</t>
  </si>
  <si>
    <t>Equity NPV</t>
  </si>
  <si>
    <t>Summary</t>
  </si>
  <si>
    <t>Revenue Scenario Assumption- Scenario Discription</t>
  </si>
  <si>
    <t>Expense Scenario  Assumption - Scenario Discription</t>
  </si>
  <si>
    <t>Asset 1</t>
  </si>
  <si>
    <t>Warning Flag:</t>
  </si>
  <si>
    <t xml:space="preserve">Developed by </t>
  </si>
  <si>
    <t>Michael Ratner</t>
  </si>
  <si>
    <t xml:space="preserve">Modified by </t>
  </si>
  <si>
    <t>Yuan Tian</t>
  </si>
  <si>
    <t>Date:</t>
  </si>
  <si>
    <t>Feb.08,2001</t>
  </si>
  <si>
    <t>Unlevered cash flow analysis</t>
  </si>
  <si>
    <t>a.</t>
  </si>
  <si>
    <t>b.</t>
  </si>
  <si>
    <t>c.</t>
  </si>
  <si>
    <t xml:space="preserve">Please pay attention to the "Warning Flag" on these separate "Asset" sheets and the "unlev. Consolid" sheet  </t>
  </si>
  <si>
    <t xml:space="preserve">so that the model gives valid and accurate forecast. </t>
  </si>
  <si>
    <t>Levered cash flow analysis</t>
  </si>
  <si>
    <t>The levered cash flow analysis considers the costs ( e.g. interest expenses) and benefits ( e.g. tax benefits) from</t>
  </si>
  <si>
    <t>Pre-Current Debt = Beg. Yr. Debt- Debt Retirement</t>
  </si>
  <si>
    <t>Pre-Current Equity = Beg. Yr. Equity + Adj. Net Income - Net Cash Flow</t>
  </si>
  <si>
    <t>Pre - Total Capital = Pre-Current Debt + Pre- Current Equity</t>
  </si>
  <si>
    <t>Debt Retirement = End.Yr.Debt- Beg. Yr Debt</t>
  </si>
  <si>
    <t>assets.  To maintain a constant capital structure, the following relationships must be satisfied in the "Lev. Consolid" sheet:</t>
  </si>
  <si>
    <t>Net Cash Flow = Beg. Yr. Equity -End. Yr.Equity +Adj. Net Income</t>
  </si>
  <si>
    <t>(please see the above terms in the "Lev.Consolid"sheet)</t>
  </si>
  <si>
    <t>created in this model.  When opening the Excel, please go to "Tools"-"Options", Click on "Calculation"tab and check "Iteration" box.</t>
  </si>
  <si>
    <t>As shown on the above formula, there exits circular relationships between these data. Therefore, a circular reference is intentionally</t>
  </si>
  <si>
    <t xml:space="preserve">The unlevered cash flow analysis mainly values the assets based on their business risks.  It does not consider the financial </t>
  </si>
  <si>
    <t xml:space="preserve">risks from the financial leverage.  </t>
  </si>
  <si>
    <t xml:space="preserve">financial leverage. </t>
  </si>
  <si>
    <t>Ext.58927</t>
  </si>
  <si>
    <t>Ext.53579</t>
  </si>
  <si>
    <t>IRR</t>
  </si>
  <si>
    <t>Format</t>
  </si>
  <si>
    <t>The assumption cells are in yellow background</t>
  </si>
  <si>
    <t>The forecast cells are in green background</t>
  </si>
  <si>
    <t>The historical data are in gray background</t>
  </si>
  <si>
    <t>Before the valuation, please determine what will be the main variables that impact the cash flow. Based on historical data</t>
  </si>
  <si>
    <t>If there is more than one asset, input the different asset data in the separate "Asset" sheets, and the "Unlev. Consolid" sheet will</t>
  </si>
  <si>
    <t>automatically consolidate the valuation for the whole package of the assets.</t>
  </si>
  <si>
    <t>In this model, it is important that the target capital structure is constant over the life of the assets. For example, if the financial</t>
  </si>
  <si>
    <t xml:space="preserve">leverage rate is 50% of debt financing, the 50% debt financing rate must be maintained over the lift of the </t>
  </si>
  <si>
    <t>End. Yr Equity= (1-Leverage rate) * Pre-Total Capital</t>
  </si>
  <si>
    <t>End. Yr Debt = Leverage rate* Pre-Total Capital</t>
  </si>
  <si>
    <t>Explaination about this model</t>
  </si>
  <si>
    <t xml:space="preserve">Asset Valuation Model -  </t>
  </si>
  <si>
    <t>and specific market research, hard input the values for these variables on the "Assumptions" sheet.  These variables</t>
  </si>
  <si>
    <t>might be furthur tested in Sensitivity Analysis by using "Data"- "Table" function in Excel and Risk Analysis by using Crystal Ball.</t>
  </si>
  <si>
    <t>Warning Flags:</t>
  </si>
  <si>
    <t>2. Optimistic</t>
  </si>
  <si>
    <t>Storage</t>
  </si>
  <si>
    <t>10% increase</t>
  </si>
  <si>
    <t>10% decrease</t>
  </si>
  <si>
    <t>1. Base Case</t>
  </si>
  <si>
    <t>Premium</t>
  </si>
  <si>
    <t>Sources</t>
  </si>
  <si>
    <t>US$</t>
  </si>
  <si>
    <t>Uses</t>
  </si>
  <si>
    <t xml:space="preserve">      Equity</t>
  </si>
  <si>
    <t xml:space="preserve">      Debt</t>
  </si>
  <si>
    <t xml:space="preserve">Other Fees and Expenses </t>
  </si>
  <si>
    <t>Debt Break Down</t>
  </si>
  <si>
    <t xml:space="preserve">% of Total Capitalization </t>
  </si>
  <si>
    <t>Early Pre-Payment</t>
  </si>
  <si>
    <t>Amortization Method **</t>
  </si>
  <si>
    <t>% Amortized*</t>
  </si>
  <si>
    <t>SeniorTranche A (US$)</t>
  </si>
  <si>
    <t>Senior Tranche B (US$)</t>
  </si>
  <si>
    <t xml:space="preserve">     Junior Debt ($US)</t>
  </si>
  <si>
    <t>Debt Cash Sweep</t>
  </si>
  <si>
    <t>Dividend Pay-out Ratio</t>
  </si>
  <si>
    <t>**METHOD - 1=No Amortization, 2=Partial  Amortization, 3=Mortgage</t>
  </si>
  <si>
    <t xml:space="preserve"> </t>
  </si>
  <si>
    <t>Debt Schedule</t>
  </si>
  <si>
    <t>Interest</t>
  </si>
  <si>
    <t>Beginning Balance</t>
  </si>
  <si>
    <t>Rate</t>
  </si>
  <si>
    <t>Senior Tranche A (US$)</t>
  </si>
  <si>
    <t>Junior Debt</t>
  </si>
  <si>
    <t>Revolver/New Financing (US$)</t>
  </si>
  <si>
    <t>Principal Repayment</t>
  </si>
  <si>
    <t>Discretionary Principal Repayment</t>
  </si>
  <si>
    <t xml:space="preserve">    Ending Balance</t>
  </si>
  <si>
    <t>Drawdown</t>
  </si>
  <si>
    <t>Repayment</t>
  </si>
  <si>
    <t xml:space="preserve">    Interest Expense</t>
  </si>
  <si>
    <t>Discretionary Principal Repayment Schedule</t>
  </si>
  <si>
    <t>Cash Flow Available for Repayment (includes Cash on the balance sheet)</t>
  </si>
  <si>
    <t>Scheduled Borrowing (Repayment)</t>
  </si>
  <si>
    <t xml:space="preserve">     Cash Flow Available for Additional Debt Paydown</t>
  </si>
  <si>
    <t>Total</t>
  </si>
  <si>
    <t>Term</t>
  </si>
  <si>
    <t>Revolver</t>
  </si>
  <si>
    <t>N/A</t>
  </si>
  <si>
    <t>Balance</t>
  </si>
  <si>
    <t xml:space="preserve">Beginning </t>
  </si>
  <si>
    <t xml:space="preserve">    Total Debt </t>
  </si>
  <si>
    <t>Method</t>
  </si>
  <si>
    <t>Amort</t>
  </si>
  <si>
    <t>% Amort</t>
  </si>
  <si>
    <t>Amount of</t>
  </si>
  <si>
    <t>Debt</t>
  </si>
  <si>
    <t>Debt Breakdown (US $000's)</t>
  </si>
  <si>
    <t>Projected Fiscal Year Ending December 31,</t>
  </si>
  <si>
    <t>Principle Repayment Scenarios</t>
  </si>
  <si>
    <t>Option 1</t>
  </si>
  <si>
    <t>No Amortization</t>
  </si>
  <si>
    <t>Option 2</t>
  </si>
  <si>
    <t>Partial Amortization</t>
  </si>
  <si>
    <t>Beg Balance</t>
  </si>
  <si>
    <t>Prin Reduction</t>
  </si>
  <si>
    <t>End Balance</t>
  </si>
  <si>
    <t xml:space="preserve">Year </t>
  </si>
  <si>
    <t>Year</t>
  </si>
  <si>
    <t>Option 3</t>
  </si>
  <si>
    <t>Mortgage Style</t>
  </si>
  <si>
    <t>Payment</t>
  </si>
  <si>
    <t>Interest Payment</t>
  </si>
  <si>
    <t>Ending Balance</t>
  </si>
  <si>
    <t>Junior Debt (US$)</t>
  </si>
  <si>
    <t>Total Tax Depreciation</t>
  </si>
  <si>
    <t>Total Book Depreciation</t>
  </si>
  <si>
    <t>INT &amp; OTHER INCOME</t>
  </si>
  <si>
    <t>UNCONSOLIDATED INCOME</t>
  </si>
  <si>
    <t>Alta Market Resources</t>
  </si>
  <si>
    <t>Alta Pipeline Company</t>
  </si>
  <si>
    <t>Template Asset</t>
  </si>
  <si>
    <t>Financial Ratios</t>
  </si>
  <si>
    <t>EBITDA/Interest</t>
  </si>
  <si>
    <t>Fixed Charge Coverage</t>
  </si>
  <si>
    <t>EBITDA/Interest + Debt Service</t>
  </si>
  <si>
    <t>Cash Flow from Operations</t>
  </si>
  <si>
    <t>ENRON'S BASE EPS</t>
  </si>
  <si>
    <t>M Shares</t>
  </si>
  <si>
    <t>Growth of</t>
  </si>
  <si>
    <t xml:space="preserve">  Pro Forma Earnings (Inc. interest on Dividends)</t>
  </si>
  <si>
    <t>PRO FORMA EPS</t>
  </si>
  <si>
    <t xml:space="preserve">  Incremenal EPS</t>
  </si>
  <si>
    <t>Additional Shares</t>
  </si>
  <si>
    <t>Equity Investment</t>
  </si>
  <si>
    <t>Price of ENE Shares</t>
  </si>
  <si>
    <t>EXPENSE PROJECTIONS ($000)</t>
  </si>
  <si>
    <t>Volume Assumptions</t>
  </si>
  <si>
    <t>Alta Distributions</t>
  </si>
  <si>
    <t xml:space="preserve">     </t>
  </si>
  <si>
    <t>Throughput Volumes (MMBtu)</t>
  </si>
  <si>
    <t>Affiliated Volumes</t>
  </si>
  <si>
    <t>Non-affiliated Volumes</t>
  </si>
  <si>
    <t>Existing Pipeline</t>
  </si>
  <si>
    <t>Mainline 104</t>
  </si>
  <si>
    <t>Southern Trails</t>
  </si>
  <si>
    <t>Implied Valuation</t>
  </si>
  <si>
    <t>DCF Valuation</t>
  </si>
  <si>
    <t>New Projects (Total Capacity)</t>
  </si>
  <si>
    <t>Capacity Discount</t>
  </si>
  <si>
    <t>Central Utah</t>
  </si>
  <si>
    <t>Included?</t>
  </si>
  <si>
    <t>Volume Growth Curves</t>
  </si>
  <si>
    <t>Price Curves</t>
  </si>
  <si>
    <t>Avg. Transport Gas Rate</t>
  </si>
  <si>
    <t>Avg. Storage Rate</t>
  </si>
  <si>
    <t>RATE BASE</t>
  </si>
  <si>
    <t>Plant In-Service</t>
  </si>
  <si>
    <t>Accum. Dep.</t>
  </si>
  <si>
    <t>Def. Taxes</t>
  </si>
  <si>
    <t>Return</t>
  </si>
  <si>
    <t>Net Income Proxy</t>
  </si>
  <si>
    <t>(Volumes in TBtu's)</t>
  </si>
  <si>
    <t>Total Revenues</t>
  </si>
  <si>
    <t>Alta Gas Co</t>
  </si>
  <si>
    <t>Alta Other Businesses</t>
  </si>
  <si>
    <t>Other Storage Revenue Growth</t>
  </si>
  <si>
    <t>Processing Revenue Growth</t>
  </si>
  <si>
    <t>Other Business Revenue Growth</t>
  </si>
  <si>
    <t>Expense Projections</t>
  </si>
  <si>
    <t>O &amp; M Growth</t>
  </si>
  <si>
    <t>Mainline 104 (Exp/Rev)</t>
  </si>
  <si>
    <t>Southern Trails (Exp/Rev)</t>
  </si>
  <si>
    <t>Other Taxes Growth</t>
  </si>
  <si>
    <t>Total Expenses</t>
  </si>
  <si>
    <t>Rev per Exp $</t>
  </si>
  <si>
    <t>Operating Margin</t>
  </si>
  <si>
    <t>CAPITAL EXPENDITURE PROJECTIONS ($000'S)</t>
  </si>
  <si>
    <t>Total CAPEX</t>
  </si>
  <si>
    <t>Capex Growth Projections</t>
  </si>
  <si>
    <t>Transmission System CAPEX Growth</t>
  </si>
  <si>
    <t>Mainline 104 CAPEX Growth</t>
  </si>
  <si>
    <t>Southern Trails Pipeline CAPEX Growth</t>
  </si>
  <si>
    <t>Central Utah CAPEX Growth</t>
  </si>
  <si>
    <t>Storage CAPEX Growth</t>
  </si>
  <si>
    <t>Processing Plant CAPEX Growth</t>
  </si>
  <si>
    <t>Partnerships CAPEX Growth</t>
  </si>
  <si>
    <t>General CAPEX Growth</t>
  </si>
  <si>
    <t>DEPRICIATION &amp; AMORTIZATION</t>
  </si>
  <si>
    <t>TOTAL REVENUE</t>
  </si>
  <si>
    <t>OPERATING EXPENSES</t>
  </si>
  <si>
    <t>TAXES</t>
  </si>
  <si>
    <t>TOTAL TAXES</t>
  </si>
  <si>
    <t>CASH FLOW FROM OPERATIONS</t>
  </si>
  <si>
    <t>Interest &amp; Other Income Growth</t>
  </si>
  <si>
    <t>Unconsolidated Income Growth</t>
  </si>
  <si>
    <t>Int &amp; Other Income</t>
  </si>
  <si>
    <t xml:space="preserve">Hard -Code </t>
  </si>
  <si>
    <t>EBITDA Multiple</t>
  </si>
  <si>
    <t>Discount Rate</t>
  </si>
  <si>
    <t>Multiple and Discount Rate Analysis</t>
  </si>
  <si>
    <t>Discount</t>
  </si>
  <si>
    <t>Equity Value</t>
  </si>
  <si>
    <t>Purchase Price Scenarios (Equity Value)</t>
  </si>
  <si>
    <t>Multiple and Implied Perpetual Value</t>
  </si>
  <si>
    <t>Year 11 Implied Value</t>
  </si>
  <si>
    <t>Year 11 Free Cash Flow</t>
  </si>
  <si>
    <t xml:space="preserve">Discount Rate </t>
  </si>
  <si>
    <t>Implied Growth Rate</t>
  </si>
  <si>
    <t>DEPRECIATION PROJECTIONS ($000'S)</t>
  </si>
  <si>
    <t>Debt/Total Cap</t>
  </si>
  <si>
    <t>Debt/Total Capitalization</t>
  </si>
  <si>
    <t xml:space="preserve">Cost of </t>
  </si>
  <si>
    <t>IRR with Leverage and Interest Rate Scenarios (Base Case Assumptions)</t>
  </si>
  <si>
    <t>Multiple and Implied Perpetual Value (ENE Required Rate of Return)</t>
  </si>
  <si>
    <t>(O&amp;M + Storage Growth Assumptions Redux)</t>
  </si>
  <si>
    <t>Electric Utility</t>
  </si>
  <si>
    <t>Gas Utility</t>
  </si>
  <si>
    <t>Natual Gas Transmission</t>
  </si>
  <si>
    <t>Independent Power Production</t>
  </si>
  <si>
    <t>Oil &amp; Gas Exploration and Production</t>
  </si>
  <si>
    <t>International Energy Distribution</t>
  </si>
  <si>
    <t>GROWTH RATES</t>
  </si>
  <si>
    <t>Fuel for Electric Generation</t>
  </si>
  <si>
    <t>Purchased and Interchange Power</t>
  </si>
  <si>
    <t>Purchased Power - Related Parties</t>
  </si>
  <si>
    <t>Consumers Electric Operations</t>
  </si>
  <si>
    <t>Consumers Gas Operations</t>
  </si>
  <si>
    <t>TOTAL CASH FLOW AVAILABLE TO INVESTORS</t>
  </si>
  <si>
    <t>Oil &amp; Gas E&amp;P</t>
  </si>
  <si>
    <t>Purchased Pwr: Mkt, Srvcs &amp; Trade</t>
  </si>
  <si>
    <t>TOTAL EXPENSES</t>
  </si>
  <si>
    <t>TOTAL INT &amp; OTH INCOME</t>
  </si>
  <si>
    <t>DEPRECIATION &amp; AMORTIZATION</t>
  </si>
  <si>
    <t>TOTAL CASH FLOW</t>
  </si>
  <si>
    <t>(Base Case Scenario)</t>
  </si>
  <si>
    <t>Incremental Earnings (All Equity)</t>
  </si>
  <si>
    <t>MODEL ASSUMPTIONS</t>
  </si>
  <si>
    <t>Primary Pipeline Asset</t>
  </si>
  <si>
    <t>Consolidated Unlevered Valuation</t>
  </si>
  <si>
    <t>Asset Divisions</t>
  </si>
  <si>
    <t>Discounted Cash Flow Analysis</t>
  </si>
  <si>
    <t>Income Statement</t>
  </si>
  <si>
    <t>Balance Sheet</t>
  </si>
  <si>
    <t>Statement of Cash Flows</t>
  </si>
  <si>
    <t>OPERATING REVENUE</t>
  </si>
  <si>
    <t>Transportation &amp; Storage of NatGas</t>
  </si>
  <si>
    <t>Revenue 4</t>
  </si>
  <si>
    <t>Revenue 5</t>
  </si>
  <si>
    <t>TOTAL OPERATING REVENUE</t>
  </si>
  <si>
    <t>TOTAL OPERATING EXPENSES</t>
  </si>
  <si>
    <t>Operation and Maintenance</t>
  </si>
  <si>
    <t>General Taxes</t>
  </si>
  <si>
    <t>Expense 4</t>
  </si>
  <si>
    <t>Expense 5</t>
  </si>
  <si>
    <t>Expense 2</t>
  </si>
  <si>
    <t>Expense 3</t>
  </si>
  <si>
    <t>DEPRECIATION AND AMORTIZATION</t>
  </si>
  <si>
    <t xml:space="preserve">Other Net Income </t>
  </si>
  <si>
    <t>Interest on Long Term Debt</t>
  </si>
  <si>
    <t>Other Interest</t>
  </si>
  <si>
    <t>OTHER INCOME</t>
  </si>
  <si>
    <t>Other Income 2</t>
  </si>
  <si>
    <t>Other Income 3</t>
  </si>
  <si>
    <t>TOTAL OTHER INCOME</t>
  </si>
  <si>
    <t>INTEREST EXPENSES</t>
  </si>
  <si>
    <t>TOTAL INTEREST EXPENSES</t>
  </si>
  <si>
    <t>Other Interest 3</t>
  </si>
  <si>
    <t>Other Interest 4</t>
  </si>
  <si>
    <t>NET INCOME BEFORE INCOME TAXES</t>
  </si>
  <si>
    <t>Income Taxes</t>
  </si>
  <si>
    <t>Taxes 3</t>
  </si>
  <si>
    <t>Taxes 4</t>
  </si>
  <si>
    <t>OPERATING STATISTICS</t>
  </si>
  <si>
    <t>Revenue Growth</t>
  </si>
  <si>
    <t>EBITDA Growth</t>
  </si>
  <si>
    <t>EBIT Growth</t>
  </si>
  <si>
    <t>EBITDA Margin (%)</t>
  </si>
  <si>
    <t>EBIT Margin (%)</t>
  </si>
  <si>
    <t>GROWTH</t>
  </si>
  <si>
    <t>MARGINS</t>
  </si>
  <si>
    <t>Revenue per Expense</t>
  </si>
  <si>
    <t>Revenue 6</t>
  </si>
  <si>
    <t>LNG Terminalling Revenue</t>
  </si>
  <si>
    <t>OTHER INCOME PROJECTIONS ($000'S)</t>
  </si>
  <si>
    <t>TAX PROJECTIONS ($000'S)</t>
  </si>
  <si>
    <t>Cash and Equivalents</t>
  </si>
  <si>
    <t>Accounts Receivable</t>
  </si>
  <si>
    <t>Inventory</t>
  </si>
  <si>
    <t>Other Current Assets</t>
  </si>
  <si>
    <t>Net Property, Plant &amp; Equipment</t>
  </si>
  <si>
    <t>Intangible Assets</t>
  </si>
  <si>
    <t>Accounts Payable</t>
  </si>
  <si>
    <t>Other Current Liabilities</t>
  </si>
  <si>
    <t>CURRENT ASSETS</t>
  </si>
  <si>
    <t xml:space="preserve">TOTAL CURRENT ASSETS </t>
  </si>
  <si>
    <t>NON-CURRENT ASSETS</t>
  </si>
  <si>
    <t>TOTAL NON-CURRENT ASSETS</t>
  </si>
  <si>
    <t>TOTAL ASSETS</t>
  </si>
  <si>
    <t>CURRENT LIABILITIES</t>
  </si>
  <si>
    <t>TOTAL CURRENT LIABILITIES</t>
  </si>
  <si>
    <t>NON-CURRENT LIABILITIES</t>
  </si>
  <si>
    <t>Non-Current Liabilities 4</t>
  </si>
  <si>
    <t>Non-Current Liabilities 5</t>
  </si>
  <si>
    <t>Non-Current Liabilities 6</t>
  </si>
  <si>
    <t>Non-Current Liabilities 7</t>
  </si>
  <si>
    <t>Non-Current Liabilities 8</t>
  </si>
  <si>
    <t>Current Assets 8</t>
  </si>
  <si>
    <t>Current Liabilities 7</t>
  </si>
  <si>
    <t>Current Liabilities 8</t>
  </si>
  <si>
    <t>TOTAL NON-CURRENT LIABILITIES</t>
  </si>
  <si>
    <t>COMMON EQUITY</t>
  </si>
  <si>
    <t>TOTAL COMMON EQUITY</t>
  </si>
  <si>
    <t>TOTAL LIABILITIES &amp; EQUITY</t>
  </si>
  <si>
    <t>Common Equity 4</t>
  </si>
  <si>
    <t>Common Equity 5</t>
  </si>
  <si>
    <t>Common Equity 6</t>
  </si>
  <si>
    <t>Common Equity 7</t>
  </si>
  <si>
    <t>Common Equity 8</t>
  </si>
  <si>
    <t>BALANCE SHEET ($000)</t>
  </si>
  <si>
    <t>Less Accumulated Depreciation &amp; Amortization</t>
  </si>
  <si>
    <t>Construction work-in-progress</t>
  </si>
  <si>
    <t>Debt Issuance Cost</t>
  </si>
  <si>
    <t>Other Non-Current Assets</t>
  </si>
  <si>
    <t>Gas Imbalances - Receivable</t>
  </si>
  <si>
    <t>Deferred Income Taxes</t>
  </si>
  <si>
    <t>Note Receivables</t>
  </si>
  <si>
    <t>Current Assets 9</t>
  </si>
  <si>
    <t>Current Assets 10</t>
  </si>
  <si>
    <t>Non-Current Assets 9</t>
  </si>
  <si>
    <t>Non-Current Assets 10</t>
  </si>
  <si>
    <t>Invesments</t>
  </si>
  <si>
    <t>Current Liabilities 9</t>
  </si>
  <si>
    <t>Current Liabilities 10</t>
  </si>
  <si>
    <t>Non-Current Liabilities 9</t>
  </si>
  <si>
    <t>Non-Current Liabilities 10</t>
  </si>
  <si>
    <t>Common Equity 9</t>
  </si>
  <si>
    <t>Common Equity 10</t>
  </si>
  <si>
    <t>Gas Imbalances - Payable</t>
  </si>
  <si>
    <t>Accrued Taxes</t>
  </si>
  <si>
    <t>Accrued Interest</t>
  </si>
  <si>
    <t>Accrued Liabilities</t>
  </si>
  <si>
    <t>Long-term Debt</t>
  </si>
  <si>
    <t>Common Stock</t>
  </si>
  <si>
    <t>Paid-in Capital</t>
  </si>
  <si>
    <t>Retained Earnings</t>
  </si>
  <si>
    <t>Balance Sheet Check</t>
  </si>
  <si>
    <t xml:space="preserve"> Transaction Adjustments</t>
  </si>
  <si>
    <t>Additions</t>
  </si>
  <si>
    <t>Subtractions</t>
  </si>
  <si>
    <t>BALANCE SHEET ASSUMPTIONS</t>
  </si>
  <si>
    <t>Days Sales in A/R</t>
  </si>
  <si>
    <t>Days COGS in Inventory</t>
  </si>
  <si>
    <t>Days Cogs in A/P</t>
  </si>
  <si>
    <t>2001PF</t>
  </si>
  <si>
    <t>% of Revenue as Receivable Gas Imbalance</t>
  </si>
  <si>
    <t>Days in Receivable Gas Imbalance</t>
  </si>
  <si>
    <t>Administrative and General</t>
  </si>
  <si>
    <t>Operations and Maintenance</t>
  </si>
  <si>
    <t>Property and Other Taxes</t>
  </si>
  <si>
    <t>Property, Plant &amp; Equipment @ Cost</t>
  </si>
  <si>
    <t>Gas and Liquids Sold</t>
  </si>
  <si>
    <t>Cost of Sales</t>
  </si>
  <si>
    <t>Additions to PPE</t>
  </si>
  <si>
    <t>Other Capital Expenditures</t>
  </si>
  <si>
    <t>Note Receivable from Parent Company</t>
  </si>
  <si>
    <t>Proceeds from Sale of Property</t>
  </si>
  <si>
    <t xml:space="preserve">  Existing PPE</t>
  </si>
  <si>
    <t>REVENUES</t>
  </si>
  <si>
    <t>OPER. EXPENSES</t>
  </si>
  <si>
    <t>DD&amp;A</t>
  </si>
  <si>
    <t>CASH FLOW</t>
  </si>
  <si>
    <t>% Chng Factor</t>
  </si>
  <si>
    <t>Choose Case</t>
  </si>
  <si>
    <t>Discretionary Adjustment Factor</t>
  </si>
  <si>
    <t>EXPENSE PROJECTIONS</t>
  </si>
  <si>
    <t xml:space="preserve"> Growth Capital</t>
  </si>
  <si>
    <t xml:space="preserve"> Maintenance Capital</t>
  </si>
  <si>
    <t>DEPRECIATION</t>
  </si>
  <si>
    <t>Northern Border Partners</t>
  </si>
  <si>
    <t>Citrus</t>
  </si>
  <si>
    <t>INT &amp; OTHER DEDUCTIONS</t>
  </si>
  <si>
    <t>Incremental Earnings (60% Debt, 40% Equity)</t>
  </si>
  <si>
    <t>Include:</t>
  </si>
  <si>
    <t>1=Yes, 0=No</t>
  </si>
  <si>
    <t>Gas Transportation</t>
  </si>
  <si>
    <t>CITRUS</t>
  </si>
  <si>
    <t>O&amp;M</t>
  </si>
  <si>
    <t>TC&amp;S Expense</t>
  </si>
  <si>
    <t>Taxes Other Than Income</t>
  </si>
  <si>
    <t>Total Existing Pipeline</t>
  </si>
  <si>
    <t>Existing Citrus</t>
  </si>
  <si>
    <t>Transwestern</t>
  </si>
  <si>
    <t>Northern Natural</t>
  </si>
  <si>
    <t>Northern Boder Partners</t>
  </si>
  <si>
    <t>INTEREST &amp; OTHER INCOME</t>
  </si>
  <si>
    <t>TOTAL UNCONSOL. INCOME</t>
  </si>
  <si>
    <t>Deferred Tax</t>
  </si>
  <si>
    <t>EBITDA X</t>
  </si>
  <si>
    <t>2001 EBITDA</t>
  </si>
  <si>
    <t>2001 Net Income</t>
  </si>
  <si>
    <t>New Capex Depreciation Table</t>
  </si>
  <si>
    <t xml:space="preserve"> acqired assets</t>
  </si>
  <si>
    <t>Enron Ownership</t>
  </si>
  <si>
    <t>Equity Sale</t>
  </si>
  <si>
    <t>After Sale Valuation</t>
  </si>
  <si>
    <t>Required Equity Sell-down at Hold Co. Level</t>
  </si>
  <si>
    <t>Equity Valuation</t>
  </si>
  <si>
    <t>Enron Equity Value</t>
  </si>
  <si>
    <t>Net Cash Raised</t>
  </si>
  <si>
    <t>Acquire Assets</t>
  </si>
  <si>
    <t>Year of Equity Sale</t>
  </si>
  <si>
    <t>Valuation and Sell-down Summary</t>
  </si>
  <si>
    <t>Sale Price</t>
  </si>
  <si>
    <t xml:space="preserve">   Less Total Tax</t>
  </si>
  <si>
    <t>Asset Price</t>
  </si>
  <si>
    <t>Enron Equity Net Income</t>
  </si>
  <si>
    <t>Lost Income Stream from Sale</t>
  </si>
  <si>
    <t>Lost Cash Flow from Sale</t>
  </si>
  <si>
    <t>Enron Ownership %</t>
  </si>
  <si>
    <t>EQUITY SELL-DOWN</t>
  </si>
  <si>
    <t>Project Assumptions</t>
  </si>
  <si>
    <t xml:space="preserve">MULTIPLES VALUATION </t>
  </si>
  <si>
    <t>DCF VALUATION</t>
  </si>
  <si>
    <t>Conslolidated Levered Pro Forma</t>
  </si>
  <si>
    <t>Required Equity Sell-down for ETS</t>
  </si>
  <si>
    <t>NBP</t>
  </si>
  <si>
    <t>YE 2000</t>
  </si>
  <si>
    <t>Consolidated</t>
  </si>
  <si>
    <t>2000 Actual NI+Int(1-t)</t>
  </si>
  <si>
    <t>2000 Actual NI</t>
  </si>
  <si>
    <t>Book Depreciation Rate</t>
  </si>
  <si>
    <t>TOTAL DEPRECIATION &amp; AMORTIZATION</t>
  </si>
  <si>
    <t>Depreciation &amp; Amortization</t>
  </si>
  <si>
    <t>TOTAL EBIT</t>
  </si>
  <si>
    <t>TOTAL EBITDA</t>
  </si>
  <si>
    <t>TOTAL CASH FLOW FROM OPERATIONS</t>
  </si>
  <si>
    <t>TOTAL CAPEX</t>
  </si>
  <si>
    <t>TOTAL NET INCOME</t>
  </si>
  <si>
    <t>Trailblazer</t>
  </si>
  <si>
    <t>(=Sale Price/Enron Equity Value)</t>
  </si>
  <si>
    <t>At equity sale</t>
  </si>
  <si>
    <t>Transmission/Compression &amp; Storage</t>
  </si>
  <si>
    <t>Taxes on Gain from Equity Sale</t>
  </si>
  <si>
    <t>(=Sale Price/Total Equity Valuation)</t>
  </si>
  <si>
    <t xml:space="preserve">   Operating Margin</t>
  </si>
  <si>
    <t>Tax Basis @12/31/00</t>
  </si>
  <si>
    <t>Book Basis @ 8/31/01</t>
  </si>
  <si>
    <t>Unit Price</t>
  </si>
  <si>
    <t>Cash Taxes on Sale</t>
  </si>
  <si>
    <t>Receivable from Enron</t>
  </si>
  <si>
    <t>PreTax Realized Gain/Loss</t>
  </si>
  <si>
    <t>After Tax Gain/Loss</t>
  </si>
  <si>
    <t>Natural Gas Transmission</t>
  </si>
  <si>
    <t xml:space="preserve"> acquired assets</t>
  </si>
  <si>
    <t>ETS</t>
  </si>
  <si>
    <t>Enterprise Value         @ 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</si>
</sst>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  <numFmt numFmtId="167" formatCode="_(&quot;$&quot;* #,##0_);_(&quot;$&quot;* \(#,##0\);_(&quot;$&quot;* &quot;-&quot;??_);_(@_)"/>
    <numFmt numFmtId="168" formatCode="0.0"/>
    <numFmt numFmtId="171" formatCode="_(* #,##0.0000_);_(* \(#,##0.0000\);_(* &quot;-&quot;??_);_(@_)"/>
    <numFmt numFmtId="173" formatCode="_(&quot;$&quot;* #,##0.000_);_(&quot;$&quot;* \(#,##0.000\);_(&quot;$&quot;* &quot;-&quot;??_);_(@_)"/>
    <numFmt numFmtId="175" formatCode="#,##0.0_%_);\(#,##0.0\)_%;#,##0.0_%_);@_%_)"/>
    <numFmt numFmtId="177" formatCode="#,##0.00_%_);\(#,##0.00\)_%;#,##0.00_%_);@_%_)"/>
    <numFmt numFmtId="180" formatCode="0%_);\(0%\);0%_);@_%_)"/>
    <numFmt numFmtId="182" formatCode="0.00%_);\(0.00%\);0.00%_);@_%_)"/>
    <numFmt numFmtId="183" formatCode="&quot;Yes&quot;_%_);;&quot;No&quot;_%_)"/>
    <numFmt numFmtId="185" formatCode="#,##0.0%_);\(#,##0.0%\);0.0%_);@_%_)"/>
    <numFmt numFmtId="188" formatCode="###0_%_);\(#,##0\)_%;#,##0_%_);@_%_)"/>
    <numFmt numFmtId="189" formatCode="&quot;$&quot;#,##0.0_%_);\(&quot;$&quot;#,##0.0\)_%;&quot;$&quot;#,##0.0_%_);@_%_)"/>
    <numFmt numFmtId="193" formatCode="&quot;$&quot;#,##0.00_%_);\(&quot;$&quot;#,##0.00\)_%;&quot;$&quot;#,##0.00_%_);@_%_)"/>
    <numFmt numFmtId="195" formatCode="#,##0.0_%_);\(#,##0.0\)_%;[White]#,##0.0_%_);@_%_)"/>
    <numFmt numFmtId="203" formatCode="&quot;$&quot;#,##0_%_);\(&quot;$&quot;#,##0\)_%;&quot;$&quot;#,##0_%_);@_%_)"/>
    <numFmt numFmtId="204" formatCode="_(&quot;$&quot;* #,##0.000_);_(&quot;$&quot;* \(#,##0.000\);_(&quot;$&quot;* &quot;-&quot;???_);_(@_)"/>
    <numFmt numFmtId="205" formatCode="_(&quot;$&quot;* #,##0.00_);_(&quot;$&quot;* \(#,##0.00\);_(&quot;$&quot;* &quot;-&quot;???_);_(@_)"/>
    <numFmt numFmtId="207" formatCode="#\x"/>
    <numFmt numFmtId="210" formatCode="0.00\x"/>
    <numFmt numFmtId="227" formatCode=";;;"/>
  </numFmts>
  <fonts count="47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48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i/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58"/>
      <name val="Arial"/>
      <family val="2"/>
    </font>
    <font>
      <b/>
      <u val="singleAccounting"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8"/>
      <name val="Arial"/>
      <family val="2"/>
    </font>
    <font>
      <sz val="10"/>
      <name val="Helvetica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name val="Helvetica-Black"/>
    </font>
    <font>
      <sz val="8"/>
      <color indexed="12"/>
      <name val="Arial"/>
      <family val="2"/>
    </font>
    <font>
      <b/>
      <sz val="16"/>
      <name val="Arial"/>
      <family val="2"/>
    </font>
    <font>
      <b/>
      <sz val="10"/>
      <color indexed="21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  <font>
      <sz val="10"/>
      <color indexed="56"/>
      <name val="Arial"/>
      <family val="2"/>
    </font>
    <font>
      <b/>
      <sz val="10"/>
      <color indexed="8"/>
      <name val="Arial"/>
      <family val="2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0"/>
      <color indexed="12"/>
      <name val="Arial"/>
    </font>
    <font>
      <b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6"/>
      <color indexed="9"/>
      <name val="Arial"/>
      <family val="2"/>
    </font>
    <font>
      <b/>
      <sz val="11"/>
      <color indexed="9"/>
      <name val="Arial"/>
      <family val="2"/>
    </font>
    <font>
      <u val="singleAccounting"/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7" fillId="0" borderId="0"/>
    <xf numFmtId="0" fontId="26" fillId="0" borderId="0"/>
    <xf numFmtId="9" fontId="1" fillId="0" borderId="0" applyFont="0" applyFill="0" applyBorder="0" applyAlignment="0" applyProtection="0"/>
    <xf numFmtId="0" fontId="31" fillId="0" borderId="0" applyFill="0" applyBorder="0" applyProtection="0">
      <alignment horizontal="left"/>
    </xf>
  </cellStyleXfs>
  <cellXfs count="1035">
    <xf numFmtId="0" fontId="0" fillId="0" borderId="0" xfId="0"/>
    <xf numFmtId="165" fontId="1" fillId="0" borderId="0" xfId="1" applyNumberFormat="1"/>
    <xf numFmtId="165" fontId="1" fillId="0" borderId="0" xfId="1" applyNumberFormat="1" applyFont="1"/>
    <xf numFmtId="165" fontId="6" fillId="0" borderId="0" xfId="1" applyNumberFormat="1" applyFont="1"/>
    <xf numFmtId="165" fontId="7" fillId="0" borderId="0" xfId="1" applyNumberFormat="1" applyFont="1"/>
    <xf numFmtId="165" fontId="6" fillId="0" borderId="0" xfId="1" applyNumberFormat="1" applyFont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165" fontId="0" fillId="0" borderId="0" xfId="1" applyNumberFormat="1" applyFont="1"/>
    <xf numFmtId="165" fontId="0" fillId="0" borderId="0" xfId="1" applyNumberFormat="1" applyFont="1" applyAlignment="1">
      <alignment horizontal="right"/>
    </xf>
    <xf numFmtId="165" fontId="1" fillId="0" borderId="0" xfId="1" applyNumberFormat="1" applyFill="1"/>
    <xf numFmtId="166" fontId="9" fillId="0" borderId="0" xfId="0" applyNumberFormat="1" applyFont="1"/>
    <xf numFmtId="9" fontId="9" fillId="0" borderId="0" xfId="0" applyNumberFormat="1" applyFont="1"/>
    <xf numFmtId="0" fontId="9" fillId="0" borderId="0" xfId="0" applyFont="1"/>
    <xf numFmtId="0" fontId="0" fillId="2" borderId="0" xfId="0" applyFill="1"/>
    <xf numFmtId="165" fontId="6" fillId="2" borderId="0" xfId="1" applyNumberFormat="1" applyFont="1" applyFill="1"/>
    <xf numFmtId="165" fontId="1" fillId="2" borderId="0" xfId="1" applyNumberFormat="1" applyFill="1"/>
    <xf numFmtId="165" fontId="1" fillId="2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5" fontId="7" fillId="2" borderId="0" xfId="1" applyNumberFormat="1" applyFont="1" applyFill="1"/>
    <xf numFmtId="0" fontId="4" fillId="0" borderId="0" xfId="0" applyFont="1"/>
    <xf numFmtId="0" fontId="7" fillId="0" borderId="0" xfId="0" applyFont="1"/>
    <xf numFmtId="0" fontId="0" fillId="0" borderId="0" xfId="0" applyFill="1"/>
    <xf numFmtId="165" fontId="0" fillId="0" borderId="0" xfId="1" applyNumberFormat="1" applyFont="1" applyFill="1"/>
    <xf numFmtId="165" fontId="0" fillId="0" borderId="0" xfId="0" applyNumberFormat="1"/>
    <xf numFmtId="165" fontId="1" fillId="0" borderId="0" xfId="1" applyNumberFormat="1" applyFont="1" applyFill="1"/>
    <xf numFmtId="165" fontId="3" fillId="0" borderId="0" xfId="1" applyNumberFormat="1" applyFont="1" applyFill="1"/>
    <xf numFmtId="165" fontId="7" fillId="0" borderId="0" xfId="1" applyNumberFormat="1" applyFont="1" applyFill="1"/>
    <xf numFmtId="165" fontId="1" fillId="0" borderId="0" xfId="1" applyNumberFormat="1" applyFont="1" applyFill="1" applyAlignment="1">
      <alignment horizontal="center"/>
    </xf>
    <xf numFmtId="1" fontId="2" fillId="0" borderId="0" xfId="0" applyNumberFormat="1" applyFont="1"/>
    <xf numFmtId="165" fontId="6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horizontal="right"/>
    </xf>
    <xf numFmtId="165" fontId="3" fillId="0" borderId="0" xfId="1" applyNumberFormat="1" applyFont="1" applyFill="1" applyAlignment="1">
      <alignment horizontal="right"/>
    </xf>
    <xf numFmtId="167" fontId="0" fillId="0" borderId="0" xfId="3" applyNumberFormat="1" applyFont="1" applyFill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165" fontId="6" fillId="0" borderId="0" xfId="1" applyNumberFormat="1" applyFont="1" applyBorder="1"/>
    <xf numFmtId="0" fontId="15" fillId="0" borderId="0" xfId="0" applyFont="1" applyAlignment="1">
      <alignment horizontal="center"/>
    </xf>
    <xf numFmtId="0" fontId="15" fillId="0" borderId="0" xfId="0" applyFont="1"/>
    <xf numFmtId="0" fontId="0" fillId="0" borderId="0" xfId="0" applyFill="1" applyBorder="1"/>
    <xf numFmtId="165" fontId="1" fillId="0" borderId="1" xfId="1" applyNumberFormat="1" applyFill="1" applyBorder="1"/>
    <xf numFmtId="0" fontId="0" fillId="0" borderId="0" xfId="0" applyFill="1" applyAlignment="1">
      <alignment horizontal="center"/>
    </xf>
    <xf numFmtId="165" fontId="1" fillId="0" borderId="1" xfId="1" applyNumberFormat="1" applyBorder="1"/>
    <xf numFmtId="165" fontId="7" fillId="0" borderId="1" xfId="1" applyNumberFormat="1" applyFont="1" applyFill="1" applyBorder="1"/>
    <xf numFmtId="0" fontId="12" fillId="0" borderId="0" xfId="0" applyFont="1"/>
    <xf numFmtId="165" fontId="0" fillId="0" borderId="0" xfId="1" applyNumberFormat="1" applyFont="1" applyBorder="1"/>
    <xf numFmtId="171" fontId="1" fillId="0" borderId="2" xfId="1" applyNumberFormat="1" applyBorder="1"/>
    <xf numFmtId="171" fontId="1" fillId="0" borderId="1" xfId="1" applyNumberFormat="1" applyBorder="1"/>
    <xf numFmtId="171" fontId="1" fillId="0" borderId="3" xfId="1" applyNumberFormat="1" applyBorder="1"/>
    <xf numFmtId="0" fontId="0" fillId="0" borderId="0" xfId="0" applyAlignment="1"/>
    <xf numFmtId="0" fontId="0" fillId="0" borderId="0" xfId="0" applyBorder="1" applyAlignment="1">
      <alignment horizontal="right"/>
    </xf>
    <xf numFmtId="165" fontId="0" fillId="0" borderId="0" xfId="1" applyNumberFormat="1" applyFont="1" applyAlignment="1"/>
    <xf numFmtId="0" fontId="2" fillId="0" borderId="0" xfId="0" applyFont="1" applyFill="1"/>
    <xf numFmtId="165" fontId="7" fillId="0" borderId="0" xfId="1" applyNumberFormat="1" applyFont="1" applyFill="1" applyBorder="1"/>
    <xf numFmtId="165" fontId="12" fillId="0" borderId="0" xfId="1" applyNumberFormat="1" applyFont="1"/>
    <xf numFmtId="165" fontId="12" fillId="0" borderId="0" xfId="1" applyNumberFormat="1" applyFont="1" applyFill="1"/>
    <xf numFmtId="9" fontId="2" fillId="0" borderId="0" xfId="0" applyNumberFormat="1" applyFont="1" applyAlignment="1">
      <alignment horizontal="center" wrapText="1"/>
    </xf>
    <xf numFmtId="165" fontId="0" fillId="0" borderId="0" xfId="0" applyNumberFormat="1" applyAlignment="1"/>
    <xf numFmtId="165" fontId="6" fillId="0" borderId="0" xfId="0" applyNumberFormat="1" applyFont="1" applyAlignment="1"/>
    <xf numFmtId="0" fontId="12" fillId="0" borderId="0" xfId="0" applyFont="1" applyBorder="1"/>
    <xf numFmtId="0" fontId="0" fillId="0" borderId="1" xfId="0" applyFill="1" applyBorder="1"/>
    <xf numFmtId="165" fontId="16" fillId="0" borderId="0" xfId="1" applyNumberFormat="1" applyFont="1" applyFill="1"/>
    <xf numFmtId="165" fontId="2" fillId="0" borderId="2" xfId="1" applyNumberFormat="1" applyFont="1" applyBorder="1"/>
    <xf numFmtId="165" fontId="2" fillId="0" borderId="0" xfId="1" applyNumberFormat="1" applyFont="1" applyAlignment="1">
      <alignment horizontal="left"/>
    </xf>
    <xf numFmtId="0" fontId="0" fillId="0" borderId="0" xfId="0" applyFill="1" applyBorder="1" applyAlignment="1">
      <alignment horizontal="right"/>
    </xf>
    <xf numFmtId="165" fontId="2" fillId="0" borderId="0" xfId="1" applyNumberFormat="1" applyFont="1"/>
    <xf numFmtId="165" fontId="1" fillId="0" borderId="0" xfId="1" applyNumberFormat="1" applyFill="1" applyBorder="1"/>
    <xf numFmtId="0" fontId="0" fillId="0" borderId="0" xfId="0" applyAlignment="1">
      <alignment horizontal="left"/>
    </xf>
    <xf numFmtId="9" fontId="1" fillId="0" borderId="0" xfId="7"/>
    <xf numFmtId="165" fontId="0" fillId="2" borderId="1" xfId="0" applyNumberFormat="1" applyFill="1" applyBorder="1"/>
    <xf numFmtId="0" fontId="0" fillId="0" borderId="0" xfId="0" applyBorder="1" applyAlignment="1">
      <alignment horizontal="left"/>
    </xf>
    <xf numFmtId="9" fontId="7" fillId="0" borderId="0" xfId="7" applyFont="1" applyFill="1" applyBorder="1"/>
    <xf numFmtId="9" fontId="1" fillId="0" borderId="0" xfId="7" applyBorder="1" applyAlignment="1">
      <alignment horizontal="right"/>
    </xf>
    <xf numFmtId="165" fontId="1" fillId="0" borderId="0" xfId="1" applyNumberFormat="1" applyFill="1" applyAlignment="1">
      <alignment horizontal="right"/>
    </xf>
    <xf numFmtId="9" fontId="1" fillId="0" borderId="0" xfId="7" applyFill="1"/>
    <xf numFmtId="9" fontId="8" fillId="0" borderId="0" xfId="0" applyNumberFormat="1" applyFont="1" applyBorder="1"/>
    <xf numFmtId="9" fontId="8" fillId="0" borderId="0" xfId="7" applyFont="1" applyFill="1" applyBorder="1"/>
    <xf numFmtId="43" fontId="3" fillId="0" borderId="0" xfId="1" applyFont="1" applyAlignment="1">
      <alignment horizontal="right"/>
    </xf>
    <xf numFmtId="43" fontId="3" fillId="2" borderId="0" xfId="1" applyFont="1" applyFill="1"/>
    <xf numFmtId="43" fontId="3" fillId="0" borderId="0" xfId="1" applyFont="1" applyFill="1"/>
    <xf numFmtId="166" fontId="8" fillId="0" borderId="0" xfId="0" applyNumberFormat="1" applyFont="1"/>
    <xf numFmtId="165" fontId="0" fillId="0" borderId="4" xfId="1" applyNumberFormat="1" applyFont="1" applyBorder="1" applyAlignment="1">
      <alignment horizontal="right"/>
    </xf>
    <xf numFmtId="165" fontId="0" fillId="0" borderId="5" xfId="0" applyNumberFormat="1" applyBorder="1" applyAlignment="1"/>
    <xf numFmtId="164" fontId="7" fillId="2" borderId="0" xfId="1" applyNumberFormat="1" applyFont="1" applyFill="1"/>
    <xf numFmtId="165" fontId="0" fillId="0" borderId="0" xfId="0" applyNumberFormat="1" applyBorder="1"/>
    <xf numFmtId="167" fontId="16" fillId="0" borderId="0" xfId="3" applyNumberFormat="1" applyFont="1" applyFill="1"/>
    <xf numFmtId="0" fontId="17" fillId="0" borderId="0" xfId="0" applyFont="1"/>
    <xf numFmtId="0" fontId="8" fillId="0" borderId="0" xfId="0" applyNumberFormat="1" applyFont="1" applyAlignment="1">
      <alignment horizontal="center"/>
    </xf>
    <xf numFmtId="43" fontId="0" fillId="0" borderId="0" xfId="0" applyNumberFormat="1"/>
    <xf numFmtId="0" fontId="7" fillId="0" borderId="0" xfId="0" applyFont="1" applyAlignment="1">
      <alignment horizontal="right"/>
    </xf>
    <xf numFmtId="165" fontId="0" fillId="0" borderId="0" xfId="1" applyNumberFormat="1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65" fontId="7" fillId="0" borderId="0" xfId="0" applyNumberFormat="1" applyFont="1"/>
    <xf numFmtId="165" fontId="0" fillId="0" borderId="6" xfId="0" applyNumberFormat="1" applyBorder="1" applyAlignment="1"/>
    <xf numFmtId="17" fontId="2" fillId="0" borderId="0" xfId="0" applyNumberFormat="1" applyFont="1" applyAlignment="1">
      <alignment horizontal="center" wrapText="1"/>
    </xf>
    <xf numFmtId="165" fontId="7" fillId="0" borderId="0" xfId="0" applyNumberFormat="1" applyFont="1" applyAlignment="1"/>
    <xf numFmtId="9" fontId="7" fillId="0" borderId="0" xfId="0" applyNumberFormat="1" applyFont="1"/>
    <xf numFmtId="165" fontId="1" fillId="0" borderId="0" xfId="1" applyNumberFormat="1" applyBorder="1"/>
    <xf numFmtId="164" fontId="18" fillId="2" borderId="0" xfId="1" applyNumberFormat="1" applyFont="1" applyFill="1" applyAlignment="1">
      <alignment horizontal="center"/>
    </xf>
    <xf numFmtId="0" fontId="7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7" fillId="0" borderId="0" xfId="0" applyFont="1" applyFill="1"/>
    <xf numFmtId="2" fontId="1" fillId="0" borderId="0" xfId="3" applyNumberFormat="1" applyAlignment="1">
      <alignment horizontal="right"/>
    </xf>
    <xf numFmtId="9" fontId="7" fillId="0" borderId="0" xfId="0" applyNumberFormat="1" applyFont="1" applyFill="1"/>
    <xf numFmtId="166" fontId="0" fillId="0" borderId="0" xfId="0" applyNumberFormat="1" applyFill="1"/>
    <xf numFmtId="10" fontId="0" fillId="0" borderId="0" xfId="0" applyNumberFormat="1" applyFill="1"/>
    <xf numFmtId="166" fontId="0" fillId="0" borderId="0" xfId="7" applyNumberFormat="1" applyFont="1" applyFill="1"/>
    <xf numFmtId="9" fontId="0" fillId="0" borderId="0" xfId="7" applyFont="1" applyFill="1"/>
    <xf numFmtId="0" fontId="0" fillId="0" borderId="7" xfId="0" applyBorder="1"/>
    <xf numFmtId="0" fontId="0" fillId="0" borderId="8" xfId="0" applyBorder="1"/>
    <xf numFmtId="0" fontId="12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9" xfId="0" applyBorder="1" applyAlignment="1">
      <alignment wrapText="1"/>
    </xf>
    <xf numFmtId="0" fontId="0" fillId="0" borderId="0" xfId="0" applyFill="1" applyBorder="1" applyAlignment="1">
      <alignment horizontal="left"/>
    </xf>
    <xf numFmtId="165" fontId="0" fillId="3" borderId="0" xfId="1" applyNumberFormat="1" applyFont="1" applyFill="1" applyBorder="1"/>
    <xf numFmtId="0" fontId="4" fillId="3" borderId="0" xfId="0" applyFont="1" applyFill="1" applyBorder="1"/>
    <xf numFmtId="165" fontId="0" fillId="3" borderId="9" xfId="1" applyNumberFormat="1" applyFont="1" applyFill="1" applyBorder="1"/>
    <xf numFmtId="165" fontId="0" fillId="3" borderId="10" xfId="1" applyNumberFormat="1" applyFont="1" applyFill="1" applyBorder="1"/>
    <xf numFmtId="0" fontId="0" fillId="3" borderId="12" xfId="0" applyFill="1" applyBorder="1"/>
    <xf numFmtId="164" fontId="12" fillId="0" borderId="0" xfId="1" applyNumberFormat="1" applyFont="1" applyFill="1" applyBorder="1" applyAlignment="1">
      <alignment horizontal="left"/>
    </xf>
    <xf numFmtId="165" fontId="3" fillId="0" borderId="0" xfId="1" applyNumberFormat="1" applyFont="1" applyFill="1" applyAlignment="1">
      <alignment horizontal="center"/>
    </xf>
    <xf numFmtId="165" fontId="2" fillId="3" borderId="14" xfId="1" applyNumberFormat="1" applyFont="1" applyFill="1" applyBorder="1" applyAlignment="1">
      <alignment horizontal="center"/>
    </xf>
    <xf numFmtId="165" fontId="2" fillId="3" borderId="7" xfId="1" applyNumberFormat="1" applyFont="1" applyFill="1" applyBorder="1" applyAlignment="1">
      <alignment horizontal="center"/>
    </xf>
    <xf numFmtId="0" fontId="2" fillId="3" borderId="7" xfId="0" applyFont="1" applyFill="1" applyBorder="1"/>
    <xf numFmtId="165" fontId="19" fillId="3" borderId="9" xfId="1" applyNumberFormat="1" applyFont="1" applyFill="1" applyBorder="1" applyAlignment="1">
      <alignment horizontal="center"/>
    </xf>
    <xf numFmtId="165" fontId="19" fillId="3" borderId="0" xfId="1" applyNumberFormat="1" applyFont="1" applyFill="1" applyBorder="1" applyAlignment="1">
      <alignment horizontal="center"/>
    </xf>
    <xf numFmtId="0" fontId="15" fillId="3" borderId="0" xfId="0" applyFont="1" applyFill="1" applyBorder="1"/>
    <xf numFmtId="166" fontId="15" fillId="3" borderId="0" xfId="7" applyNumberFormat="1" applyFont="1" applyFill="1" applyBorder="1"/>
    <xf numFmtId="166" fontId="15" fillId="3" borderId="10" xfId="7" applyNumberFormat="1" applyFont="1" applyFill="1" applyBorder="1"/>
    <xf numFmtId="166" fontId="15" fillId="3" borderId="9" xfId="7" applyNumberFormat="1" applyFont="1" applyFill="1" applyBorder="1"/>
    <xf numFmtId="0" fontId="12" fillId="0" borderId="0" xfId="0" applyFont="1" applyBorder="1" applyAlignment="1">
      <alignment horizontal="center"/>
    </xf>
    <xf numFmtId="0" fontId="3" fillId="0" borderId="0" xfId="0" applyFont="1" applyFill="1" applyBorder="1"/>
    <xf numFmtId="165" fontId="1" fillId="3" borderId="0" xfId="1" applyNumberFormat="1" applyFill="1" applyBorder="1"/>
    <xf numFmtId="168" fontId="0" fillId="0" borderId="0" xfId="0" applyNumberFormat="1" applyFill="1"/>
    <xf numFmtId="165" fontId="1" fillId="3" borderId="14" xfId="1" applyNumberFormat="1" applyFont="1" applyFill="1" applyBorder="1" applyAlignment="1">
      <alignment horizontal="center"/>
    </xf>
    <xf numFmtId="165" fontId="1" fillId="3" borderId="7" xfId="1" applyNumberFormat="1" applyFill="1" applyBorder="1" applyAlignment="1">
      <alignment horizontal="center"/>
    </xf>
    <xf numFmtId="165" fontId="1" fillId="3" borderId="7" xfId="1" applyNumberFormat="1" applyFill="1" applyBorder="1"/>
    <xf numFmtId="165" fontId="6" fillId="3" borderId="9" xfId="1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65" fontId="6" fillId="3" borderId="0" xfId="1" applyNumberFormat="1" applyFont="1" applyFill="1" applyBorder="1" applyAlignment="1">
      <alignment horizontal="center"/>
    </xf>
    <xf numFmtId="166" fontId="4" fillId="3" borderId="0" xfId="7" applyNumberFormat="1" applyFont="1" applyFill="1" applyBorder="1"/>
    <xf numFmtId="166" fontId="4" fillId="3" borderId="10" xfId="7" applyNumberFormat="1" applyFont="1" applyFill="1" applyBorder="1"/>
    <xf numFmtId="165" fontId="1" fillId="3" borderId="9" xfId="1" applyNumberFormat="1" applyFill="1" applyBorder="1"/>
    <xf numFmtId="0" fontId="0" fillId="3" borderId="0" xfId="0" applyFill="1" applyBorder="1" applyAlignment="1">
      <alignment horizontal="center"/>
    </xf>
    <xf numFmtId="165" fontId="1" fillId="3" borderId="10" xfId="1" applyNumberFormat="1" applyFill="1" applyBorder="1"/>
    <xf numFmtId="0" fontId="0" fillId="0" borderId="10" xfId="0" applyBorder="1" applyAlignment="1">
      <alignment horizontal="right"/>
    </xf>
    <xf numFmtId="0" fontId="0" fillId="0" borderId="11" xfId="0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left"/>
    </xf>
    <xf numFmtId="0" fontId="0" fillId="3" borderId="7" xfId="0" applyFill="1" applyBorder="1"/>
    <xf numFmtId="0" fontId="0" fillId="3" borderId="11" xfId="0" applyFill="1" applyBorder="1"/>
    <xf numFmtId="166" fontId="3" fillId="3" borderId="7" xfId="7" applyNumberFormat="1" applyFont="1" applyFill="1" applyBorder="1"/>
    <xf numFmtId="166" fontId="3" fillId="3" borderId="8" xfId="7" applyNumberFormat="1" applyFont="1" applyFill="1" applyBorder="1"/>
    <xf numFmtId="0" fontId="3" fillId="3" borderId="14" xfId="0" applyFont="1" applyFill="1" applyBorder="1"/>
    <xf numFmtId="0" fontId="3" fillId="3" borderId="7" xfId="0" applyFont="1" applyFill="1" applyBorder="1"/>
    <xf numFmtId="9" fontId="3" fillId="0" borderId="0" xfId="0" applyNumberFormat="1" applyFont="1"/>
    <xf numFmtId="0" fontId="13" fillId="0" borderId="0" xfId="0" applyFont="1"/>
    <xf numFmtId="0" fontId="13" fillId="0" borderId="0" xfId="0" applyFont="1" applyFill="1"/>
    <xf numFmtId="0" fontId="22" fillId="0" borderId="0" xfId="0" applyFont="1"/>
    <xf numFmtId="0" fontId="0" fillId="3" borderId="9" xfId="0" applyFill="1" applyBorder="1"/>
    <xf numFmtId="0" fontId="0" fillId="3" borderId="0" xfId="0" applyFill="1" applyBorder="1"/>
    <xf numFmtId="1" fontId="0" fillId="3" borderId="0" xfId="0" applyNumberFormat="1" applyFill="1" applyBorder="1"/>
    <xf numFmtId="1" fontId="0" fillId="3" borderId="10" xfId="0" applyNumberFormat="1" applyFill="1" applyBorder="1"/>
    <xf numFmtId="9" fontId="0" fillId="3" borderId="12" xfId="0" applyNumberFormat="1" applyFill="1" applyBorder="1"/>
    <xf numFmtId="0" fontId="0" fillId="3" borderId="13" xfId="0" applyFill="1" applyBorder="1"/>
    <xf numFmtId="10" fontId="0" fillId="3" borderId="12" xfId="0" applyNumberFormat="1" applyFill="1" applyBorder="1"/>
    <xf numFmtId="0" fontId="7" fillId="3" borderId="12" xfId="0" applyFont="1" applyFill="1" applyBorder="1"/>
    <xf numFmtId="165" fontId="7" fillId="3" borderId="13" xfId="1" applyNumberFormat="1" applyFont="1" applyFill="1" applyBorder="1"/>
    <xf numFmtId="165" fontId="7" fillId="3" borderId="15" xfId="1" applyNumberFormat="1" applyFont="1" applyFill="1" applyBorder="1"/>
    <xf numFmtId="164" fontId="7" fillId="3" borderId="12" xfId="1" applyNumberFormat="1" applyFont="1" applyFill="1" applyBorder="1" applyAlignment="1">
      <alignment horizontal="center"/>
    </xf>
    <xf numFmtId="165" fontId="7" fillId="3" borderId="12" xfId="1" applyNumberFormat="1" applyFont="1" applyFill="1" applyBorder="1" applyAlignment="1">
      <alignment horizontal="center"/>
    </xf>
    <xf numFmtId="10" fontId="7" fillId="3" borderId="12" xfId="7" applyNumberFormat="1" applyFont="1" applyFill="1" applyBorder="1"/>
    <xf numFmtId="0" fontId="13" fillId="0" borderId="0" xfId="0" applyFont="1" applyFill="1" applyAlignment="1">
      <alignment horizontal="right"/>
    </xf>
    <xf numFmtId="0" fontId="2" fillId="3" borderId="4" xfId="0" applyFont="1" applyFill="1" applyBorder="1"/>
    <xf numFmtId="0" fontId="24" fillId="0" borderId="14" xfId="0" applyFont="1" applyBorder="1"/>
    <xf numFmtId="0" fontId="24" fillId="0" borderId="7" xfId="0" applyFont="1" applyBorder="1"/>
    <xf numFmtId="0" fontId="24" fillId="0" borderId="8" xfId="0" applyFont="1" applyBorder="1"/>
    <xf numFmtId="0" fontId="24" fillId="0" borderId="11" xfId="0" applyFont="1" applyBorder="1"/>
    <xf numFmtId="0" fontId="24" fillId="0" borderId="12" xfId="0" applyFont="1" applyBorder="1"/>
    <xf numFmtId="0" fontId="24" fillId="0" borderId="13" xfId="0" applyFont="1" applyBorder="1"/>
    <xf numFmtId="0" fontId="25" fillId="0" borderId="0" xfId="0" applyFont="1"/>
    <xf numFmtId="0" fontId="22" fillId="4" borderId="0" xfId="0" applyFont="1" applyFill="1" applyBorder="1" applyAlignment="1">
      <alignment wrapText="1"/>
    </xf>
    <xf numFmtId="165" fontId="1" fillId="4" borderId="0" xfId="1" applyNumberFormat="1" applyFill="1"/>
    <xf numFmtId="0" fontId="13" fillId="0" borderId="0" xfId="0" applyFont="1" applyFill="1" applyBorder="1"/>
    <xf numFmtId="0" fontId="0" fillId="5" borderId="0" xfId="0" applyFill="1"/>
    <xf numFmtId="0" fontId="2" fillId="5" borderId="0" xfId="0" applyFont="1" applyFill="1"/>
    <xf numFmtId="0" fontId="20" fillId="5" borderId="0" xfId="0" applyFont="1" applyFill="1"/>
    <xf numFmtId="0" fontId="23" fillId="5" borderId="0" xfId="0" applyFont="1" applyFill="1"/>
    <xf numFmtId="0" fontId="3" fillId="5" borderId="0" xfId="0" applyFont="1" applyFill="1"/>
    <xf numFmtId="0" fontId="14" fillId="5" borderId="0" xfId="0" applyFont="1" applyFill="1"/>
    <xf numFmtId="0" fontId="3" fillId="5" borderId="0" xfId="0" applyFont="1" applyFill="1" applyAlignment="1">
      <alignment horizontal="right"/>
    </xf>
    <xf numFmtId="165" fontId="0" fillId="2" borderId="0" xfId="1" applyNumberFormat="1" applyFont="1" applyFill="1"/>
    <xf numFmtId="165" fontId="12" fillId="0" borderId="0" xfId="1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165" fontId="1" fillId="2" borderId="0" xfId="1" applyNumberFormat="1" applyFill="1" applyAlignment="1">
      <alignment horizontal="center"/>
    </xf>
    <xf numFmtId="0" fontId="0" fillId="2" borderId="0" xfId="0" applyFill="1" applyBorder="1"/>
    <xf numFmtId="0" fontId="15" fillId="2" borderId="0" xfId="0" applyFont="1" applyFill="1" applyAlignment="1">
      <alignment horizontal="center"/>
    </xf>
    <xf numFmtId="165" fontId="0" fillId="2" borderId="0" xfId="1" applyNumberFormat="1" applyFont="1" applyFill="1" applyBorder="1"/>
    <xf numFmtId="165" fontId="16" fillId="2" borderId="0" xfId="1" applyNumberFormat="1" applyFont="1" applyFill="1" applyBorder="1"/>
    <xf numFmtId="165" fontId="7" fillId="2" borderId="0" xfId="1" applyNumberFormat="1" applyFont="1" applyFill="1" applyBorder="1"/>
    <xf numFmtId="43" fontId="3" fillId="2" borderId="0" xfId="1" applyFont="1" applyFill="1" applyBorder="1"/>
    <xf numFmtId="165" fontId="3" fillId="2" borderId="0" xfId="1" applyNumberFormat="1" applyFont="1" applyFill="1" applyBorder="1"/>
    <xf numFmtId="165" fontId="6" fillId="2" borderId="0" xfId="1" applyNumberFormat="1" applyFont="1" applyFill="1" applyBorder="1"/>
    <xf numFmtId="167" fontId="1" fillId="0" borderId="0" xfId="3" applyNumberFormat="1" applyFill="1"/>
    <xf numFmtId="0" fontId="22" fillId="4" borderId="0" xfId="0" applyFont="1" applyFill="1" applyBorder="1" applyAlignment="1"/>
    <xf numFmtId="0" fontId="8" fillId="0" borderId="0" xfId="0" applyNumberFormat="1" applyFont="1" applyBorder="1" applyAlignment="1">
      <alignment horizontal="center"/>
    </xf>
    <xf numFmtId="167" fontId="16" fillId="2" borderId="0" xfId="3" applyNumberFormat="1" applyFont="1" applyFill="1" applyBorder="1"/>
    <xf numFmtId="165" fontId="0" fillId="0" borderId="0" xfId="1" applyNumberFormat="1" applyFont="1" applyBorder="1" applyAlignment="1">
      <alignment horizontal="left"/>
    </xf>
    <xf numFmtId="166" fontId="2" fillId="3" borderId="6" xfId="0" applyNumberFormat="1" applyFont="1" applyFill="1" applyBorder="1"/>
    <xf numFmtId="9" fontId="7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2" fillId="0" borderId="0" xfId="6" applyFont="1"/>
    <xf numFmtId="0" fontId="7" fillId="0" borderId="0" xfId="0" applyFont="1" applyBorder="1"/>
    <xf numFmtId="0" fontId="27" fillId="0" borderId="0" xfId="0" applyFont="1" applyBorder="1"/>
    <xf numFmtId="175" fontId="7" fillId="0" borderId="0" xfId="0" applyNumberFormat="1" applyFont="1"/>
    <xf numFmtId="175" fontId="28" fillId="6" borderId="0" xfId="0" applyNumberFormat="1" applyFont="1" applyFill="1" applyBorder="1"/>
    <xf numFmtId="175" fontId="17" fillId="6" borderId="0" xfId="0" applyNumberFormat="1" applyFont="1" applyFill="1" applyBorder="1"/>
    <xf numFmtId="175" fontId="17" fillId="6" borderId="0" xfId="0" applyNumberFormat="1" applyFont="1" applyFill="1" applyBorder="1" applyAlignment="1">
      <alignment horizontal="right"/>
    </xf>
    <xf numFmtId="175" fontId="17" fillId="6" borderId="0" xfId="0" applyNumberFormat="1" applyFont="1" applyFill="1" applyBorder="1" applyAlignment="1">
      <alignment horizontal="center"/>
    </xf>
    <xf numFmtId="175" fontId="7" fillId="0" borderId="18" xfId="0" applyNumberFormat="1" applyFont="1" applyBorder="1"/>
    <xf numFmtId="175" fontId="7" fillId="0" borderId="19" xfId="0" applyNumberFormat="1" applyFont="1" applyBorder="1"/>
    <xf numFmtId="175" fontId="18" fillId="0" borderId="19" xfId="0" applyNumberFormat="1" applyFont="1" applyBorder="1"/>
    <xf numFmtId="177" fontId="18" fillId="0" borderId="19" xfId="1" applyNumberFormat="1" applyFont="1" applyBorder="1"/>
    <xf numFmtId="175" fontId="7" fillId="0" borderId="20" xfId="0" applyNumberFormat="1" applyFont="1" applyBorder="1"/>
    <xf numFmtId="175" fontId="7" fillId="0" borderId="0" xfId="0" applyNumberFormat="1" applyFont="1" applyBorder="1"/>
    <xf numFmtId="9" fontId="7" fillId="0" borderId="0" xfId="7" applyFont="1" applyBorder="1"/>
    <xf numFmtId="175" fontId="18" fillId="0" borderId="0" xfId="0" applyNumberFormat="1" applyFont="1" applyBorder="1"/>
    <xf numFmtId="175" fontId="7" fillId="0" borderId="21" xfId="0" applyNumberFormat="1" applyFont="1" applyBorder="1"/>
    <xf numFmtId="175" fontId="7" fillId="0" borderId="22" xfId="0" applyNumberFormat="1" applyFont="1" applyBorder="1"/>
    <xf numFmtId="177" fontId="7" fillId="0" borderId="21" xfId="1" applyNumberFormat="1" applyFont="1" applyBorder="1"/>
    <xf numFmtId="0" fontId="7" fillId="0" borderId="19" xfId="0" applyFont="1" applyBorder="1"/>
    <xf numFmtId="0" fontId="7" fillId="0" borderId="21" xfId="0" applyFont="1" applyBorder="1"/>
    <xf numFmtId="175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82" fontId="8" fillId="4" borderId="0" xfId="7" applyNumberFormat="1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21" xfId="0" applyFont="1" applyBorder="1" applyAlignment="1">
      <alignment horizontal="right"/>
    </xf>
    <xf numFmtId="175" fontId="7" fillId="0" borderId="21" xfId="0" applyNumberFormat="1" applyFont="1" applyBorder="1" applyAlignment="1">
      <alignment horizontal="right"/>
    </xf>
    <xf numFmtId="0" fontId="22" fillId="0" borderId="0" xfId="0" applyFont="1" applyAlignment="1">
      <alignment horizontal="centerContinuous"/>
    </xf>
    <xf numFmtId="0" fontId="22" fillId="0" borderId="0" xfId="0" applyFont="1" applyBorder="1" applyAlignment="1">
      <alignment horizontal="centerContinuous"/>
    </xf>
    <xf numFmtId="1" fontId="2" fillId="0" borderId="21" xfId="2" applyNumberFormat="1" applyFont="1" applyBorder="1" applyAlignment="1">
      <alignment horizontal="center" wrapText="1"/>
    </xf>
    <xf numFmtId="1" fontId="2" fillId="0" borderId="0" xfId="4" applyNumberFormat="1" applyFont="1" applyBorder="1" applyAlignment="1">
      <alignment horizontal="right" wrapText="1"/>
    </xf>
    <xf numFmtId="0" fontId="22" fillId="0" borderId="0" xfId="0" applyFont="1" applyBorder="1"/>
    <xf numFmtId="0" fontId="22" fillId="0" borderId="0" xfId="0" applyFont="1" applyBorder="1" applyAlignment="1"/>
    <xf numFmtId="0" fontId="22" fillId="0" borderId="0" xfId="0" applyFont="1" applyAlignment="1"/>
    <xf numFmtId="175" fontId="22" fillId="0" borderId="0" xfId="0" applyNumberFormat="1" applyFont="1" applyAlignment="1">
      <alignment horizontal="right"/>
    </xf>
    <xf numFmtId="175" fontId="22" fillId="0" borderId="0" xfId="0" applyNumberFormat="1" applyFont="1"/>
    <xf numFmtId="189" fontId="22" fillId="0" borderId="0" xfId="0" applyNumberFormat="1" applyFont="1"/>
    <xf numFmtId="175" fontId="22" fillId="0" borderId="0" xfId="0" applyNumberFormat="1" applyFont="1" applyBorder="1" applyAlignment="1">
      <alignment vertical="top"/>
    </xf>
    <xf numFmtId="175" fontId="22" fillId="0" borderId="0" xfId="0" applyNumberFormat="1" applyFont="1" applyBorder="1"/>
    <xf numFmtId="175" fontId="22" fillId="0" borderId="0" xfId="0" applyNumberFormat="1" applyFont="1" applyAlignment="1">
      <alignment vertical="top"/>
    </xf>
    <xf numFmtId="9" fontId="32" fillId="0" borderId="0" xfId="0" applyNumberFormat="1" applyFont="1" applyBorder="1" applyAlignment="1"/>
    <xf numFmtId="189" fontId="22" fillId="0" borderId="0" xfId="0" applyNumberFormat="1" applyFont="1" applyBorder="1"/>
    <xf numFmtId="0" fontId="25" fillId="0" borderId="0" xfId="0" applyFont="1" applyBorder="1"/>
    <xf numFmtId="177" fontId="18" fillId="0" borderId="0" xfId="1" applyNumberFormat="1" applyFont="1" applyBorder="1"/>
    <xf numFmtId="0" fontId="7" fillId="0" borderId="0" xfId="0" applyFont="1" applyAlignment="1"/>
    <xf numFmtId="0" fontId="7" fillId="0" borderId="0" xfId="0" applyFont="1" applyBorder="1" applyAlignment="1"/>
    <xf numFmtId="183" fontId="8" fillId="4" borderId="0" xfId="0" applyNumberFormat="1" applyFont="1" applyFill="1" applyBorder="1" applyAlignment="1">
      <alignment horizontal="center"/>
    </xf>
    <xf numFmtId="175" fontId="7" fillId="0" borderId="0" xfId="0" applyNumberFormat="1" applyFont="1" applyBorder="1" applyAlignment="1">
      <alignment horizontal="center"/>
    </xf>
    <xf numFmtId="175" fontId="7" fillId="0" borderId="21" xfId="0" applyNumberFormat="1" applyFont="1" applyBorder="1" applyAlignment="1">
      <alignment horizontal="center"/>
    </xf>
    <xf numFmtId="167" fontId="7" fillId="0" borderId="23" xfId="3" applyNumberFormat="1" applyFont="1" applyFill="1" applyBorder="1"/>
    <xf numFmtId="180" fontId="7" fillId="0" borderId="0" xfId="7" applyNumberFormat="1" applyFont="1" applyBorder="1" applyAlignment="1">
      <alignment horizontal="center"/>
    </xf>
    <xf numFmtId="167" fontId="7" fillId="0" borderId="16" xfId="3" applyNumberFormat="1" applyFont="1" applyBorder="1"/>
    <xf numFmtId="167" fontId="7" fillId="0" borderId="17" xfId="3" applyNumberFormat="1" applyFont="1" applyBorder="1"/>
    <xf numFmtId="175" fontId="2" fillId="0" borderId="22" xfId="0" applyNumberFormat="1" applyFont="1" applyBorder="1" applyAlignment="1">
      <alignment horizontal="right"/>
    </xf>
    <xf numFmtId="175" fontId="28" fillId="6" borderId="0" xfId="0" applyNumberFormat="1" applyFont="1" applyFill="1" applyBorder="1" applyAlignment="1">
      <alignment horizontal="right"/>
    </xf>
    <xf numFmtId="44" fontId="8" fillId="0" borderId="17" xfId="3" applyFont="1" applyBorder="1"/>
    <xf numFmtId="175" fontId="7" fillId="0" borderId="0" xfId="0" applyNumberFormat="1" applyFont="1" applyFill="1" applyBorder="1"/>
    <xf numFmtId="0" fontId="2" fillId="0" borderId="0" xfId="0" applyFont="1" applyFill="1" applyBorder="1"/>
    <xf numFmtId="6" fontId="7" fillId="0" borderId="0" xfId="0" applyNumberFormat="1" applyFont="1" applyFill="1" applyBorder="1"/>
    <xf numFmtId="166" fontId="8" fillId="4" borderId="0" xfId="7" applyNumberFormat="1" applyFont="1" applyFill="1" applyBorder="1" applyAlignment="1">
      <alignment horizontal="center"/>
    </xf>
    <xf numFmtId="166" fontId="7" fillId="0" borderId="0" xfId="7" applyNumberFormat="1" applyFont="1" applyBorder="1" applyAlignment="1">
      <alignment horizontal="center"/>
    </xf>
    <xf numFmtId="0" fontId="13" fillId="0" borderId="0" xfId="5" applyFont="1" applyBorder="1"/>
    <xf numFmtId="1" fontId="2" fillId="0" borderId="21" xfId="4" applyNumberFormat="1" applyFont="1" applyBorder="1" applyAlignment="1">
      <alignment horizontal="center" wrapText="1"/>
    </xf>
    <xf numFmtId="1" fontId="2" fillId="0" borderId="0" xfId="4" applyNumberFormat="1" applyFont="1" applyFill="1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21" xfId="0" applyBorder="1"/>
    <xf numFmtId="1" fontId="2" fillId="0" borderId="21" xfId="4" applyNumberFormat="1" applyFont="1" applyFill="1" applyBorder="1" applyAlignment="1">
      <alignment horizontal="center" wrapText="1"/>
    </xf>
    <xf numFmtId="9" fontId="8" fillId="0" borderId="0" xfId="0" applyNumberFormat="1" applyFont="1" applyFill="1" applyBorder="1" applyAlignment="1">
      <alignment horizontal="center"/>
    </xf>
    <xf numFmtId="175" fontId="7" fillId="0" borderId="0" xfId="0" applyNumberFormat="1" applyFont="1" applyFill="1" applyBorder="1" applyAlignment="1">
      <alignment horizontal="right"/>
    </xf>
    <xf numFmtId="175" fontId="29" fillId="6" borderId="18" xfId="0" applyNumberFormat="1" applyFont="1" applyFill="1" applyBorder="1"/>
    <xf numFmtId="175" fontId="30" fillId="6" borderId="19" xfId="0" applyNumberFormat="1" applyFont="1" applyFill="1" applyBorder="1"/>
    <xf numFmtId="175" fontId="30" fillId="6" borderId="19" xfId="0" applyNumberFormat="1" applyFont="1" applyFill="1" applyBorder="1" applyAlignment="1">
      <alignment horizontal="center"/>
    </xf>
    <xf numFmtId="175" fontId="29" fillId="6" borderId="19" xfId="0" applyNumberFormat="1" applyFont="1" applyFill="1" applyBorder="1" applyAlignment="1">
      <alignment horizontal="center" wrapText="1"/>
    </xf>
    <xf numFmtId="175" fontId="29" fillId="6" borderId="23" xfId="0" applyNumberFormat="1" applyFont="1" applyFill="1" applyBorder="1" applyAlignment="1">
      <alignment horizontal="center" wrapText="1"/>
    </xf>
    <xf numFmtId="175" fontId="7" fillId="0" borderId="16" xfId="0" applyNumberFormat="1" applyFont="1" applyBorder="1" applyAlignment="1">
      <alignment horizontal="center"/>
    </xf>
    <xf numFmtId="166" fontId="8" fillId="4" borderId="21" xfId="7" applyNumberFormat="1" applyFont="1" applyFill="1" applyBorder="1" applyAlignment="1">
      <alignment horizontal="center"/>
    </xf>
    <xf numFmtId="175" fontId="7" fillId="0" borderId="17" xfId="0" applyNumberFormat="1" applyFont="1" applyBorder="1" applyAlignment="1">
      <alignment horizontal="center"/>
    </xf>
    <xf numFmtId="177" fontId="8" fillId="0" borderId="0" xfId="1" applyNumberFormat="1" applyFont="1" applyFill="1" applyBorder="1" applyAlignment="1">
      <alignment horizontal="center"/>
    </xf>
    <xf numFmtId="8" fontId="7" fillId="0" borderId="0" xfId="0" applyNumberFormat="1" applyFont="1" applyBorder="1"/>
    <xf numFmtId="0" fontId="7" fillId="0" borderId="0" xfId="0" applyFont="1" applyFill="1" applyBorder="1" applyAlignment="1">
      <alignment horizontal="right"/>
    </xf>
    <xf numFmtId="166" fontId="8" fillId="0" borderId="0" xfId="0" applyNumberFormat="1" applyFont="1" applyFill="1" applyBorder="1" applyAlignment="1">
      <alignment horizontal="center"/>
    </xf>
    <xf numFmtId="175" fontId="23" fillId="0" borderId="21" xfId="0" applyNumberFormat="1" applyFont="1" applyBorder="1" applyAlignment="1">
      <alignment horizontal="left"/>
    </xf>
    <xf numFmtId="167" fontId="2" fillId="0" borderId="21" xfId="0" applyNumberFormat="1" applyFont="1" applyBorder="1"/>
    <xf numFmtId="0" fontId="2" fillId="0" borderId="0" xfId="0" applyFont="1" applyBorder="1" applyAlignment="1">
      <alignment horizontal="center"/>
    </xf>
    <xf numFmtId="167" fontId="7" fillId="0" borderId="0" xfId="0" applyNumberFormat="1" applyFont="1" applyBorder="1"/>
    <xf numFmtId="188" fontId="7" fillId="0" borderId="21" xfId="0" applyNumberFormat="1" applyFont="1" applyBorder="1" applyAlignment="1">
      <alignment vertical="center"/>
    </xf>
    <xf numFmtId="188" fontId="2" fillId="0" borderId="21" xfId="0" applyNumberFormat="1" applyFont="1" applyBorder="1" applyAlignment="1">
      <alignment vertical="center"/>
    </xf>
    <xf numFmtId="175" fontId="7" fillId="0" borderId="0" xfId="0" applyNumberFormat="1" applyFont="1" applyAlignment="1">
      <alignment horizontal="right"/>
    </xf>
    <xf numFmtId="189" fontId="7" fillId="0" borderId="0" xfId="0" applyNumberFormat="1" applyFont="1"/>
    <xf numFmtId="185" fontId="8" fillId="0" borderId="0" xfId="0" applyNumberFormat="1" applyFont="1"/>
    <xf numFmtId="175" fontId="2" fillId="0" borderId="0" xfId="0" applyNumberFormat="1" applyFont="1" applyBorder="1" applyAlignment="1">
      <alignment vertical="top"/>
    </xf>
    <xf numFmtId="175" fontId="7" fillId="0" borderId="0" xfId="0" applyNumberFormat="1" applyFont="1" applyBorder="1" applyAlignment="1">
      <alignment vertical="top"/>
    </xf>
    <xf numFmtId="10" fontId="7" fillId="0" borderId="21" xfId="7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175" fontId="7" fillId="0" borderId="0" xfId="0" quotePrefix="1" applyNumberFormat="1" applyFont="1" applyBorder="1" applyAlignment="1">
      <alignment horizontal="right" vertical="top"/>
    </xf>
    <xf numFmtId="175" fontId="7" fillId="0" borderId="0" xfId="0" applyNumberFormat="1" applyFont="1" applyAlignment="1">
      <alignment vertical="top"/>
    </xf>
    <xf numFmtId="189" fontId="2" fillId="0" borderId="21" xfId="0" applyNumberFormat="1" applyFont="1" applyBorder="1" applyAlignment="1">
      <alignment vertical="top"/>
    </xf>
    <xf numFmtId="166" fontId="2" fillId="0" borderId="21" xfId="7" applyNumberFormat="1" applyFont="1" applyBorder="1" applyAlignment="1">
      <alignment horizontal="center" vertical="top"/>
    </xf>
    <xf numFmtId="10" fontId="2" fillId="0" borderId="0" xfId="7" applyNumberFormat="1" applyFont="1" applyBorder="1" applyAlignment="1">
      <alignment horizontal="center" vertical="top"/>
    </xf>
    <xf numFmtId="189" fontId="2" fillId="0" borderId="0" xfId="0" applyNumberFormat="1" applyFont="1" applyBorder="1" applyAlignment="1">
      <alignment vertical="top"/>
    </xf>
    <xf numFmtId="166" fontId="2" fillId="0" borderId="0" xfId="7" applyNumberFormat="1" applyFont="1" applyBorder="1" applyAlignment="1">
      <alignment horizontal="center" vertical="top"/>
    </xf>
    <xf numFmtId="10" fontId="2" fillId="0" borderId="21" xfId="7" applyNumberFormat="1" applyFont="1" applyBorder="1" applyAlignment="1">
      <alignment horizontal="center" vertical="top"/>
    </xf>
    <xf numFmtId="0" fontId="34" fillId="0" borderId="0" xfId="0" applyNumberFormat="1" applyFont="1" applyBorder="1" applyAlignment="1">
      <alignment vertical="top"/>
    </xf>
    <xf numFmtId="189" fontId="7" fillId="0" borderId="0" xfId="0" applyNumberFormat="1" applyFont="1" applyBorder="1" applyAlignment="1"/>
    <xf numFmtId="189" fontId="2" fillId="0" borderId="0" xfId="0" applyNumberFormat="1" applyFont="1" applyBorder="1" applyAlignment="1"/>
    <xf numFmtId="0" fontId="35" fillId="0" borderId="0" xfId="0" applyNumberFormat="1" applyFont="1" applyBorder="1" applyAlignment="1"/>
    <xf numFmtId="193" fontId="7" fillId="0" borderId="0" xfId="0" applyNumberFormat="1" applyFont="1" applyBorder="1" applyAlignment="1"/>
    <xf numFmtId="193" fontId="35" fillId="0" borderId="0" xfId="0" applyNumberFormat="1" applyFont="1" applyBorder="1" applyAlignment="1"/>
    <xf numFmtId="189" fontId="7" fillId="0" borderId="0" xfId="0" applyNumberFormat="1" applyFont="1" applyBorder="1" applyAlignment="1">
      <alignment vertical="top"/>
    </xf>
    <xf numFmtId="0" fontId="35" fillId="0" borderId="0" xfId="0" applyNumberFormat="1" applyFont="1" applyBorder="1" applyAlignment="1">
      <alignment vertical="top"/>
    </xf>
    <xf numFmtId="193" fontId="7" fillId="0" borderId="0" xfId="0" applyNumberFormat="1" applyFont="1" applyBorder="1" applyAlignment="1">
      <alignment vertical="top"/>
    </xf>
    <xf numFmtId="175" fontId="35" fillId="0" borderId="0" xfId="0" applyNumberFormat="1" applyFont="1" applyBorder="1" applyAlignment="1">
      <alignment vertical="top"/>
    </xf>
    <xf numFmtId="189" fontId="2" fillId="0" borderId="19" xfId="0" applyNumberFormat="1" applyFont="1" applyBorder="1" applyAlignment="1">
      <alignment horizontal="right" vertical="top"/>
    </xf>
    <xf numFmtId="193" fontId="2" fillId="0" borderId="19" xfId="0" applyNumberFormat="1" applyFont="1" applyBorder="1" applyAlignment="1">
      <alignment horizontal="right" vertical="top"/>
    </xf>
    <xf numFmtId="193" fontId="2" fillId="0" borderId="0" xfId="0" applyNumberFormat="1" applyFont="1" applyBorder="1" applyAlignment="1">
      <alignment horizontal="right" vertical="top"/>
    </xf>
    <xf numFmtId="189" fontId="2" fillId="0" borderId="24" xfId="0" applyNumberFormat="1" applyFont="1" applyBorder="1" applyAlignment="1">
      <alignment vertical="center"/>
    </xf>
    <xf numFmtId="0" fontId="36" fillId="0" borderId="24" xfId="0" applyNumberFormat="1" applyFont="1" applyBorder="1" applyAlignment="1">
      <alignment vertical="center"/>
    </xf>
    <xf numFmtId="193" fontId="2" fillId="0" borderId="24" xfId="0" applyNumberFormat="1" applyFont="1" applyBorder="1" applyAlignment="1">
      <alignment horizontal="right" vertical="center"/>
    </xf>
    <xf numFmtId="193" fontId="2" fillId="0" borderId="0" xfId="0" applyNumberFormat="1" applyFont="1" applyBorder="1" applyAlignment="1">
      <alignment horizontal="right" vertical="center"/>
    </xf>
    <xf numFmtId="189" fontId="2" fillId="0" borderId="0" xfId="0" applyNumberFormat="1" applyFont="1" applyBorder="1" applyAlignment="1">
      <alignment vertical="center"/>
    </xf>
    <xf numFmtId="0" fontId="36" fillId="0" borderId="0" xfId="0" applyNumberFormat="1" applyFont="1" applyBorder="1" applyAlignment="1">
      <alignment vertical="center"/>
    </xf>
    <xf numFmtId="189" fontId="2" fillId="0" borderId="0" xfId="0" applyNumberFormat="1" applyFont="1" applyBorder="1" applyAlignment="1">
      <alignment horizontal="right" vertical="top"/>
    </xf>
    <xf numFmtId="189" fontId="2" fillId="0" borderId="0" xfId="0" applyNumberFormat="1" applyFont="1" applyBorder="1" applyAlignment="1">
      <alignment horizontal="right" vertical="center"/>
    </xf>
    <xf numFmtId="195" fontId="7" fillId="0" borderId="0" xfId="0" applyNumberFormat="1" applyFont="1" applyBorder="1" applyAlignment="1"/>
    <xf numFmtId="189" fontId="7" fillId="0" borderId="0" xfId="0" applyNumberFormat="1" applyFont="1" applyBorder="1"/>
    <xf numFmtId="175" fontId="37" fillId="0" borderId="21" xfId="0" applyNumberFormat="1" applyFont="1" applyBorder="1"/>
    <xf numFmtId="175" fontId="37" fillId="0" borderId="0" xfId="0" applyNumberFormat="1" applyFont="1" applyBorder="1"/>
    <xf numFmtId="189" fontId="2" fillId="0" borderId="0" xfId="0" applyNumberFormat="1" applyFont="1"/>
    <xf numFmtId="9" fontId="2" fillId="0" borderId="25" xfId="0" applyNumberFormat="1" applyFont="1" applyBorder="1"/>
    <xf numFmtId="175" fontId="2" fillId="0" borderId="0" xfId="0" applyNumberFormat="1" applyFont="1" applyFill="1" applyAlignment="1">
      <alignment horizontal="right"/>
    </xf>
    <xf numFmtId="0" fontId="2" fillId="0" borderId="21" xfId="0" applyFont="1" applyBorder="1"/>
    <xf numFmtId="189" fontId="2" fillId="0" borderId="0" xfId="0" applyNumberFormat="1" applyFont="1" applyAlignment="1">
      <alignment horizontal="right"/>
    </xf>
    <xf numFmtId="189" fontId="2" fillId="0" borderId="0" xfId="0" applyNumberFormat="1" applyFont="1" applyFill="1" applyBorder="1" applyAlignment="1">
      <alignment horizontal="right" vertical="center"/>
    </xf>
    <xf numFmtId="43" fontId="7" fillId="0" borderId="0" xfId="1" applyFont="1"/>
    <xf numFmtId="167" fontId="2" fillId="0" borderId="1" xfId="0" applyNumberFormat="1" applyFont="1" applyBorder="1"/>
    <xf numFmtId="10" fontId="2" fillId="0" borderId="1" xfId="7" applyNumberFormat="1" applyFont="1" applyBorder="1" applyAlignment="1">
      <alignment horizontal="center" vertical="top"/>
    </xf>
    <xf numFmtId="189" fontId="2" fillId="0" borderId="1" xfId="0" applyNumberFormat="1" applyFont="1" applyBorder="1" applyAlignment="1">
      <alignment vertical="top"/>
    </xf>
    <xf numFmtId="0" fontId="28" fillId="6" borderId="2" xfId="8" applyFont="1" applyFill="1" applyBorder="1" applyAlignment="1">
      <alignment horizontal="left"/>
    </xf>
    <xf numFmtId="0" fontId="17" fillId="6" borderId="1" xfId="0" applyFont="1" applyFill="1" applyBorder="1" applyAlignment="1"/>
    <xf numFmtId="0" fontId="17" fillId="6" borderId="3" xfId="0" applyFont="1" applyFill="1" applyBorder="1" applyAlignment="1"/>
    <xf numFmtId="175" fontId="7" fillId="0" borderId="20" xfId="8" applyNumberFormat="1" applyFont="1" applyBorder="1" applyAlignment="1">
      <alignment horizontal="right"/>
    </xf>
    <xf numFmtId="0" fontId="2" fillId="0" borderId="16" xfId="0" applyFont="1" applyBorder="1" applyAlignment="1">
      <alignment horizontal="center"/>
    </xf>
    <xf numFmtId="175" fontId="2" fillId="0" borderId="20" xfId="0" applyNumberFormat="1" applyFont="1" applyBorder="1"/>
    <xf numFmtId="10" fontId="7" fillId="0" borderId="0" xfId="7" applyNumberFormat="1" applyFont="1" applyBorder="1" applyAlignment="1">
      <alignment horizontal="center"/>
    </xf>
    <xf numFmtId="167" fontId="7" fillId="0" borderId="0" xfId="3" applyNumberFormat="1" applyFont="1" applyBorder="1"/>
    <xf numFmtId="9" fontId="7" fillId="0" borderId="16" xfId="0" applyNumberFormat="1" applyFont="1" applyBorder="1" applyAlignment="1">
      <alignment horizontal="center"/>
    </xf>
    <xf numFmtId="175" fontId="2" fillId="0" borderId="20" xfId="0" applyNumberFormat="1" applyFont="1" applyBorder="1" applyAlignment="1">
      <alignment vertical="top"/>
    </xf>
    <xf numFmtId="9" fontId="7" fillId="0" borderId="17" xfId="0" applyNumberFormat="1" applyFont="1" applyBorder="1" applyAlignment="1">
      <alignment horizontal="center"/>
    </xf>
    <xf numFmtId="189" fontId="2" fillId="0" borderId="22" xfId="0" applyNumberFormat="1" applyFont="1" applyBorder="1" applyAlignment="1">
      <alignment vertical="top"/>
    </xf>
    <xf numFmtId="189" fontId="2" fillId="0" borderId="3" xfId="0" applyNumberFormat="1" applyFont="1" applyBorder="1" applyAlignment="1">
      <alignment vertical="top"/>
    </xf>
    <xf numFmtId="9" fontId="8" fillId="4" borderId="16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6" borderId="0" xfId="0" applyFill="1"/>
    <xf numFmtId="0" fontId="0" fillId="0" borderId="0" xfId="0" applyBorder="1" applyAlignment="1">
      <alignment horizontal="center"/>
    </xf>
    <xf numFmtId="175" fontId="7" fillId="0" borderId="0" xfId="0" applyNumberFormat="1" applyFont="1" applyFill="1" applyBorder="1" applyAlignment="1">
      <alignment horizontal="left" indent="1"/>
    </xf>
    <xf numFmtId="0" fontId="13" fillId="0" borderId="21" xfId="0" applyFont="1" applyFill="1" applyBorder="1"/>
    <xf numFmtId="0" fontId="2" fillId="0" borderId="21" xfId="0" applyFont="1" applyFill="1" applyBorder="1"/>
    <xf numFmtId="0" fontId="7" fillId="0" borderId="21" xfId="0" applyFont="1" applyFill="1" applyBorder="1"/>
    <xf numFmtId="0" fontId="13" fillId="0" borderId="2" xfId="0" applyFont="1" applyFill="1" applyBorder="1"/>
    <xf numFmtId="0" fontId="2" fillId="0" borderId="1" xfId="0" applyFont="1" applyFill="1" applyBorder="1"/>
    <xf numFmtId="1" fontId="2" fillId="0" borderId="1" xfId="2" applyNumberFormat="1" applyFont="1" applyBorder="1" applyAlignment="1">
      <alignment horizontal="center" wrapText="1"/>
    </xf>
    <xf numFmtId="1" fontId="2" fillId="0" borderId="1" xfId="4" applyNumberFormat="1" applyFont="1" applyBorder="1" applyAlignment="1">
      <alignment horizontal="center" wrapText="1"/>
    </xf>
    <xf numFmtId="1" fontId="2" fillId="0" borderId="1" xfId="4" applyNumberFormat="1" applyFont="1" applyFill="1" applyBorder="1" applyAlignment="1">
      <alignment horizontal="center" wrapText="1"/>
    </xf>
    <xf numFmtId="1" fontId="2" fillId="0" borderId="3" xfId="4" applyNumberFormat="1" applyFont="1" applyFill="1" applyBorder="1" applyAlignment="1">
      <alignment horizontal="center" wrapText="1"/>
    </xf>
    <xf numFmtId="175" fontId="2" fillId="0" borderId="20" xfId="0" applyNumberFormat="1" applyFont="1" applyFill="1" applyBorder="1"/>
    <xf numFmtId="175" fontId="2" fillId="0" borderId="22" xfId="0" applyNumberFormat="1" applyFont="1" applyFill="1" applyBorder="1"/>
    <xf numFmtId="167" fontId="7" fillId="0" borderId="0" xfId="0" applyNumberFormat="1" applyFont="1" applyFill="1" applyBorder="1"/>
    <xf numFmtId="167" fontId="7" fillId="0" borderId="0" xfId="3" applyNumberFormat="1" applyFont="1" applyFill="1" applyBorder="1"/>
    <xf numFmtId="1" fontId="2" fillId="0" borderId="0" xfId="2" applyNumberFormat="1" applyFont="1" applyBorder="1" applyAlignment="1">
      <alignment horizontal="center" wrapText="1"/>
    </xf>
    <xf numFmtId="1" fontId="2" fillId="0" borderId="0" xfId="4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right"/>
    </xf>
    <xf numFmtId="175" fontId="8" fillId="4" borderId="0" xfId="1" applyNumberFormat="1" applyFont="1" applyFill="1" applyBorder="1" applyAlignment="1">
      <alignment horizontal="center"/>
    </xf>
    <xf numFmtId="167" fontId="7" fillId="0" borderId="0" xfId="0" applyNumberFormat="1" applyFont="1"/>
    <xf numFmtId="189" fontId="2" fillId="0" borderId="26" xfId="0" applyNumberFormat="1" applyFont="1" applyBorder="1" applyAlignment="1">
      <alignment vertical="center"/>
    </xf>
    <xf numFmtId="167" fontId="27" fillId="0" borderId="0" xfId="3" applyNumberFormat="1" applyFont="1" applyBorder="1" applyAlignment="1">
      <alignment vertical="top"/>
    </xf>
    <xf numFmtId="0" fontId="28" fillId="6" borderId="0" xfId="0" applyFont="1" applyFill="1"/>
    <xf numFmtId="167" fontId="27" fillId="0" borderId="0" xfId="0" applyNumberFormat="1" applyFont="1" applyBorder="1" applyAlignment="1"/>
    <xf numFmtId="44" fontId="27" fillId="0" borderId="0" xfId="3" applyFont="1" applyBorder="1" applyAlignment="1">
      <alignment vertical="top"/>
    </xf>
    <xf numFmtId="167" fontId="38" fillId="0" borderId="26" xfId="3" applyNumberFormat="1" applyFont="1" applyBorder="1" applyAlignment="1">
      <alignment vertical="center"/>
    </xf>
    <xf numFmtId="189" fontId="2" fillId="0" borderId="27" xfId="0" applyNumberFormat="1" applyFont="1" applyBorder="1" applyAlignment="1">
      <alignment vertical="center"/>
    </xf>
    <xf numFmtId="167" fontId="2" fillId="0" borderId="27" xfId="3" applyNumberFormat="1" applyFont="1" applyBorder="1" applyAlignment="1">
      <alignment vertical="center"/>
    </xf>
    <xf numFmtId="167" fontId="2" fillId="0" borderId="1" xfId="3" applyNumberFormat="1" applyFont="1" applyBorder="1" applyAlignment="1">
      <alignment vertical="center"/>
    </xf>
    <xf numFmtId="0" fontId="28" fillId="6" borderId="21" xfId="8" applyFont="1" applyFill="1" applyBorder="1" applyAlignment="1">
      <alignment horizontal="left"/>
    </xf>
    <xf numFmtId="189" fontId="28" fillId="6" borderId="21" xfId="0" applyNumberFormat="1" applyFont="1" applyFill="1" applyBorder="1" applyAlignment="1">
      <alignment vertical="top"/>
    </xf>
    <xf numFmtId="0" fontId="28" fillId="6" borderId="21" xfId="0" applyNumberFormat="1" applyFont="1" applyFill="1" applyBorder="1" applyAlignment="1">
      <alignment vertical="top"/>
    </xf>
    <xf numFmtId="0" fontId="17" fillId="6" borderId="0" xfId="0" applyFont="1" applyFill="1"/>
    <xf numFmtId="0" fontId="17" fillId="6" borderId="21" xfId="0" applyFont="1" applyFill="1" applyBorder="1"/>
    <xf numFmtId="0" fontId="28" fillId="0" borderId="0" xfId="0" applyNumberFormat="1" applyFont="1" applyFill="1" applyBorder="1" applyAlignment="1">
      <alignment vertical="top"/>
    </xf>
    <xf numFmtId="0" fontId="13" fillId="0" borderId="1" xfId="0" applyFont="1" applyFill="1" applyBorder="1"/>
    <xf numFmtId="0" fontId="7" fillId="0" borderId="1" xfId="0" applyFont="1" applyFill="1" applyBorder="1"/>
    <xf numFmtId="175" fontId="2" fillId="0" borderId="1" xfId="0" applyNumberFormat="1" applyFont="1" applyFill="1" applyBorder="1"/>
    <xf numFmtId="43" fontId="7" fillId="0" borderId="1" xfId="1" applyFont="1" applyFill="1" applyBorder="1"/>
    <xf numFmtId="43" fontId="7" fillId="0" borderId="1" xfId="1" applyFont="1" applyBorder="1"/>
    <xf numFmtId="175" fontId="2" fillId="0" borderId="1" xfId="0" applyNumberFormat="1" applyFont="1" applyBorder="1"/>
    <xf numFmtId="175" fontId="7" fillId="0" borderId="1" xfId="0" applyNumberFormat="1" applyFont="1" applyBorder="1"/>
    <xf numFmtId="175" fontId="7" fillId="0" borderId="21" xfId="0" applyNumberFormat="1" applyFont="1" applyFill="1" applyBorder="1" applyAlignment="1">
      <alignment horizontal="left" indent="1"/>
    </xf>
    <xf numFmtId="167" fontId="7" fillId="0" borderId="21" xfId="0" applyNumberFormat="1" applyFont="1" applyFill="1" applyBorder="1"/>
    <xf numFmtId="0" fontId="13" fillId="0" borderId="1" xfId="0" applyFont="1" applyBorder="1"/>
    <xf numFmtId="0" fontId="22" fillId="0" borderId="1" xfId="0" applyFont="1" applyBorder="1"/>
    <xf numFmtId="0" fontId="22" fillId="0" borderId="21" xfId="0" applyFont="1" applyBorder="1"/>
    <xf numFmtId="167" fontId="7" fillId="0" borderId="21" xfId="0" applyNumberFormat="1" applyFont="1" applyBorder="1"/>
    <xf numFmtId="167" fontId="7" fillId="0" borderId="21" xfId="3" applyNumberFormat="1" applyFont="1" applyFill="1" applyBorder="1"/>
    <xf numFmtId="175" fontId="39" fillId="6" borderId="0" xfId="0" applyNumberFormat="1" applyFont="1" applyFill="1" applyBorder="1"/>
    <xf numFmtId="0" fontId="28" fillId="6" borderId="0" xfId="0" applyFont="1" applyFill="1" applyBorder="1"/>
    <xf numFmtId="0" fontId="17" fillId="6" borderId="0" xfId="0" applyFont="1" applyFill="1" applyBorder="1"/>
    <xf numFmtId="0" fontId="13" fillId="0" borderId="20" xfId="0" applyFont="1" applyFill="1" applyBorder="1"/>
    <xf numFmtId="167" fontId="7" fillId="0" borderId="0" xfId="3" applyNumberFormat="1" applyFont="1" applyFill="1" applyBorder="1" applyAlignment="1">
      <alignment horizontal="center"/>
    </xf>
    <xf numFmtId="167" fontId="7" fillId="0" borderId="21" xfId="3" applyNumberFormat="1" applyFont="1" applyFill="1" applyBorder="1" applyAlignment="1">
      <alignment horizontal="center"/>
    </xf>
    <xf numFmtId="189" fontId="7" fillId="0" borderId="21" xfId="0" applyNumberFormat="1" applyFont="1" applyBorder="1" applyAlignment="1">
      <alignment vertical="top"/>
    </xf>
    <xf numFmtId="167" fontId="7" fillId="0" borderId="0" xfId="0" applyNumberFormat="1" applyFont="1" applyBorder="1" applyAlignment="1"/>
    <xf numFmtId="167" fontId="7" fillId="0" borderId="0" xfId="3" applyNumberFormat="1" applyFont="1" applyBorder="1" applyAlignment="1">
      <alignment vertical="top"/>
    </xf>
    <xf numFmtId="44" fontId="7" fillId="0" borderId="0" xfId="3" applyFont="1" applyBorder="1" applyAlignment="1">
      <alignment vertical="top"/>
    </xf>
    <xf numFmtId="175" fontId="22" fillId="0" borderId="0" xfId="0" applyNumberFormat="1" applyFont="1" applyFill="1" applyBorder="1" applyAlignment="1">
      <alignment vertical="top"/>
    </xf>
    <xf numFmtId="175" fontId="25" fillId="0" borderId="0" xfId="0" applyNumberFormat="1" applyFont="1" applyFill="1" applyBorder="1" applyAlignment="1">
      <alignment vertical="top"/>
    </xf>
    <xf numFmtId="9" fontId="32" fillId="0" borderId="0" xfId="0" applyNumberFormat="1" applyFont="1" applyFill="1" applyBorder="1" applyAlignment="1"/>
    <xf numFmtId="0" fontId="22" fillId="0" borderId="0" xfId="0" applyFont="1" applyFill="1" applyBorder="1" applyAlignment="1"/>
    <xf numFmtId="175" fontId="22" fillId="0" borderId="0" xfId="0" applyNumberFormat="1" applyFont="1" applyFill="1" applyBorder="1"/>
    <xf numFmtId="189" fontId="22" fillId="0" borderId="0" xfId="0" applyNumberFormat="1" applyFont="1" applyFill="1" applyBorder="1"/>
    <xf numFmtId="0" fontId="25" fillId="0" borderId="0" xfId="0" applyFont="1" applyFill="1" applyBorder="1"/>
    <xf numFmtId="0" fontId="28" fillId="6" borderId="21" xfId="0" applyFont="1" applyFill="1" applyBorder="1" applyAlignment="1"/>
    <xf numFmtId="0" fontId="17" fillId="6" borderId="21" xfId="0" applyFont="1" applyFill="1" applyBorder="1" applyAlignment="1"/>
    <xf numFmtId="195" fontId="17" fillId="6" borderId="21" xfId="0" applyNumberFormat="1" applyFont="1" applyFill="1" applyBorder="1" applyAlignment="1"/>
    <xf numFmtId="183" fontId="7" fillId="0" borderId="0" xfId="0" applyNumberFormat="1" applyFont="1" applyBorder="1"/>
    <xf numFmtId="0" fontId="17" fillId="6" borderId="7" xfId="0" applyFont="1" applyFill="1" applyBorder="1"/>
    <xf numFmtId="0" fontId="28" fillId="6" borderId="28" xfId="0" applyFont="1" applyFill="1" applyBorder="1" applyAlignment="1">
      <alignment horizontal="center"/>
    </xf>
    <xf numFmtId="0" fontId="28" fillId="6" borderId="29" xfId="0" applyFont="1" applyFill="1" applyBorder="1" applyAlignment="1">
      <alignment horizontal="center"/>
    </xf>
    <xf numFmtId="0" fontId="2" fillId="0" borderId="9" xfId="0" applyFont="1" applyBorder="1"/>
    <xf numFmtId="9" fontId="0" fillId="0" borderId="0" xfId="0" applyNumberFormat="1" applyBorder="1" applyAlignment="1">
      <alignment horizontal="center"/>
    </xf>
    <xf numFmtId="167" fontId="0" fillId="0" borderId="0" xfId="3" applyNumberFormat="1" applyFont="1" applyBorder="1"/>
    <xf numFmtId="167" fontId="0" fillId="0" borderId="12" xfId="3" applyNumberFormat="1" applyFont="1" applyBorder="1"/>
    <xf numFmtId="167" fontId="2" fillId="0" borderId="0" xfId="3" applyNumberFormat="1" applyFont="1" applyBorder="1"/>
    <xf numFmtId="167" fontId="2" fillId="0" borderId="21" xfId="3" applyNumberFormat="1" applyFont="1" applyBorder="1"/>
    <xf numFmtId="166" fontId="2" fillId="0" borderId="30" xfId="7" applyNumberFormat="1" applyFont="1" applyFill="1" applyBorder="1" applyAlignment="1">
      <alignment horizontal="center"/>
    </xf>
    <xf numFmtId="166" fontId="2" fillId="0" borderId="21" xfId="7" applyNumberFormat="1" applyFont="1" applyFill="1" applyBorder="1" applyAlignment="1">
      <alignment horizontal="center"/>
    </xf>
    <xf numFmtId="166" fontId="2" fillId="0" borderId="31" xfId="7" applyNumberFormat="1" applyFon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165" fontId="0" fillId="3" borderId="12" xfId="0" applyNumberFormat="1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8" fillId="6" borderId="14" xfId="0" applyFont="1" applyFill="1" applyBorder="1"/>
    <xf numFmtId="0" fontId="0" fillId="7" borderId="8" xfId="0" applyFill="1" applyBorder="1"/>
    <xf numFmtId="0" fontId="28" fillId="7" borderId="14" xfId="0" applyFont="1" applyFill="1" applyBorder="1"/>
    <xf numFmtId="0" fontId="17" fillId="7" borderId="7" xfId="0" applyFont="1" applyFill="1" applyBorder="1"/>
    <xf numFmtId="0" fontId="17" fillId="7" borderId="8" xfId="0" applyFont="1" applyFill="1" applyBorder="1"/>
    <xf numFmtId="0" fontId="14" fillId="0" borderId="0" xfId="0" applyFont="1"/>
    <xf numFmtId="44" fontId="0" fillId="0" borderId="10" xfId="3" applyFont="1" applyBorder="1"/>
    <xf numFmtId="204" fontId="0" fillId="0" borderId="0" xfId="1" applyNumberFormat="1" applyFont="1"/>
    <xf numFmtId="173" fontId="0" fillId="0" borderId="0" xfId="3" applyNumberFormat="1" applyFont="1"/>
    <xf numFmtId="167" fontId="0" fillId="0" borderId="0" xfId="0" applyNumberFormat="1" applyBorder="1"/>
    <xf numFmtId="44" fontId="0" fillId="0" borderId="21" xfId="0" applyNumberFormat="1" applyBorder="1"/>
    <xf numFmtId="165" fontId="2" fillId="0" borderId="0" xfId="0" applyNumberFormat="1" applyFont="1"/>
    <xf numFmtId="0" fontId="20" fillId="0" borderId="14" xfId="0" applyFont="1" applyBorder="1"/>
    <xf numFmtId="0" fontId="13" fillId="0" borderId="11" xfId="0" applyFont="1" applyBorder="1"/>
    <xf numFmtId="0" fontId="0" fillId="0" borderId="21" xfId="0" applyFill="1" applyBorder="1"/>
    <xf numFmtId="0" fontId="17" fillId="7" borderId="7" xfId="0" applyFont="1" applyFill="1" applyBorder="1" applyAlignment="1">
      <alignment horizontal="right"/>
    </xf>
    <xf numFmtId="0" fontId="0" fillId="0" borderId="9" xfId="0" applyFill="1" applyBorder="1"/>
    <xf numFmtId="0" fontId="40" fillId="6" borderId="0" xfId="0" applyFont="1" applyFill="1"/>
    <xf numFmtId="0" fontId="17" fillId="6" borderId="0" xfId="0" applyFont="1" applyFill="1" applyBorder="1" applyAlignment="1">
      <alignment horizontal="center"/>
    </xf>
    <xf numFmtId="0" fontId="17" fillId="6" borderId="0" xfId="0" applyFont="1" applyFill="1" applyAlignment="1">
      <alignment horizontal="center"/>
    </xf>
    <xf numFmtId="0" fontId="17" fillId="6" borderId="0" xfId="0" applyFont="1" applyFill="1" applyBorder="1" applyAlignment="1">
      <alignment horizontal="right"/>
    </xf>
    <xf numFmtId="189" fontId="2" fillId="0" borderId="0" xfId="0" applyNumberFormat="1" applyFont="1" applyBorder="1" applyAlignment="1">
      <alignment horizontal="right"/>
    </xf>
    <xf numFmtId="0" fontId="40" fillId="0" borderId="0" xfId="0" applyFont="1" applyFill="1"/>
    <xf numFmtId="0" fontId="33" fillId="0" borderId="14" xfId="5" applyFont="1" applyBorder="1"/>
    <xf numFmtId="0" fontId="22" fillId="0" borderId="8" xfId="0" applyFont="1" applyBorder="1" applyAlignment="1">
      <alignment horizontal="centerContinuous"/>
    </xf>
    <xf numFmtId="0" fontId="13" fillId="0" borderId="11" xfId="5" applyFont="1" applyBorder="1"/>
    <xf numFmtId="0" fontId="22" fillId="0" borderId="13" xfId="0" applyFont="1" applyBorder="1" applyAlignment="1">
      <alignment horizontal="centerContinuous"/>
    </xf>
    <xf numFmtId="9" fontId="0" fillId="0" borderId="12" xfId="0" applyNumberForma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8" fillId="4" borderId="23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0" fillId="6" borderId="0" xfId="0" applyFill="1" applyBorder="1"/>
    <xf numFmtId="166" fontId="27" fillId="0" borderId="16" xfId="7" applyNumberFormat="1" applyFont="1" applyFill="1" applyBorder="1"/>
    <xf numFmtId="166" fontId="41" fillId="4" borderId="16" xfId="7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4" borderId="0" xfId="1" applyNumberFormat="1" applyFont="1" applyFill="1" applyBorder="1" applyAlignment="1">
      <alignment horizontal="center"/>
    </xf>
    <xf numFmtId="166" fontId="0" fillId="4" borderId="0" xfId="7" applyNumberFormat="1" applyFont="1" applyFill="1" applyBorder="1" applyAlignment="1">
      <alignment horizontal="center"/>
    </xf>
    <xf numFmtId="10" fontId="0" fillId="4" borderId="0" xfId="7" applyNumberFormat="1" applyFont="1" applyFill="1" applyBorder="1" applyAlignment="1">
      <alignment horizontal="center"/>
    </xf>
    <xf numFmtId="0" fontId="21" fillId="0" borderId="20" xfId="0" applyFont="1" applyBorder="1"/>
    <xf numFmtId="0" fontId="22" fillId="4" borderId="21" xfId="0" applyFont="1" applyFill="1" applyBorder="1" applyAlignment="1">
      <alignment wrapText="1"/>
    </xf>
    <xf numFmtId="0" fontId="3" fillId="0" borderId="19" xfId="0" applyFont="1" applyBorder="1"/>
    <xf numFmtId="0" fontId="3" fillId="0" borderId="23" xfId="0" applyFont="1" applyBorder="1"/>
    <xf numFmtId="0" fontId="3" fillId="0" borderId="20" xfId="0" applyFont="1" applyBorder="1"/>
    <xf numFmtId="0" fontId="22" fillId="4" borderId="16" xfId="0" applyFont="1" applyFill="1" applyBorder="1" applyAlignment="1">
      <alignment wrapText="1"/>
    </xf>
    <xf numFmtId="0" fontId="3" fillId="0" borderId="22" xfId="0" applyFont="1" applyBorder="1"/>
    <xf numFmtId="0" fontId="22" fillId="4" borderId="17" xfId="0" applyFont="1" applyFill="1" applyBorder="1" applyAlignment="1">
      <alignment wrapText="1"/>
    </xf>
    <xf numFmtId="0" fontId="20" fillId="0" borderId="7" xfId="0" applyFont="1" applyBorder="1"/>
    <xf numFmtId="0" fontId="13" fillId="0" borderId="12" xfId="0" applyFont="1" applyBorder="1"/>
    <xf numFmtId="0" fontId="0" fillId="2" borderId="21" xfId="0" applyFill="1" applyBorder="1"/>
    <xf numFmtId="0" fontId="41" fillId="2" borderId="21" xfId="0" applyFont="1" applyFill="1" applyBorder="1" applyAlignment="1">
      <alignment horizontal="center"/>
    </xf>
    <xf numFmtId="0" fontId="41" fillId="2" borderId="0" xfId="0" applyFont="1" applyFill="1" applyBorder="1" applyAlignment="1">
      <alignment horizontal="center"/>
    </xf>
    <xf numFmtId="167" fontId="0" fillId="0" borderId="23" xfId="3" applyNumberFormat="1" applyFont="1" applyBorder="1"/>
    <xf numFmtId="167" fontId="0" fillId="0" borderId="16" xfId="3" applyNumberFormat="1" applyFont="1" applyBorder="1"/>
    <xf numFmtId="207" fontId="8" fillId="4" borderId="17" xfId="0" applyNumberFormat="1" applyFont="1" applyFill="1" applyBorder="1" applyAlignment="1">
      <alignment horizontal="center"/>
    </xf>
    <xf numFmtId="0" fontId="2" fillId="0" borderId="20" xfId="0" applyFont="1" applyBorder="1"/>
    <xf numFmtId="167" fontId="2" fillId="0" borderId="16" xfId="0" applyNumberFormat="1" applyFont="1" applyBorder="1"/>
    <xf numFmtId="183" fontId="8" fillId="4" borderId="32" xfId="0" applyNumberFormat="1" applyFont="1" applyFill="1" applyBorder="1" applyAlignment="1">
      <alignment horizontal="center"/>
    </xf>
    <xf numFmtId="183" fontId="8" fillId="4" borderId="33" xfId="0" applyNumberFormat="1" applyFont="1" applyFill="1" applyBorder="1" applyAlignment="1">
      <alignment horizontal="center"/>
    </xf>
    <xf numFmtId="183" fontId="8" fillId="4" borderId="34" xfId="0" applyNumberFormat="1" applyFont="1" applyFill="1" applyBorder="1" applyAlignment="1">
      <alignment horizontal="center"/>
    </xf>
    <xf numFmtId="167" fontId="2" fillId="0" borderId="17" xfId="3" applyNumberFormat="1" applyFont="1" applyBorder="1"/>
    <xf numFmtId="0" fontId="2" fillId="0" borderId="2" xfId="0" applyFont="1" applyBorder="1"/>
    <xf numFmtId="167" fontId="2" fillId="0" borderId="3" xfId="3" applyNumberFormat="1" applyFont="1" applyBorder="1"/>
    <xf numFmtId="167" fontId="0" fillId="0" borderId="0" xfId="3" applyNumberFormat="1" applyFont="1" applyFill="1" applyBorder="1"/>
    <xf numFmtId="0" fontId="0" fillId="2" borderId="0" xfId="0" applyFill="1" applyBorder="1" applyAlignment="1">
      <alignment horizontal="center"/>
    </xf>
    <xf numFmtId="43" fontId="0" fillId="0" borderId="0" xfId="1" applyFont="1" applyFill="1"/>
    <xf numFmtId="43" fontId="0" fillId="0" borderId="0" xfId="0" applyNumberFormat="1" applyFill="1"/>
    <xf numFmtId="165" fontId="8" fillId="2" borderId="0" xfId="1" applyNumberFormat="1" applyFont="1" applyFill="1"/>
    <xf numFmtId="165" fontId="1" fillId="2" borderId="21" xfId="1" applyNumberFormat="1" applyFill="1" applyBorder="1"/>
    <xf numFmtId="165" fontId="1" fillId="0" borderId="21" xfId="1" applyNumberFormat="1" applyBorder="1"/>
    <xf numFmtId="167" fontId="1" fillId="0" borderId="0" xfId="3" applyNumberFormat="1"/>
    <xf numFmtId="167" fontId="8" fillId="2" borderId="0" xfId="3" applyNumberFormat="1" applyFont="1" applyFill="1"/>
    <xf numFmtId="165" fontId="41" fillId="2" borderId="0" xfId="1" applyNumberFormat="1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165" fontId="8" fillId="0" borderId="0" xfId="1" applyNumberFormat="1" applyFont="1" applyBorder="1" applyAlignment="1">
      <alignment horizontal="center"/>
    </xf>
    <xf numFmtId="165" fontId="2" fillId="2" borderId="0" xfId="1" applyNumberFormat="1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  <xf numFmtId="167" fontId="8" fillId="2" borderId="21" xfId="3" applyNumberFormat="1" applyFont="1" applyFill="1" applyBorder="1"/>
    <xf numFmtId="167" fontId="2" fillId="2" borderId="0" xfId="3" applyNumberFormat="1" applyFont="1" applyFill="1" applyBorder="1"/>
    <xf numFmtId="167" fontId="2" fillId="0" borderId="0" xfId="3" applyNumberFormat="1" applyFont="1" applyFill="1" applyBorder="1"/>
    <xf numFmtId="167" fontId="0" fillId="0" borderId="0" xfId="0" applyNumberFormat="1" applyFill="1"/>
    <xf numFmtId="9" fontId="1" fillId="0" borderId="0" xfId="7" applyFill="1" applyBorder="1"/>
    <xf numFmtId="0" fontId="2" fillId="0" borderId="0" xfId="0" applyFont="1" applyBorder="1" applyAlignment="1">
      <alignment horizontal="right"/>
    </xf>
    <xf numFmtId="166" fontId="8" fillId="4" borderId="19" xfId="7" applyNumberFormat="1" applyFont="1" applyFill="1" applyBorder="1" applyAlignment="1">
      <alignment horizontal="center"/>
    </xf>
    <xf numFmtId="166" fontId="8" fillId="4" borderId="23" xfId="7" applyNumberFormat="1" applyFont="1" applyFill="1" applyBorder="1" applyAlignment="1">
      <alignment horizontal="center"/>
    </xf>
    <xf numFmtId="166" fontId="8" fillId="4" borderId="16" xfId="7" applyNumberFormat="1" applyFont="1" applyFill="1" applyBorder="1" applyAlignment="1">
      <alignment horizontal="center"/>
    </xf>
    <xf numFmtId="166" fontId="8" fillId="4" borderId="17" xfId="7" applyNumberFormat="1" applyFont="1" applyFill="1" applyBorder="1" applyAlignment="1">
      <alignment horizontal="center"/>
    </xf>
    <xf numFmtId="44" fontId="8" fillId="4" borderId="19" xfId="3" applyFont="1" applyFill="1" applyBorder="1"/>
    <xf numFmtId="44" fontId="8" fillId="4" borderId="0" xfId="3" applyFont="1" applyFill="1" applyBorder="1"/>
    <xf numFmtId="166" fontId="8" fillId="0" borderId="0" xfId="7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0" fillId="0" borderId="18" xfId="0" applyFont="1" applyFill="1" applyBorder="1"/>
    <xf numFmtId="0" fontId="0" fillId="0" borderId="19" xfId="0" applyFill="1" applyBorder="1"/>
    <xf numFmtId="165" fontId="8" fillId="2" borderId="0" xfId="1" applyNumberFormat="1" applyFont="1" applyFill="1" applyAlignment="1">
      <alignment horizontal="center"/>
    </xf>
    <xf numFmtId="166" fontId="8" fillId="6" borderId="0" xfId="7" applyNumberFormat="1" applyFont="1" applyFill="1" applyBorder="1" applyAlignment="1">
      <alignment horizontal="center"/>
    </xf>
    <xf numFmtId="0" fontId="40" fillId="6" borderId="0" xfId="0" applyFont="1" applyFill="1" applyBorder="1"/>
    <xf numFmtId="167" fontId="2" fillId="2" borderId="0" xfId="3" applyNumberFormat="1" applyFont="1" applyFill="1"/>
    <xf numFmtId="167" fontId="2" fillId="0" borderId="0" xfId="3" applyNumberFormat="1" applyFont="1" applyFill="1"/>
    <xf numFmtId="167" fontId="2" fillId="2" borderId="21" xfId="3" applyNumberFormat="1" applyFont="1" applyFill="1" applyBorder="1"/>
    <xf numFmtId="167" fontId="2" fillId="0" borderId="21" xfId="3" applyNumberFormat="1" applyFont="1" applyFill="1" applyBorder="1"/>
    <xf numFmtId="167" fontId="42" fillId="2" borderId="0" xfId="3" applyNumberFormat="1" applyFont="1" applyFill="1"/>
    <xf numFmtId="0" fontId="13" fillId="6" borderId="0" xfId="0" applyFont="1" applyFill="1" applyBorder="1"/>
    <xf numFmtId="166" fontId="43" fillId="6" borderId="0" xfId="7" applyNumberFormat="1" applyFont="1" applyFill="1" applyBorder="1" applyAlignment="1">
      <alignment horizontal="center"/>
    </xf>
    <xf numFmtId="167" fontId="7" fillId="0" borderId="0" xfId="3" applyNumberFormat="1" applyFont="1" applyFill="1"/>
    <xf numFmtId="167" fontId="41" fillId="2" borderId="0" xfId="3" applyNumberFormat="1" applyFont="1" applyFill="1" applyAlignment="1">
      <alignment horizontal="center"/>
    </xf>
    <xf numFmtId="167" fontId="41" fillId="2" borderId="0" xfId="3" applyNumberFormat="1" applyFont="1" applyFill="1"/>
    <xf numFmtId="0" fontId="0" fillId="2" borderId="21" xfId="0" applyFill="1" applyBorder="1" applyAlignment="1">
      <alignment horizontal="center"/>
    </xf>
    <xf numFmtId="165" fontId="1" fillId="0" borderId="21" xfId="1" applyNumberFormat="1" applyFill="1" applyBorder="1"/>
    <xf numFmtId="44" fontId="7" fillId="2" borderId="21" xfId="3" applyFont="1" applyFill="1" applyBorder="1" applyAlignment="1">
      <alignment horizontal="center"/>
    </xf>
    <xf numFmtId="44" fontId="7" fillId="2" borderId="21" xfId="3" applyFont="1" applyFill="1" applyBorder="1"/>
    <xf numFmtId="165" fontId="1" fillId="0" borderId="0" xfId="1" applyNumberFormat="1" applyFont="1" applyAlignment="1">
      <alignment horizontal="left" indent="1"/>
    </xf>
    <xf numFmtId="165" fontId="2" fillId="0" borderId="0" xfId="1" applyNumberFormat="1" applyFont="1" applyBorder="1"/>
    <xf numFmtId="167" fontId="1" fillId="2" borderId="0" xfId="3" applyNumberFormat="1" applyFill="1"/>
    <xf numFmtId="0" fontId="0" fillId="0" borderId="26" xfId="0" applyBorder="1"/>
    <xf numFmtId="168" fontId="2" fillId="2" borderId="0" xfId="0" applyNumberFormat="1" applyFont="1" applyFill="1" applyAlignment="1">
      <alignment horizontal="center"/>
    </xf>
    <xf numFmtId="167" fontId="2" fillId="2" borderId="26" xfId="3" applyNumberFormat="1" applyFont="1" applyFill="1" applyBorder="1"/>
    <xf numFmtId="167" fontId="2" fillId="0" borderId="26" xfId="3" applyNumberFormat="1" applyFont="1" applyFill="1" applyBorder="1"/>
    <xf numFmtId="0" fontId="3" fillId="0" borderId="0" xfId="0" applyFont="1" applyAlignment="1">
      <alignment horizontal="left" indent="1"/>
    </xf>
    <xf numFmtId="43" fontId="3" fillId="2" borderId="0" xfId="1" applyFont="1" applyFill="1" applyAlignment="1"/>
    <xf numFmtId="43" fontId="3" fillId="0" borderId="0" xfId="1" applyFont="1" applyFill="1" applyAlignment="1"/>
    <xf numFmtId="10" fontId="3" fillId="2" borderId="0" xfId="7" applyNumberFormat="1" applyFont="1" applyFill="1"/>
    <xf numFmtId="10" fontId="3" fillId="0" borderId="0" xfId="7" applyNumberFormat="1" applyFont="1" applyFill="1"/>
    <xf numFmtId="165" fontId="1" fillId="4" borderId="0" xfId="1" applyNumberFormat="1" applyFont="1" applyFill="1" applyAlignment="1">
      <alignment horizontal="center"/>
    </xf>
    <xf numFmtId="168" fontId="2" fillId="4" borderId="0" xfId="0" applyNumberFormat="1" applyFont="1" applyFill="1" applyAlignment="1">
      <alignment horizontal="center"/>
    </xf>
    <xf numFmtId="0" fontId="0" fillId="0" borderId="34" xfId="0" applyBorder="1"/>
    <xf numFmtId="0" fontId="17" fillId="0" borderId="0" xfId="0" applyFont="1" applyBorder="1"/>
    <xf numFmtId="10" fontId="2" fillId="0" borderId="0" xfId="7" applyNumberFormat="1" applyFont="1" applyBorder="1" applyAlignment="1">
      <alignment horizontal="center"/>
    </xf>
    <xf numFmtId="0" fontId="0" fillId="0" borderId="33" xfId="0" applyBorder="1"/>
    <xf numFmtId="10" fontId="2" fillId="0" borderId="21" xfId="7" applyNumberFormat="1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166" fontId="4" fillId="4" borderId="0" xfId="7" applyNumberFormat="1" applyFont="1" applyFill="1" applyBorder="1"/>
    <xf numFmtId="207" fontId="2" fillId="0" borderId="32" xfId="0" applyNumberFormat="1" applyFont="1" applyBorder="1" applyAlignment="1">
      <alignment horizontal="center"/>
    </xf>
    <xf numFmtId="167" fontId="0" fillId="0" borderId="34" xfId="3" applyNumberFormat="1" applyFont="1" applyBorder="1"/>
    <xf numFmtId="167" fontId="0" fillId="0" borderId="33" xfId="3" applyNumberFormat="1" applyFont="1" applyBorder="1"/>
    <xf numFmtId="10" fontId="2" fillId="0" borderId="18" xfId="7" applyNumberFormat="1" applyFont="1" applyBorder="1" applyAlignment="1">
      <alignment horizontal="center"/>
    </xf>
    <xf numFmtId="167" fontId="0" fillId="0" borderId="32" xfId="3" applyNumberFormat="1" applyFont="1" applyBorder="1"/>
    <xf numFmtId="10" fontId="2" fillId="0" borderId="22" xfId="7" applyNumberFormat="1" applyFont="1" applyBorder="1" applyAlignment="1">
      <alignment horizontal="center"/>
    </xf>
    <xf numFmtId="10" fontId="2" fillId="0" borderId="33" xfId="7" applyNumberFormat="1" applyFont="1" applyBorder="1" applyAlignment="1">
      <alignment horizontal="center"/>
    </xf>
    <xf numFmtId="0" fontId="2" fillId="0" borderId="22" xfId="0" applyFont="1" applyBorder="1"/>
    <xf numFmtId="10" fontId="2" fillId="0" borderId="17" xfId="7" applyNumberFormat="1" applyFont="1" applyBorder="1" applyAlignment="1">
      <alignment horizontal="center"/>
    </xf>
    <xf numFmtId="0" fontId="2" fillId="0" borderId="35" xfId="0" applyFont="1" applyBorder="1"/>
    <xf numFmtId="207" fontId="2" fillId="0" borderId="26" xfId="0" applyNumberFormat="1" applyFont="1" applyBorder="1" applyAlignment="1">
      <alignment horizontal="center"/>
    </xf>
    <xf numFmtId="207" fontId="2" fillId="0" borderId="36" xfId="0" applyNumberFormat="1" applyFont="1" applyBorder="1" applyAlignment="1">
      <alignment horizontal="center"/>
    </xf>
    <xf numFmtId="167" fontId="0" fillId="0" borderId="32" xfId="3" applyNumberFormat="1" applyFont="1" applyFill="1" applyBorder="1"/>
    <xf numFmtId="167" fontId="0" fillId="0" borderId="33" xfId="3" applyNumberFormat="1" applyFont="1" applyFill="1" applyBorder="1"/>
    <xf numFmtId="165" fontId="7" fillId="0" borderId="21" xfId="1" applyNumberFormat="1" applyFont="1" applyFill="1" applyBorder="1"/>
    <xf numFmtId="167" fontId="2" fillId="0" borderId="0" xfId="3" applyNumberFormat="1" applyFont="1"/>
    <xf numFmtId="166" fontId="0" fillId="4" borderId="23" xfId="7" applyNumberFormat="1" applyFont="1" applyFill="1" applyBorder="1"/>
    <xf numFmtId="9" fontId="7" fillId="4" borderId="17" xfId="7" applyFont="1" applyFill="1" applyBorder="1"/>
    <xf numFmtId="166" fontId="2" fillId="0" borderId="26" xfId="7" applyNumberFormat="1" applyFont="1" applyBorder="1" applyAlignment="1">
      <alignment horizontal="center"/>
    </xf>
    <xf numFmtId="166" fontId="2" fillId="0" borderId="34" xfId="7" applyNumberFormat="1" applyFont="1" applyBorder="1" applyAlignment="1">
      <alignment horizontal="center"/>
    </xf>
    <xf numFmtId="166" fontId="2" fillId="0" borderId="33" xfId="7" applyNumberFormat="1" applyFont="1" applyBorder="1" applyAlignment="1">
      <alignment horizontal="center"/>
    </xf>
    <xf numFmtId="10" fontId="17" fillId="0" borderId="35" xfId="0" applyNumberFormat="1" applyFont="1" applyBorder="1" applyAlignment="1">
      <alignment horizontal="center"/>
    </xf>
    <xf numFmtId="166" fontId="2" fillId="0" borderId="36" xfId="7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10" fontId="0" fillId="0" borderId="0" xfId="7" applyNumberFormat="1" applyFont="1" applyBorder="1" applyAlignment="1">
      <alignment horizontal="center"/>
    </xf>
    <xf numFmtId="10" fontId="0" fillId="0" borderId="16" xfId="7" applyNumberFormat="1" applyFont="1" applyBorder="1" applyAlignment="1">
      <alignment horizontal="center"/>
    </xf>
    <xf numFmtId="10" fontId="0" fillId="0" borderId="21" xfId="7" applyNumberFormat="1" applyFont="1" applyBorder="1" applyAlignment="1">
      <alignment horizontal="center"/>
    </xf>
    <xf numFmtId="10" fontId="0" fillId="0" borderId="17" xfId="7" applyNumberFormat="1" applyFont="1" applyBorder="1" applyAlignment="1">
      <alignment horizontal="center"/>
    </xf>
    <xf numFmtId="10" fontId="7" fillId="4" borderId="0" xfId="7" applyNumberFormat="1" applyFont="1" applyFill="1" applyBorder="1" applyAlignment="1">
      <alignment horizontal="center"/>
    </xf>
    <xf numFmtId="10" fontId="2" fillId="0" borderId="1" xfId="7" applyNumberFormat="1" applyFont="1" applyBorder="1" applyAlignment="1">
      <alignment horizontal="center"/>
    </xf>
    <xf numFmtId="10" fontId="2" fillId="0" borderId="3" xfId="7" applyNumberFormat="1" applyFont="1" applyBorder="1" applyAlignment="1">
      <alignment horizontal="center"/>
    </xf>
    <xf numFmtId="166" fontId="7" fillId="4" borderId="21" xfId="7" applyNumberFormat="1" applyFont="1" applyFill="1" applyBorder="1" applyAlignment="1">
      <alignment horizontal="center"/>
    </xf>
    <xf numFmtId="167" fontId="2" fillId="0" borderId="19" xfId="3" applyNumberFormat="1" applyFont="1" applyBorder="1" applyAlignment="1">
      <alignment vertical="top"/>
    </xf>
    <xf numFmtId="44" fontId="8" fillId="4" borderId="23" xfId="3" applyFont="1" applyFill="1" applyBorder="1"/>
    <xf numFmtId="44" fontId="8" fillId="4" borderId="16" xfId="3" applyFont="1" applyFill="1" applyBorder="1"/>
    <xf numFmtId="10" fontId="7" fillId="0" borderId="0" xfId="7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3" fillId="0" borderId="9" xfId="0" applyFont="1" applyBorder="1"/>
    <xf numFmtId="0" fontId="13" fillId="0" borderId="0" xfId="0" applyFont="1" applyBorder="1"/>
    <xf numFmtId="0" fontId="13" fillId="0" borderId="11" xfId="0" applyFont="1" applyFill="1" applyBorder="1"/>
    <xf numFmtId="0" fontId="12" fillId="0" borderId="12" xfId="0" applyFont="1" applyBorder="1" applyAlignment="1">
      <alignment horizontal="center"/>
    </xf>
    <xf numFmtId="165" fontId="2" fillId="0" borderId="0" xfId="1" applyNumberFormat="1" applyFont="1" applyBorder="1" applyAlignment="1">
      <alignment horizontal="right"/>
    </xf>
    <xf numFmtId="166" fontId="8" fillId="4" borderId="0" xfId="7" applyNumberFormat="1" applyFont="1" applyFill="1" applyAlignment="1">
      <alignment horizontal="center"/>
    </xf>
    <xf numFmtId="166" fontId="8" fillId="0" borderId="0" xfId="7" applyNumberFormat="1" applyFont="1" applyFill="1" applyAlignment="1">
      <alignment horizontal="center"/>
    </xf>
    <xf numFmtId="167" fontId="0" fillId="0" borderId="34" xfId="3" applyNumberFormat="1" applyFont="1" applyFill="1" applyBorder="1"/>
    <xf numFmtId="0" fontId="2" fillId="0" borderId="21" xfId="0" applyFont="1" applyBorder="1" applyAlignment="1">
      <alignment horizontal="left"/>
    </xf>
    <xf numFmtId="167" fontId="8" fillId="2" borderId="0" xfId="3" applyNumberFormat="1" applyFont="1" applyFill="1" applyBorder="1"/>
    <xf numFmtId="0" fontId="28" fillId="6" borderId="0" xfId="0" applyFont="1" applyFill="1" applyBorder="1" applyAlignment="1">
      <alignment horizontal="center"/>
    </xf>
    <xf numFmtId="167" fontId="17" fillId="6" borderId="0" xfId="0" applyNumberFormat="1" applyFont="1" applyFill="1"/>
    <xf numFmtId="165" fontId="17" fillId="6" borderId="0" xfId="1" applyNumberFormat="1" applyFont="1" applyFill="1" applyAlignment="1">
      <alignment horizontal="right"/>
    </xf>
    <xf numFmtId="9" fontId="17" fillId="6" borderId="0" xfId="7" applyFont="1" applyFill="1"/>
    <xf numFmtId="0" fontId="40" fillId="6" borderId="0" xfId="0" applyFont="1" applyFill="1" applyBorder="1" applyAlignment="1">
      <alignment horizontal="left"/>
    </xf>
    <xf numFmtId="0" fontId="2" fillId="0" borderId="21" xfId="0" applyFont="1" applyBorder="1" applyAlignment="1">
      <alignment horizontal="center"/>
    </xf>
    <xf numFmtId="165" fontId="12" fillId="2" borderId="0" xfId="1" applyNumberFormat="1" applyFont="1" applyFill="1"/>
    <xf numFmtId="1" fontId="2" fillId="0" borderId="1" xfId="0" applyNumberFormat="1" applyFont="1" applyBorder="1" applyAlignment="1">
      <alignment horizontal="center"/>
    </xf>
    <xf numFmtId="165" fontId="8" fillId="2" borderId="0" xfId="1" applyNumberFormat="1" applyFont="1" applyFill="1" applyBorder="1"/>
    <xf numFmtId="9" fontId="7" fillId="0" borderId="0" xfId="7" applyFont="1" applyFill="1"/>
    <xf numFmtId="167" fontId="1" fillId="0" borderId="21" xfId="3" applyNumberFormat="1" applyBorder="1"/>
    <xf numFmtId="167" fontId="42" fillId="0" borderId="0" xfId="3" applyNumberFormat="1" applyFont="1" applyFill="1"/>
    <xf numFmtId="167" fontId="1" fillId="0" borderId="0" xfId="7" applyNumberFormat="1" applyFill="1" applyBorder="1"/>
    <xf numFmtId="0" fontId="7" fillId="2" borderId="0" xfId="0" applyFont="1" applyFill="1" applyBorder="1" applyAlignment="1">
      <alignment horizontal="center"/>
    </xf>
    <xf numFmtId="165" fontId="2" fillId="0" borderId="35" xfId="1" applyNumberFormat="1" applyFont="1" applyBorder="1" applyAlignment="1">
      <alignment horizontal="right" wrapText="1"/>
    </xf>
    <xf numFmtId="0" fontId="17" fillId="0" borderId="0" xfId="0" applyFont="1" applyFill="1"/>
    <xf numFmtId="207" fontId="2" fillId="0" borderId="0" xfId="0" applyNumberFormat="1" applyFont="1" applyBorder="1" applyAlignment="1">
      <alignment horizontal="center"/>
    </xf>
    <xf numFmtId="166" fontId="8" fillId="0" borderId="0" xfId="0" applyNumberFormat="1" applyFont="1" applyFill="1" applyAlignment="1">
      <alignment horizontal="center"/>
    </xf>
    <xf numFmtId="166" fontId="1" fillId="0" borderId="2" xfId="7" applyNumberFormat="1" applyBorder="1"/>
    <xf numFmtId="166" fontId="1" fillId="0" borderId="1" xfId="7" applyNumberFormat="1" applyBorder="1"/>
    <xf numFmtId="166" fontId="1" fillId="0" borderId="3" xfId="7" applyNumberFormat="1" applyBorder="1"/>
    <xf numFmtId="167" fontId="7" fillId="2" borderId="21" xfId="3" applyNumberFormat="1" applyFont="1" applyFill="1" applyBorder="1" applyAlignment="1">
      <alignment horizontal="center"/>
    </xf>
    <xf numFmtId="167" fontId="0" fillId="0" borderId="0" xfId="3" applyNumberFormat="1" applyFont="1"/>
    <xf numFmtId="167" fontId="0" fillId="0" borderId="21" xfId="3" applyNumberFormat="1" applyFont="1" applyBorder="1"/>
    <xf numFmtId="0" fontId="0" fillId="4" borderId="0" xfId="0" applyFill="1" applyAlignment="1">
      <alignment horizontal="center"/>
    </xf>
    <xf numFmtId="0" fontId="0" fillId="4" borderId="21" xfId="0" applyFill="1" applyBorder="1" applyAlignment="1">
      <alignment horizontal="center"/>
    </xf>
    <xf numFmtId="0" fontId="2" fillId="0" borderId="0" xfId="0" applyFont="1" applyAlignment="1"/>
    <xf numFmtId="165" fontId="1" fillId="0" borderId="0" xfId="1" applyNumberFormat="1" applyFont="1" applyFill="1" applyBorder="1"/>
    <xf numFmtId="165" fontId="8" fillId="0" borderId="0" xfId="1" applyNumberFormat="1" applyFont="1" applyFill="1" applyBorder="1"/>
    <xf numFmtId="165" fontId="7" fillId="3" borderId="12" xfId="1" applyNumberFormat="1" applyFont="1" applyFill="1" applyBorder="1"/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165" fontId="2" fillId="2" borderId="1" xfId="1" applyNumberFormat="1" applyFont="1" applyFill="1" applyBorder="1"/>
    <xf numFmtId="165" fontId="2" fillId="0" borderId="1" xfId="1" applyNumberFormat="1" applyFont="1" applyFill="1" applyBorder="1"/>
    <xf numFmtId="165" fontId="2" fillId="0" borderId="3" xfId="1" applyNumberFormat="1" applyFont="1" applyFill="1" applyBorder="1"/>
    <xf numFmtId="165" fontId="2" fillId="2" borderId="1" xfId="0" applyNumberFormat="1" applyFont="1" applyFill="1" applyBorder="1"/>
    <xf numFmtId="165" fontId="2" fillId="0" borderId="1" xfId="0" applyNumberFormat="1" applyFont="1" applyFill="1" applyBorder="1"/>
    <xf numFmtId="165" fontId="2" fillId="0" borderId="1" xfId="0" applyNumberFormat="1" applyFont="1" applyBorder="1"/>
    <xf numFmtId="0" fontId="14" fillId="0" borderId="18" xfId="0" applyFont="1" applyBorder="1"/>
    <xf numFmtId="165" fontId="0" fillId="0" borderId="19" xfId="0" applyNumberFormat="1" applyBorder="1"/>
    <xf numFmtId="2" fontId="1" fillId="0" borderId="19" xfId="3" applyNumberFormat="1" applyBorder="1" applyAlignment="1">
      <alignment horizontal="right"/>
    </xf>
    <xf numFmtId="9" fontId="8" fillId="4" borderId="0" xfId="7" applyFont="1" applyFill="1" applyBorder="1" applyAlignment="1">
      <alignment horizontal="center"/>
    </xf>
    <xf numFmtId="0" fontId="0" fillId="0" borderId="20" xfId="0" applyFill="1" applyBorder="1"/>
    <xf numFmtId="165" fontId="0" fillId="0" borderId="21" xfId="0" applyNumberFormat="1" applyBorder="1"/>
    <xf numFmtId="2" fontId="1" fillId="0" borderId="23" xfId="3" applyNumberFormat="1" applyBorder="1" applyAlignment="1">
      <alignment horizontal="right"/>
    </xf>
    <xf numFmtId="165" fontId="7" fillId="0" borderId="0" xfId="1" applyNumberFormat="1" applyFont="1" applyFill="1" applyBorder="1" applyAlignment="1">
      <alignment horizontal="left"/>
    </xf>
    <xf numFmtId="173" fontId="7" fillId="0" borderId="0" xfId="3" applyNumberFormat="1" applyFont="1" applyFill="1" applyBorder="1"/>
    <xf numFmtId="0" fontId="7" fillId="0" borderId="0" xfId="0" applyFont="1" applyFill="1" applyBorder="1" applyAlignment="1">
      <alignment horizontal="left"/>
    </xf>
    <xf numFmtId="167" fontId="0" fillId="4" borderId="33" xfId="3" applyNumberFormat="1" applyFont="1" applyFill="1" applyBorder="1"/>
    <xf numFmtId="165" fontId="2" fillId="0" borderId="33" xfId="1" applyNumberFormat="1" applyFont="1" applyBorder="1"/>
    <xf numFmtId="9" fontId="0" fillId="0" borderId="0" xfId="7" applyFont="1" applyFill="1" applyBorder="1"/>
    <xf numFmtId="2" fontId="0" fillId="0" borderId="0" xfId="0" applyNumberFormat="1" applyFill="1" applyBorder="1"/>
    <xf numFmtId="10" fontId="0" fillId="0" borderId="0" xfId="7" applyNumberFormat="1" applyFont="1" applyFill="1" applyBorder="1"/>
    <xf numFmtId="0" fontId="0" fillId="6" borderId="19" xfId="0" applyFill="1" applyBorder="1"/>
    <xf numFmtId="0" fontId="40" fillId="6" borderId="18" xfId="0" applyFont="1" applyFill="1" applyBorder="1"/>
    <xf numFmtId="0" fontId="3" fillId="6" borderId="19" xfId="0" applyFont="1" applyFill="1" applyBorder="1"/>
    <xf numFmtId="0" fontId="3" fillId="6" borderId="23" xfId="0" applyFont="1" applyFill="1" applyBorder="1"/>
    <xf numFmtId="0" fontId="0" fillId="0" borderId="0" xfId="0" applyFill="1" applyBorder="1" applyAlignment="1">
      <alignment horizontal="center"/>
    </xf>
    <xf numFmtId="0" fontId="28" fillId="6" borderId="18" xfId="0" applyFont="1" applyFill="1" applyBorder="1"/>
    <xf numFmtId="1" fontId="0" fillId="6" borderId="23" xfId="1" applyNumberFormat="1" applyFont="1" applyFill="1" applyBorder="1" applyAlignment="1">
      <alignment horizontal="right"/>
    </xf>
    <xf numFmtId="1" fontId="0" fillId="0" borderId="16" xfId="1" applyNumberFormat="1" applyFont="1" applyFill="1" applyBorder="1" applyAlignment="1">
      <alignment horizontal="right"/>
    </xf>
    <xf numFmtId="0" fontId="7" fillId="0" borderId="7" xfId="0" applyFont="1" applyBorder="1"/>
    <xf numFmtId="0" fontId="7" fillId="0" borderId="8" xfId="0" applyFont="1" applyBorder="1"/>
    <xf numFmtId="0" fontId="7" fillId="0" borderId="12" xfId="0" applyFont="1" applyBorder="1"/>
    <xf numFmtId="0" fontId="7" fillId="0" borderId="13" xfId="0" applyFont="1" applyBorder="1"/>
    <xf numFmtId="0" fontId="22" fillId="0" borderId="7" xfId="0" applyFont="1" applyBorder="1" applyAlignment="1">
      <alignment horizontal="centerContinuous"/>
    </xf>
    <xf numFmtId="0" fontId="22" fillId="0" borderId="12" xfId="0" applyFont="1" applyBorder="1" applyAlignment="1">
      <alignment horizontal="centerContinuous"/>
    </xf>
    <xf numFmtId="0" fontId="33" fillId="0" borderId="14" xfId="0" applyFont="1" applyBorder="1"/>
    <xf numFmtId="0" fontId="13" fillId="0" borderId="9" xfId="0" applyFont="1" applyFill="1" applyBorder="1"/>
    <xf numFmtId="0" fontId="8" fillId="4" borderId="0" xfId="0" applyFont="1" applyFill="1"/>
    <xf numFmtId="0" fontId="0" fillId="0" borderId="0" xfId="0" quotePrefix="1" applyBorder="1"/>
    <xf numFmtId="0" fontId="0" fillId="0" borderId="37" xfId="0" applyBorder="1"/>
    <xf numFmtId="0" fontId="0" fillId="0" borderId="38" xfId="0" applyBorder="1"/>
    <xf numFmtId="0" fontId="43" fillId="4" borderId="1" xfId="0" applyFont="1" applyFill="1" applyBorder="1"/>
    <xf numFmtId="0" fontId="43" fillId="4" borderId="1" xfId="0" applyFont="1" applyFill="1" applyBorder="1" applyAlignment="1">
      <alignment horizontal="left"/>
    </xf>
    <xf numFmtId="0" fontId="43" fillId="4" borderId="39" xfId="0" applyFont="1" applyFill="1" applyBorder="1"/>
    <xf numFmtId="0" fontId="43" fillId="4" borderId="40" xfId="0" applyFont="1" applyFill="1" applyBorder="1"/>
    <xf numFmtId="1" fontId="2" fillId="2" borderId="0" xfId="2" applyNumberFormat="1" applyFont="1" applyFill="1" applyBorder="1" applyAlignment="1">
      <alignment horizontal="center" wrapText="1"/>
    </xf>
    <xf numFmtId="165" fontId="8" fillId="2" borderId="21" xfId="1" applyNumberFormat="1" applyFont="1" applyFill="1" applyBorder="1" applyAlignment="1">
      <alignment horizontal="center"/>
    </xf>
    <xf numFmtId="167" fontId="2" fillId="2" borderId="26" xfId="3" applyNumberFormat="1" applyFont="1" applyFill="1" applyBorder="1" applyAlignment="1">
      <alignment horizontal="center"/>
    </xf>
    <xf numFmtId="167" fontId="2" fillId="2" borderId="26" xfId="0" applyNumberFormat="1" applyFont="1" applyFill="1" applyBorder="1"/>
    <xf numFmtId="167" fontId="2" fillId="0" borderId="26" xfId="0" applyNumberFormat="1" applyFont="1" applyFill="1" applyBorder="1"/>
    <xf numFmtId="0" fontId="0" fillId="2" borderId="26" xfId="0" applyFill="1" applyBorder="1"/>
    <xf numFmtId="167" fontId="2" fillId="2" borderId="1" xfId="3" applyNumberFormat="1" applyFont="1" applyFill="1" applyBorder="1" applyAlignment="1">
      <alignment horizontal="center"/>
    </xf>
    <xf numFmtId="167" fontId="2" fillId="2" borderId="1" xfId="3" applyNumberFormat="1" applyFont="1" applyFill="1" applyBorder="1"/>
    <xf numFmtId="167" fontId="2" fillId="0" borderId="1" xfId="3" applyNumberFormat="1" applyFont="1" applyFill="1" applyBorder="1"/>
    <xf numFmtId="167" fontId="2" fillId="2" borderId="1" xfId="0" applyNumberFormat="1" applyFont="1" applyFill="1" applyBorder="1"/>
    <xf numFmtId="165" fontId="0" fillId="2" borderId="26" xfId="0" applyNumberFormat="1" applyFill="1" applyBorder="1"/>
    <xf numFmtId="165" fontId="2" fillId="2" borderId="26" xfId="0" applyNumberFormat="1" applyFont="1" applyFill="1" applyBorder="1"/>
    <xf numFmtId="0" fontId="0" fillId="7" borderId="7" xfId="0" applyFill="1" applyBorder="1"/>
    <xf numFmtId="0" fontId="45" fillId="7" borderId="14" xfId="0" applyFont="1" applyFill="1" applyBorder="1"/>
    <xf numFmtId="0" fontId="0" fillId="0" borderId="0" xfId="0" applyBorder="1" applyAlignment="1">
      <alignment vertical="top"/>
    </xf>
    <xf numFmtId="10" fontId="7" fillId="2" borderId="0" xfId="7" applyNumberFormat="1" applyFont="1" applyFill="1" applyBorder="1" applyAlignment="1">
      <alignment horizontal="center"/>
    </xf>
    <xf numFmtId="168" fontId="2" fillId="0" borderId="0" xfId="0" applyNumberFormat="1" applyFont="1" applyFill="1" applyAlignment="1">
      <alignment horizontal="center"/>
    </xf>
    <xf numFmtId="10" fontId="0" fillId="2" borderId="0" xfId="7" applyNumberFormat="1" applyFont="1" applyFill="1" applyAlignment="1">
      <alignment horizontal="center"/>
    </xf>
    <xf numFmtId="10" fontId="0" fillId="0" borderId="0" xfId="7" applyNumberFormat="1" applyFont="1" applyFill="1" applyAlignment="1">
      <alignment horizontal="center"/>
    </xf>
    <xf numFmtId="10" fontId="7" fillId="2" borderId="0" xfId="7" applyNumberFormat="1" applyFont="1" applyFill="1" applyAlignment="1">
      <alignment horizontal="center"/>
    </xf>
    <xf numFmtId="10" fontId="7" fillId="0" borderId="0" xfId="7" applyNumberFormat="1" applyFont="1" applyFill="1" applyAlignment="1">
      <alignment horizontal="center"/>
    </xf>
    <xf numFmtId="210" fontId="7" fillId="2" borderId="0" xfId="1" applyNumberFormat="1" applyFont="1" applyFill="1" applyAlignment="1">
      <alignment horizontal="center"/>
    </xf>
    <xf numFmtId="210" fontId="7" fillId="0" borderId="0" xfId="1" applyNumberFormat="1" applyFont="1" applyFill="1" applyAlignment="1">
      <alignment horizontal="center"/>
    </xf>
    <xf numFmtId="165" fontId="27" fillId="2" borderId="0" xfId="1" applyNumberFormat="1" applyFont="1" applyFill="1" applyAlignment="1">
      <alignment horizontal="center"/>
    </xf>
    <xf numFmtId="167" fontId="2" fillId="0" borderId="1" xfId="3" applyNumberFormat="1" applyFont="1" applyFill="1" applyBorder="1" applyAlignment="1">
      <alignment horizontal="center"/>
    </xf>
    <xf numFmtId="165" fontId="27" fillId="2" borderId="0" xfId="1" applyNumberFormat="1" applyFont="1" applyFill="1"/>
    <xf numFmtId="165" fontId="27" fillId="2" borderId="21" xfId="1" applyNumberFormat="1" applyFont="1" applyFill="1" applyBorder="1"/>
    <xf numFmtId="167" fontId="2" fillId="0" borderId="1" xfId="0" applyNumberFormat="1" applyFont="1" applyFill="1" applyBorder="1"/>
    <xf numFmtId="165" fontId="27" fillId="2" borderId="21" xfId="1" applyNumberFormat="1" applyFont="1" applyFill="1" applyBorder="1" applyAlignment="1">
      <alignment horizontal="center"/>
    </xf>
    <xf numFmtId="165" fontId="8" fillId="0" borderId="0" xfId="1" applyNumberFormat="1" applyFont="1" applyFill="1" applyAlignment="1">
      <alignment horizontal="center"/>
    </xf>
    <xf numFmtId="165" fontId="27" fillId="0" borderId="0" xfId="1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165" fontId="27" fillId="0" borderId="21" xfId="1" applyNumberFormat="1" applyFont="1" applyFill="1" applyBorder="1" applyAlignment="1">
      <alignment horizontal="center"/>
    </xf>
    <xf numFmtId="165" fontId="7" fillId="0" borderId="0" xfId="1" applyNumberFormat="1" applyFont="1" applyFill="1" applyAlignment="1">
      <alignment horizontal="center"/>
    </xf>
    <xf numFmtId="165" fontId="7" fillId="2" borderId="0" xfId="1" applyNumberFormat="1" applyFont="1" applyFill="1" applyAlignment="1">
      <alignment horizontal="center"/>
    </xf>
    <xf numFmtId="0" fontId="27" fillId="0" borderId="0" xfId="0" applyFont="1" applyFill="1"/>
    <xf numFmtId="18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75" fontId="7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top"/>
    </xf>
    <xf numFmtId="189" fontId="2" fillId="2" borderId="0" xfId="0" applyNumberFormat="1" applyFont="1" applyFill="1" applyBorder="1" applyAlignment="1">
      <alignment horizontal="right" vertical="top"/>
    </xf>
    <xf numFmtId="175" fontId="7" fillId="0" borderId="0" xfId="0" applyNumberFormat="1" applyFont="1" applyFill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/>
    <xf numFmtId="0" fontId="2" fillId="0" borderId="26" xfId="0" applyFont="1" applyBorder="1"/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32" xfId="0" applyBorder="1"/>
    <xf numFmtId="0" fontId="0" fillId="0" borderId="2" xfId="0" applyBorder="1"/>
    <xf numFmtId="0" fontId="0" fillId="0" borderId="25" xfId="0" applyBorder="1"/>
    <xf numFmtId="0" fontId="0" fillId="0" borderId="35" xfId="0" applyBorder="1"/>
    <xf numFmtId="0" fontId="0" fillId="0" borderId="41" xfId="0" applyBorder="1"/>
    <xf numFmtId="167" fontId="2" fillId="2" borderId="36" xfId="3" applyNumberFormat="1" applyFont="1" applyFill="1" applyBorder="1" applyAlignment="1">
      <alignment horizontal="center"/>
    </xf>
    <xf numFmtId="165" fontId="8" fillId="0" borderId="34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67" fontId="2" fillId="0" borderId="1" xfId="3" applyNumberFormat="1" applyFont="1" applyBorder="1"/>
    <xf numFmtId="10" fontId="8" fillId="4" borderId="0" xfId="7" applyNumberFormat="1" applyFont="1" applyFill="1" applyAlignment="1">
      <alignment horizontal="center"/>
    </xf>
    <xf numFmtId="167" fontId="8" fillId="0" borderId="0" xfId="3" applyNumberFormat="1" applyFont="1" applyFill="1"/>
    <xf numFmtId="167" fontId="1" fillId="0" borderId="21" xfId="3" applyNumberFormat="1" applyFill="1" applyBorder="1"/>
    <xf numFmtId="9" fontId="2" fillId="0" borderId="0" xfId="7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167" fontId="7" fillId="2" borderId="0" xfId="3" applyNumberFormat="1" applyFont="1" applyFill="1" applyAlignment="1">
      <alignment horizontal="center"/>
    </xf>
    <xf numFmtId="167" fontId="7" fillId="0" borderId="0" xfId="3" applyNumberFormat="1" applyFont="1" applyFill="1" applyAlignment="1">
      <alignment horizontal="center"/>
    </xf>
    <xf numFmtId="10" fontId="1" fillId="0" borderId="2" xfId="7" applyNumberFormat="1" applyBorder="1"/>
    <xf numFmtId="10" fontId="1" fillId="0" borderId="1" xfId="7" applyNumberFormat="1" applyBorder="1"/>
    <xf numFmtId="10" fontId="1" fillId="0" borderId="3" xfId="7" applyNumberFormat="1" applyBorder="1"/>
    <xf numFmtId="167" fontId="1" fillId="2" borderId="0" xfId="7" applyNumberFormat="1" applyFill="1" applyBorder="1"/>
    <xf numFmtId="165" fontId="0" fillId="2" borderId="0" xfId="0" applyNumberFormat="1" applyFill="1"/>
    <xf numFmtId="10" fontId="1" fillId="2" borderId="0" xfId="7" applyNumberFormat="1" applyFill="1" applyBorder="1"/>
    <xf numFmtId="165" fontId="1" fillId="0" borderId="0" xfId="1" applyNumberFormat="1" applyFont="1" applyFill="1" applyAlignment="1">
      <alignment horizontal="left" indent="1"/>
    </xf>
    <xf numFmtId="0" fontId="0" fillId="4" borderId="0" xfId="0" applyFill="1"/>
    <xf numFmtId="167" fontId="0" fillId="2" borderId="0" xfId="3" applyNumberFormat="1" applyFont="1" applyFill="1"/>
    <xf numFmtId="0" fontId="12" fillId="0" borderId="0" xfId="0" applyFont="1" applyFill="1" applyBorder="1"/>
    <xf numFmtId="0" fontId="4" fillId="0" borderId="0" xfId="0" applyFont="1" applyAlignment="1">
      <alignment horizontal="center"/>
    </xf>
    <xf numFmtId="165" fontId="1" fillId="2" borderId="0" xfId="1" applyNumberFormat="1" applyFill="1" applyBorder="1"/>
    <xf numFmtId="165" fontId="1" fillId="2" borderId="0" xfId="1" applyNumberFormat="1" applyFill="1" applyAlignment="1">
      <alignment horizontal="right"/>
    </xf>
    <xf numFmtId="0" fontId="4" fillId="0" borderId="0" xfId="0" applyFont="1" applyFill="1" applyAlignment="1">
      <alignment horizontal="center"/>
    </xf>
    <xf numFmtId="165" fontId="1" fillId="2" borderId="1" xfId="1" applyNumberFormat="1" applyFill="1" applyBorder="1"/>
    <xf numFmtId="165" fontId="1" fillId="0" borderId="0" xfId="1" applyNumberFormat="1" applyFill="1" applyAlignment="1">
      <alignment horizontal="center"/>
    </xf>
    <xf numFmtId="165" fontId="1" fillId="0" borderId="0" xfId="1" applyNumberFormat="1" applyFont="1" applyAlignment="1">
      <alignment horizontal="right"/>
    </xf>
    <xf numFmtId="166" fontId="7" fillId="0" borderId="0" xfId="0" applyNumberFormat="1" applyFont="1"/>
    <xf numFmtId="166" fontId="0" fillId="0" borderId="0" xfId="0" applyNumberFormat="1" applyFill="1" applyAlignment="1">
      <alignment horizontal="center"/>
    </xf>
    <xf numFmtId="0" fontId="2" fillId="0" borderId="42" xfId="0" applyFont="1" applyBorder="1" applyAlignment="1">
      <alignment horizontal="center" wrapText="1"/>
    </xf>
    <xf numFmtId="0" fontId="3" fillId="0" borderId="2" xfId="0" applyFont="1" applyBorder="1"/>
    <xf numFmtId="9" fontId="7" fillId="0" borderId="1" xfId="7" applyFont="1" applyBorder="1"/>
    <xf numFmtId="0" fontId="2" fillId="0" borderId="43" xfId="0" applyFont="1" applyFill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9" fontId="4" fillId="0" borderId="0" xfId="7" applyFont="1" applyAlignment="1">
      <alignment horizontal="right"/>
    </xf>
    <xf numFmtId="9" fontId="1" fillId="4" borderId="0" xfId="7" applyFill="1" applyBorder="1"/>
    <xf numFmtId="9" fontId="1" fillId="0" borderId="0" xfId="7" applyAlignment="1">
      <alignment horizontal="right"/>
    </xf>
    <xf numFmtId="0" fontId="0" fillId="0" borderId="45" xfId="0" applyBorder="1"/>
    <xf numFmtId="0" fontId="2" fillId="0" borderId="42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9" fontId="7" fillId="4" borderId="0" xfId="7" applyFont="1" applyFill="1"/>
    <xf numFmtId="165" fontId="0" fillId="0" borderId="0" xfId="0" applyNumberFormat="1" applyFill="1"/>
    <xf numFmtId="0" fontId="2" fillId="0" borderId="44" xfId="0" applyFont="1" applyBorder="1"/>
    <xf numFmtId="167" fontId="7" fillId="0" borderId="21" xfId="3" applyNumberFormat="1" applyFont="1" applyBorder="1"/>
    <xf numFmtId="167" fontId="1" fillId="2" borderId="0" xfId="3" applyNumberFormat="1" applyFill="1" applyAlignment="1">
      <alignment horizontal="center"/>
    </xf>
    <xf numFmtId="164" fontId="18" fillId="0" borderId="0" xfId="1" applyNumberFormat="1" applyFont="1" applyFill="1" applyAlignment="1">
      <alignment horizontal="center"/>
    </xf>
    <xf numFmtId="165" fontId="2" fillId="0" borderId="35" xfId="1" applyNumberFormat="1" applyFont="1" applyBorder="1" applyAlignment="1">
      <alignment horizontal="right"/>
    </xf>
    <xf numFmtId="168" fontId="42" fillId="0" borderId="0" xfId="0" applyNumberFormat="1" applyFont="1" applyFill="1" applyAlignment="1">
      <alignment horizontal="center"/>
    </xf>
    <xf numFmtId="165" fontId="1" fillId="0" borderId="0" xfId="1" applyNumberFormat="1" applyFont="1" applyFill="1" applyBorder="1" applyAlignment="1">
      <alignment horizontal="right"/>
    </xf>
    <xf numFmtId="44" fontId="1" fillId="0" borderId="0" xfId="3" applyBorder="1"/>
    <xf numFmtId="44" fontId="1" fillId="0" borderId="16" xfId="3" applyBorder="1"/>
    <xf numFmtId="167" fontId="1" fillId="0" borderId="0" xfId="3" applyNumberFormat="1" applyBorder="1"/>
    <xf numFmtId="167" fontId="1" fillId="0" borderId="16" xfId="3" applyNumberFormat="1" applyBorder="1"/>
    <xf numFmtId="205" fontId="7" fillId="0" borderId="21" xfId="1" applyNumberFormat="1" applyFont="1" applyBorder="1"/>
    <xf numFmtId="205" fontId="7" fillId="0" borderId="17" xfId="1" applyNumberFormat="1" applyFont="1" applyBorder="1"/>
    <xf numFmtId="173" fontId="1" fillId="0" borderId="26" xfId="3" applyNumberFormat="1" applyBorder="1"/>
    <xf numFmtId="173" fontId="1" fillId="0" borderId="36" xfId="3" applyNumberFormat="1" applyBorder="1"/>
    <xf numFmtId="165" fontId="2" fillId="0" borderId="22" xfId="1" applyNumberFormat="1" applyFont="1" applyBorder="1" applyAlignment="1">
      <alignment horizontal="right"/>
    </xf>
    <xf numFmtId="167" fontId="2" fillId="0" borderId="17" xfId="3" applyNumberFormat="1" applyFont="1" applyFill="1" applyBorder="1"/>
    <xf numFmtId="165" fontId="2" fillId="3" borderId="15" xfId="1" applyNumberFormat="1" applyFont="1" applyFill="1" applyBorder="1"/>
    <xf numFmtId="165" fontId="2" fillId="3" borderId="12" xfId="1" applyNumberFormat="1" applyFont="1" applyFill="1" applyBorder="1"/>
    <xf numFmtId="165" fontId="2" fillId="3" borderId="13" xfId="1" applyNumberFormat="1" applyFont="1" applyFill="1" applyBorder="1"/>
    <xf numFmtId="0" fontId="5" fillId="0" borderId="2" xfId="0" applyFont="1" applyBorder="1"/>
    <xf numFmtId="0" fontId="7" fillId="0" borderId="0" xfId="0" applyFont="1" applyAlignment="1">
      <alignment horizontal="left" indent="1"/>
    </xf>
    <xf numFmtId="183" fontId="2" fillId="4" borderId="0" xfId="0" applyNumberFormat="1" applyFont="1" applyFill="1" applyAlignment="1">
      <alignment horizontal="center"/>
    </xf>
    <xf numFmtId="167" fontId="8" fillId="0" borderId="0" xfId="3" applyNumberFormat="1" applyFont="1"/>
    <xf numFmtId="168" fontId="2" fillId="4" borderId="0" xfId="1" applyNumberFormat="1" applyFont="1" applyFill="1" applyAlignment="1">
      <alignment horizontal="center"/>
    </xf>
    <xf numFmtId="0" fontId="43" fillId="4" borderId="1" xfId="0" applyFont="1" applyFill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203" fontId="7" fillId="0" borderId="0" xfId="0" applyNumberFormat="1" applyFont="1"/>
    <xf numFmtId="165" fontId="2" fillId="0" borderId="1" xfId="1" applyNumberFormat="1" applyFont="1" applyBorder="1"/>
    <xf numFmtId="164" fontId="2" fillId="2" borderId="0" xfId="1" applyNumberFormat="1" applyFont="1" applyFill="1"/>
    <xf numFmtId="165" fontId="2" fillId="2" borderId="3" xfId="1" applyNumberFormat="1" applyFont="1" applyFill="1" applyBorder="1"/>
    <xf numFmtId="165" fontId="8" fillId="0" borderId="0" xfId="1" applyNumberFormat="1" applyFont="1"/>
    <xf numFmtId="165" fontId="8" fillId="0" borderId="21" xfId="1" applyNumberFormat="1" applyFont="1" applyBorder="1"/>
    <xf numFmtId="165" fontId="8" fillId="4" borderId="0" xfId="1" applyNumberFormat="1" applyFont="1" applyFill="1"/>
    <xf numFmtId="167" fontId="8" fillId="4" borderId="0" xfId="7" applyNumberFormat="1" applyFont="1" applyFill="1"/>
    <xf numFmtId="165" fontId="2" fillId="0" borderId="0" xfId="1" applyNumberFormat="1" applyFont="1" applyFill="1" applyBorder="1"/>
    <xf numFmtId="165" fontId="2" fillId="0" borderId="36" xfId="1" applyNumberFormat="1" applyFont="1" applyFill="1" applyBorder="1"/>
    <xf numFmtId="1" fontId="2" fillId="0" borderId="21" xfId="0" applyNumberFormat="1" applyFont="1" applyBorder="1" applyAlignment="1">
      <alignment horizontal="center"/>
    </xf>
    <xf numFmtId="165" fontId="0" fillId="0" borderId="1" xfId="0" applyNumberFormat="1" applyBorder="1"/>
    <xf numFmtId="165" fontId="2" fillId="0" borderId="0" xfId="1" applyNumberFormat="1" applyFont="1" applyFill="1"/>
    <xf numFmtId="1" fontId="2" fillId="0" borderId="0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165" fontId="2" fillId="2" borderId="0" xfId="1" applyNumberFormat="1" applyFont="1" applyFill="1" applyBorder="1"/>
    <xf numFmtId="9" fontId="7" fillId="0" borderId="0" xfId="7" applyFont="1"/>
    <xf numFmtId="0" fontId="2" fillId="3" borderId="0" xfId="6" applyFont="1" applyFill="1"/>
    <xf numFmtId="0" fontId="7" fillId="6" borderId="0" xfId="0" applyFont="1" applyFill="1" applyAlignment="1">
      <alignment vertical="center" wrapText="1"/>
    </xf>
    <xf numFmtId="0" fontId="28" fillId="6" borderId="0" xfId="0" applyFont="1" applyFill="1" applyAlignment="1">
      <alignment horizontal="center" vertical="center" wrapText="1"/>
    </xf>
    <xf numFmtId="167" fontId="7" fillId="0" borderId="19" xfId="3" applyNumberFormat="1" applyFont="1" applyBorder="1"/>
    <xf numFmtId="175" fontId="28" fillId="0" borderId="0" xfId="0" applyNumberFormat="1" applyFont="1" applyFill="1" applyBorder="1" applyAlignment="1">
      <alignment horizontal="right"/>
    </xf>
    <xf numFmtId="165" fontId="0" fillId="0" borderId="1" xfId="0" applyNumberFormat="1" applyFill="1" applyBorder="1"/>
    <xf numFmtId="165" fontId="8" fillId="0" borderId="0" xfId="1" applyNumberFormat="1" applyFont="1" applyFill="1"/>
    <xf numFmtId="165" fontId="42" fillId="0" borderId="0" xfId="1" applyNumberFormat="1" applyFont="1" applyFill="1" applyAlignment="1">
      <alignment horizontal="center"/>
    </xf>
    <xf numFmtId="165" fontId="46" fillId="0" borderId="0" xfId="1" applyNumberFormat="1" applyFont="1" applyFill="1"/>
    <xf numFmtId="165" fontId="46" fillId="0" borderId="0" xfId="0" applyNumberFormat="1" applyFont="1"/>
    <xf numFmtId="165" fontId="8" fillId="0" borderId="0" xfId="0" applyNumberFormat="1" applyFont="1" applyFill="1"/>
    <xf numFmtId="165" fontId="8" fillId="0" borderId="0" xfId="0" applyNumberFormat="1" applyFont="1"/>
    <xf numFmtId="165" fontId="46" fillId="0" borderId="0" xfId="1" applyNumberFormat="1" applyFont="1" applyFill="1" applyAlignment="1">
      <alignment horizontal="center"/>
    </xf>
    <xf numFmtId="1" fontId="2" fillId="2" borderId="1" xfId="0" applyNumberFormat="1" applyFont="1" applyFill="1" applyBorder="1"/>
    <xf numFmtId="1" fontId="2" fillId="0" borderId="1" xfId="0" applyNumberFormat="1" applyFont="1" applyFill="1" applyBorder="1"/>
    <xf numFmtId="1" fontId="2" fillId="0" borderId="1" xfId="0" applyNumberFormat="1" applyFont="1" applyBorder="1"/>
    <xf numFmtId="165" fontId="2" fillId="3" borderId="46" xfId="1" applyNumberFormat="1" applyFont="1" applyFill="1" applyBorder="1"/>
    <xf numFmtId="167" fontId="0" fillId="0" borderId="47" xfId="3" applyNumberFormat="1" applyFont="1" applyBorder="1"/>
    <xf numFmtId="10" fontId="2" fillId="4" borderId="1" xfId="7" applyNumberFormat="1" applyFont="1" applyFill="1" applyBorder="1" applyAlignment="1">
      <alignment horizontal="center"/>
    </xf>
    <xf numFmtId="0" fontId="0" fillId="3" borderId="0" xfId="0" applyFill="1"/>
    <xf numFmtId="166" fontId="41" fillId="4" borderId="17" xfId="7" applyNumberFormat="1" applyFont="1" applyFill="1" applyBorder="1" applyAlignment="1">
      <alignment horizontal="center"/>
    </xf>
    <xf numFmtId="165" fontId="0" fillId="0" borderId="0" xfId="1" applyNumberFormat="1" applyFont="1" applyAlignment="1">
      <alignment horizontal="left" indent="2"/>
    </xf>
    <xf numFmtId="43" fontId="7" fillId="0" borderId="21" xfId="0" applyNumberFormat="1" applyFont="1" applyBorder="1"/>
    <xf numFmtId="9" fontId="2" fillId="0" borderId="1" xfId="0" applyNumberFormat="1" applyFont="1" applyFill="1" applyBorder="1"/>
    <xf numFmtId="9" fontId="2" fillId="0" borderId="1" xfId="0" applyNumberFormat="1" applyFont="1" applyBorder="1"/>
    <xf numFmtId="9" fontId="2" fillId="0" borderId="1" xfId="7" applyFont="1" applyFill="1" applyBorder="1"/>
    <xf numFmtId="10" fontId="2" fillId="0" borderId="0" xfId="0" applyNumberFormat="1" applyFont="1" applyFill="1" applyBorder="1"/>
    <xf numFmtId="0" fontId="2" fillId="3" borderId="0" xfId="0" applyFont="1" applyFill="1"/>
    <xf numFmtId="0" fontId="2" fillId="0" borderId="1" xfId="6" applyFont="1" applyBorder="1"/>
    <xf numFmtId="9" fontId="0" fillId="0" borderId="0" xfId="7" applyFont="1"/>
    <xf numFmtId="9" fontId="3" fillId="2" borderId="0" xfId="7" applyFont="1" applyFill="1"/>
    <xf numFmtId="9" fontId="3" fillId="0" borderId="0" xfId="7" applyFont="1" applyFill="1"/>
    <xf numFmtId="165" fontId="0" fillId="0" borderId="0" xfId="1" applyNumberFormat="1" applyFont="1" applyFill="1" applyAlignment="1">
      <alignment horizontal="left" indent="2"/>
    </xf>
    <xf numFmtId="9" fontId="0" fillId="0" borderId="1" xfId="0" applyNumberFormat="1" applyBorder="1"/>
    <xf numFmtId="9" fontId="7" fillId="0" borderId="21" xfId="7" applyFont="1" applyFill="1" applyBorder="1"/>
    <xf numFmtId="165" fontId="2" fillId="0" borderId="21" xfId="0" applyNumberFormat="1" applyFont="1" applyBorder="1"/>
    <xf numFmtId="43" fontId="0" fillId="0" borderId="21" xfId="0" applyNumberFormat="1" applyBorder="1"/>
    <xf numFmtId="6" fontId="0" fillId="0" borderId="1" xfId="0" applyNumberFormat="1" applyBorder="1"/>
    <xf numFmtId="9" fontId="7" fillId="0" borderId="0" xfId="0" applyNumberFormat="1" applyFont="1" applyFill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9" fontId="38" fillId="0" borderId="1" xfId="0" applyNumberFormat="1" applyFont="1" applyBorder="1" applyAlignment="1">
      <alignment horizontal="center"/>
    </xf>
    <xf numFmtId="183" fontId="7" fillId="0" borderId="19" xfId="0" applyNumberFormat="1" applyFont="1" applyBorder="1" applyAlignment="1">
      <alignment horizontal="center"/>
    </xf>
    <xf numFmtId="183" fontId="7" fillId="0" borderId="0" xfId="0" applyNumberFormat="1" applyFont="1" applyBorder="1" applyAlignment="1">
      <alignment horizontal="center"/>
    </xf>
    <xf numFmtId="183" fontId="7" fillId="0" borderId="21" xfId="0" applyNumberFormat="1" applyFont="1" applyBorder="1" applyAlignment="1">
      <alignment horizontal="center"/>
    </xf>
    <xf numFmtId="0" fontId="8" fillId="0" borderId="0" xfId="0" applyFont="1" applyBorder="1"/>
    <xf numFmtId="0" fontId="2" fillId="0" borderId="0" xfId="6" applyFont="1" applyBorder="1"/>
    <xf numFmtId="9" fontId="38" fillId="0" borderId="0" xfId="0" applyNumberFormat="1" applyFont="1" applyBorder="1" applyAlignment="1">
      <alignment horizontal="center"/>
    </xf>
    <xf numFmtId="0" fontId="13" fillId="0" borderId="0" xfId="6" applyFont="1" applyBorder="1"/>
    <xf numFmtId="0" fontId="8" fillId="6" borderId="0" xfId="0" applyFont="1" applyFill="1"/>
    <xf numFmtId="0" fontId="7" fillId="0" borderId="21" xfId="6" applyFont="1" applyBorder="1"/>
    <xf numFmtId="0" fontId="40" fillId="6" borderId="20" xfId="0" applyFont="1" applyFill="1" applyBorder="1"/>
    <xf numFmtId="165" fontId="7" fillId="0" borderId="33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right"/>
    </xf>
    <xf numFmtId="165" fontId="2" fillId="3" borderId="48" xfId="1" applyNumberFormat="1" applyFont="1" applyFill="1" applyBorder="1"/>
    <xf numFmtId="165" fontId="2" fillId="3" borderId="42" xfId="1" applyNumberFormat="1" applyFont="1" applyFill="1" applyBorder="1"/>
    <xf numFmtId="164" fontId="2" fillId="3" borderId="12" xfId="1" applyNumberFormat="1" applyFont="1" applyFill="1" applyBorder="1" applyAlignment="1">
      <alignment horizontal="left"/>
    </xf>
    <xf numFmtId="227" fontId="0" fillId="0" borderId="0" xfId="1" applyNumberFormat="1" applyFont="1"/>
    <xf numFmtId="0" fontId="20" fillId="0" borderId="9" xfId="0" applyFont="1" applyBorder="1"/>
    <xf numFmtId="165" fontId="0" fillId="0" borderId="21" xfId="1" applyNumberFormat="1" applyFont="1" applyBorder="1"/>
    <xf numFmtId="10" fontId="8" fillId="4" borderId="0" xfId="7" applyNumberFormat="1" applyFont="1" applyFill="1" applyBorder="1" applyAlignment="1">
      <alignment horizontal="center"/>
    </xf>
    <xf numFmtId="165" fontId="0" fillId="0" borderId="16" xfId="1" applyNumberFormat="1" applyFont="1" applyBorder="1"/>
    <xf numFmtId="0" fontId="2" fillId="0" borderId="22" xfId="0" applyFont="1" applyFill="1" applyBorder="1"/>
    <xf numFmtId="165" fontId="8" fillId="4" borderId="0" xfId="1" applyNumberFormat="1" applyFont="1" applyFill="1" applyBorder="1"/>
    <xf numFmtId="165" fontId="8" fillId="4" borderId="16" xfId="1" applyNumberFormat="1" applyFont="1" applyFill="1" applyBorder="1"/>
    <xf numFmtId="0" fontId="2" fillId="0" borderId="18" xfId="0" applyFont="1" applyFill="1" applyBorder="1"/>
    <xf numFmtId="165" fontId="0" fillId="0" borderId="19" xfId="1" applyNumberFormat="1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22" xfId="0" applyFont="1" applyBorder="1"/>
    <xf numFmtId="10" fontId="0" fillId="0" borderId="21" xfId="0" applyNumberFormat="1" applyBorder="1"/>
    <xf numFmtId="10" fontId="0" fillId="0" borderId="17" xfId="0" applyNumberFormat="1" applyBorder="1"/>
    <xf numFmtId="165" fontId="8" fillId="4" borderId="21" xfId="1" applyNumberFormat="1" applyFont="1" applyFill="1" applyBorder="1"/>
    <xf numFmtId="165" fontId="8" fillId="4" borderId="17" xfId="1" applyNumberFormat="1" applyFont="1" applyFill="1" applyBorder="1"/>
    <xf numFmtId="165" fontId="0" fillId="0" borderId="0" xfId="0" applyNumberFormat="1" applyFill="1" applyBorder="1"/>
    <xf numFmtId="165" fontId="8" fillId="2" borderId="30" xfId="1" applyNumberFormat="1" applyFont="1" applyFill="1" applyBorder="1"/>
    <xf numFmtId="165" fontId="8" fillId="2" borderId="21" xfId="1" applyNumberFormat="1" applyFont="1" applyFill="1" applyBorder="1"/>
    <xf numFmtId="167" fontId="8" fillId="2" borderId="0" xfId="0" applyNumberFormat="1" applyFont="1" applyFill="1"/>
    <xf numFmtId="165" fontId="42" fillId="0" borderId="0" xfId="1" applyNumberFormat="1" applyFont="1"/>
    <xf numFmtId="10" fontId="0" fillId="0" borderId="2" xfId="7" applyNumberFormat="1" applyFont="1" applyFill="1" applyBorder="1"/>
    <xf numFmtId="10" fontId="0" fillId="0" borderId="1" xfId="7" applyNumberFormat="1" applyFont="1" applyBorder="1"/>
    <xf numFmtId="10" fontId="0" fillId="0" borderId="3" xfId="7" applyNumberFormat="1" applyFont="1" applyBorder="1"/>
    <xf numFmtId="10" fontId="1" fillId="0" borderId="2" xfId="7" applyNumberFormat="1" applyFill="1" applyBorder="1"/>
    <xf numFmtId="10" fontId="0" fillId="0" borderId="2" xfId="7" applyNumberFormat="1" applyFont="1" applyBorder="1"/>
    <xf numFmtId="10" fontId="0" fillId="0" borderId="1" xfId="0" applyNumberFormat="1" applyBorder="1"/>
    <xf numFmtId="10" fontId="1" fillId="0" borderId="21" xfId="7" applyNumberFormat="1" applyBorder="1"/>
    <xf numFmtId="0" fontId="4" fillId="0" borderId="0" xfId="0" applyFont="1" applyBorder="1" applyAlignment="1">
      <alignment horizontal="left"/>
    </xf>
    <xf numFmtId="0" fontId="9" fillId="0" borderId="21" xfId="0" applyFont="1" applyBorder="1"/>
    <xf numFmtId="165" fontId="0" fillId="2" borderId="21" xfId="1" applyNumberFormat="1" applyFont="1" applyFill="1" applyBorder="1"/>
    <xf numFmtId="165" fontId="0" fillId="0" borderId="21" xfId="1" applyNumberFormat="1" applyFont="1" applyFill="1" applyBorder="1"/>
    <xf numFmtId="0" fontId="9" fillId="0" borderId="0" xfId="0" applyFont="1" applyBorder="1"/>
    <xf numFmtId="0" fontId="2" fillId="0" borderId="1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0" fontId="2" fillId="0" borderId="1" xfId="0" applyFont="1" applyFill="1" applyBorder="1" applyAlignment="1">
      <alignment horizontal="right"/>
    </xf>
    <xf numFmtId="165" fontId="0" fillId="0" borderId="0" xfId="1" applyNumberFormat="1" applyFont="1" applyBorder="1" applyAlignment="1">
      <alignment horizontal="right"/>
    </xf>
    <xf numFmtId="165" fontId="7" fillId="0" borderId="0" xfId="1" applyNumberFormat="1" applyFont="1" applyBorder="1" applyAlignment="1">
      <alignment horizontal="right"/>
    </xf>
    <xf numFmtId="165" fontId="2" fillId="0" borderId="1" xfId="1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left"/>
    </xf>
    <xf numFmtId="9" fontId="2" fillId="0" borderId="0" xfId="7" applyFont="1" applyBorder="1"/>
    <xf numFmtId="10" fontId="1" fillId="4" borderId="2" xfId="7" applyNumberFormat="1" applyFill="1" applyBorder="1"/>
    <xf numFmtId="10" fontId="8" fillId="4" borderId="21" xfId="0" applyNumberFormat="1" applyFont="1" applyFill="1" applyBorder="1" applyAlignment="1">
      <alignment horizontal="center"/>
    </xf>
    <xf numFmtId="166" fontId="0" fillId="4" borderId="21" xfId="7" applyNumberFormat="1" applyFont="1" applyFill="1" applyBorder="1" applyAlignment="1">
      <alignment horizontal="center"/>
    </xf>
    <xf numFmtId="0" fontId="8" fillId="4" borderId="21" xfId="0" applyFont="1" applyFill="1" applyBorder="1" applyAlignment="1">
      <alignment horizontal="center"/>
    </xf>
    <xf numFmtId="166" fontId="7" fillId="0" borderId="21" xfId="0" applyNumberFormat="1" applyFont="1" applyFill="1" applyBorder="1" applyAlignment="1">
      <alignment horizontal="center"/>
    </xf>
    <xf numFmtId="166" fontId="8" fillId="4" borderId="21" xfId="0" applyNumberFormat="1" applyFont="1" applyFill="1" applyBorder="1" applyAlignment="1">
      <alignment horizontal="center"/>
    </xf>
    <xf numFmtId="0" fontId="0" fillId="0" borderId="0" xfId="1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6" fontId="0" fillId="0" borderId="0" xfId="7" applyNumberFormat="1" applyFont="1" applyFill="1" applyBorder="1" applyAlignment="1">
      <alignment horizontal="center"/>
    </xf>
    <xf numFmtId="167" fontId="2" fillId="0" borderId="0" xfId="0" applyNumberFormat="1" applyFont="1" applyBorder="1"/>
    <xf numFmtId="0" fontId="7" fillId="0" borderId="0" xfId="6" applyFont="1" applyBorder="1"/>
    <xf numFmtId="9" fontId="7" fillId="0" borderId="0" xfId="0" applyNumberFormat="1" applyFont="1" applyFill="1" applyBorder="1" applyAlignment="1">
      <alignment horizontal="center"/>
    </xf>
    <xf numFmtId="9" fontId="8" fillId="0" borderId="1" xfId="0" applyNumberFormat="1" applyFont="1" applyFill="1" applyBorder="1" applyAlignment="1">
      <alignment horizontal="center"/>
    </xf>
    <xf numFmtId="9" fontId="2" fillId="3" borderId="43" xfId="7" applyFont="1" applyFill="1" applyBorder="1"/>
    <xf numFmtId="9" fontId="2" fillId="3" borderId="42" xfId="7" applyFont="1" applyFill="1" applyBorder="1"/>
    <xf numFmtId="165" fontId="0" fillId="4" borderId="17" xfId="1" applyNumberFormat="1" applyFont="1" applyFill="1" applyBorder="1" applyAlignment="1">
      <alignment horizontal="center"/>
    </xf>
    <xf numFmtId="165" fontId="7" fillId="0" borderId="0" xfId="1" applyNumberFormat="1" applyFont="1" applyBorder="1"/>
    <xf numFmtId="165" fontId="7" fillId="0" borderId="21" xfId="1" applyNumberFormat="1" applyFont="1" applyBorder="1"/>
    <xf numFmtId="0" fontId="0" fillId="6" borderId="16" xfId="0" applyFill="1" applyBorder="1"/>
    <xf numFmtId="165" fontId="0" fillId="0" borderId="16" xfId="1" applyNumberFormat="1" applyFont="1" applyFill="1" applyBorder="1"/>
    <xf numFmtId="165" fontId="7" fillId="0" borderId="17" xfId="1" applyNumberFormat="1" applyFont="1" applyFill="1" applyBorder="1"/>
    <xf numFmtId="9" fontId="7" fillId="0" borderId="23" xfId="7" applyFont="1" applyFill="1" applyBorder="1"/>
    <xf numFmtId="189" fontId="2" fillId="0" borderId="0" xfId="0" applyNumberFormat="1" applyFont="1" applyBorder="1" applyAlignment="1">
      <alignment horizontal="left" vertical="top"/>
    </xf>
    <xf numFmtId="10" fontId="1" fillId="4" borderId="1" xfId="7" applyNumberFormat="1" applyFill="1" applyBorder="1"/>
    <xf numFmtId="10" fontId="8" fillId="4" borderId="2" xfId="7" applyNumberFormat="1" applyFont="1" applyFill="1" applyBorder="1"/>
    <xf numFmtId="10" fontId="8" fillId="4" borderId="1" xfId="7" applyNumberFormat="1" applyFont="1" applyFill="1" applyBorder="1"/>
    <xf numFmtId="10" fontId="1" fillId="4" borderId="3" xfId="7" applyNumberFormat="1" applyFill="1" applyBorder="1"/>
    <xf numFmtId="167" fontId="8" fillId="0" borderId="0" xfId="3" applyNumberFormat="1" applyFont="1" applyFill="1" applyBorder="1"/>
    <xf numFmtId="167" fontId="8" fillId="0" borderId="21" xfId="3" applyNumberFormat="1" applyFont="1" applyFill="1" applyBorder="1"/>
    <xf numFmtId="167" fontId="42" fillId="0" borderId="0" xfId="3" applyNumberFormat="1" applyFont="1"/>
    <xf numFmtId="167" fontId="42" fillId="2" borderId="0" xfId="0" applyNumberFormat="1" applyFont="1" applyFill="1"/>
    <xf numFmtId="167" fontId="7" fillId="2" borderId="0" xfId="3" applyNumberFormat="1" applyFont="1" applyFill="1"/>
    <xf numFmtId="166" fontId="7" fillId="0" borderId="0" xfId="7" applyNumberFormat="1" applyFont="1" applyFill="1" applyAlignment="1">
      <alignment horizontal="center"/>
    </xf>
    <xf numFmtId="9" fontId="0" fillId="2" borderId="0" xfId="7" applyFont="1" applyFill="1" applyBorder="1"/>
    <xf numFmtId="9" fontId="3" fillId="2" borderId="0" xfId="7" applyFont="1" applyFill="1" applyBorder="1"/>
    <xf numFmtId="9" fontId="8" fillId="0" borderId="0" xfId="0" applyNumberFormat="1" applyFont="1" applyFill="1" applyAlignment="1">
      <alignment horizontal="center"/>
    </xf>
    <xf numFmtId="9" fontId="8" fillId="0" borderId="42" xfId="0" applyNumberFormat="1" applyFont="1" applyFill="1" applyBorder="1" applyAlignment="1">
      <alignment horizontal="center"/>
    </xf>
    <xf numFmtId="41" fontId="0" fillId="0" borderId="0" xfId="0" applyNumberFormat="1"/>
    <xf numFmtId="41" fontId="7" fillId="0" borderId="0" xfId="0" applyNumberFormat="1" applyFont="1"/>
    <xf numFmtId="0" fontId="2" fillId="0" borderId="23" xfId="0" applyFont="1" applyBorder="1" applyAlignment="1">
      <alignment horizontal="center"/>
    </xf>
    <xf numFmtId="44" fontId="0" fillId="0" borderId="16" xfId="0" applyNumberFormat="1" applyBorder="1" applyAlignment="1">
      <alignment horizontal="center"/>
    </xf>
    <xf numFmtId="41" fontId="0" fillId="0" borderId="0" xfId="3" applyNumberFormat="1" applyFont="1"/>
    <xf numFmtId="41" fontId="0" fillId="0" borderId="0" xfId="3" applyNumberFormat="1" applyFont="1" applyBorder="1"/>
    <xf numFmtId="41" fontId="0" fillId="0" borderId="21" xfId="3" applyNumberFormat="1" applyFont="1" applyBorder="1"/>
    <xf numFmtId="0" fontId="28" fillId="6" borderId="0" xfId="0" applyFont="1" applyFill="1" applyBorder="1" applyAlignment="1">
      <alignment horizontal="center" vertical="center" wrapText="1"/>
    </xf>
    <xf numFmtId="42" fontId="7" fillId="0" borderId="0" xfId="0" applyNumberFormat="1" applyFont="1" applyBorder="1"/>
    <xf numFmtId="42" fontId="7" fillId="0" borderId="1" xfId="0" applyNumberFormat="1" applyFont="1" applyBorder="1"/>
    <xf numFmtId="167" fontId="1" fillId="0" borderId="0" xfId="3" applyNumberFormat="1" applyFont="1"/>
    <xf numFmtId="0" fontId="44" fillId="6" borderId="14" xfId="0" applyFont="1" applyFill="1" applyBorder="1" applyAlignment="1">
      <alignment horizontal="center"/>
    </xf>
    <xf numFmtId="0" fontId="44" fillId="6" borderId="7" xfId="0" applyFont="1" applyFill="1" applyBorder="1" applyAlignment="1">
      <alignment horizontal="center"/>
    </xf>
    <xf numFmtId="0" fontId="44" fillId="6" borderId="8" xfId="0" applyFont="1" applyFill="1" applyBorder="1" applyAlignment="1">
      <alignment horizontal="center"/>
    </xf>
    <xf numFmtId="0" fontId="43" fillId="4" borderId="9" xfId="0" applyFont="1" applyFill="1" applyBorder="1" applyAlignment="1">
      <alignment horizontal="center"/>
    </xf>
    <xf numFmtId="0" fontId="43" fillId="4" borderId="16" xfId="0" applyFont="1" applyFill="1" applyBorder="1" applyAlignment="1">
      <alignment horizontal="center"/>
    </xf>
    <xf numFmtId="0" fontId="43" fillId="4" borderId="20" xfId="0" applyFont="1" applyFill="1" applyBorder="1" applyAlignment="1">
      <alignment horizontal="center"/>
    </xf>
    <xf numFmtId="0" fontId="43" fillId="4" borderId="10" xfId="0" applyFont="1" applyFill="1" applyBorder="1" applyAlignment="1">
      <alignment horizontal="center"/>
    </xf>
    <xf numFmtId="165" fontId="19" fillId="3" borderId="14" xfId="1" applyNumberFormat="1" applyFont="1" applyFill="1" applyBorder="1" applyAlignment="1">
      <alignment horizontal="center"/>
    </xf>
    <xf numFmtId="165" fontId="19" fillId="3" borderId="7" xfId="1" applyNumberFormat="1" applyFont="1" applyFill="1" applyBorder="1" applyAlignment="1">
      <alignment horizontal="center"/>
    </xf>
    <xf numFmtId="165" fontId="19" fillId="3" borderId="8" xfId="1" applyNumberFormat="1" applyFont="1" applyFill="1" applyBorder="1" applyAlignment="1">
      <alignment horizontal="center"/>
    </xf>
    <xf numFmtId="0" fontId="13" fillId="0" borderId="11" xfId="0" applyFont="1" applyFill="1" applyBorder="1" applyAlignment="1">
      <alignment horizontal="left"/>
    </xf>
    <xf numFmtId="0" fontId="13" fillId="0" borderId="12" xfId="0" applyFont="1" applyFill="1" applyBorder="1" applyAlignment="1">
      <alignment horizontal="left"/>
    </xf>
    <xf numFmtId="0" fontId="13" fillId="0" borderId="13" xfId="0" applyFont="1" applyFill="1" applyBorder="1" applyAlignment="1">
      <alignment horizontal="left"/>
    </xf>
    <xf numFmtId="0" fontId="28" fillId="6" borderId="14" xfId="0" applyFont="1" applyFill="1" applyBorder="1" applyAlignment="1">
      <alignment horizontal="center"/>
    </xf>
    <xf numFmtId="0" fontId="28" fillId="6" borderId="7" xfId="0" applyFont="1" applyFill="1" applyBorder="1" applyAlignment="1">
      <alignment horizontal="center"/>
    </xf>
    <xf numFmtId="0" fontId="28" fillId="6" borderId="8" xfId="0" applyFont="1" applyFill="1" applyBorder="1" applyAlignment="1">
      <alignment horizontal="center"/>
    </xf>
    <xf numFmtId="165" fontId="6" fillId="3" borderId="7" xfId="1" applyNumberFormat="1" applyFont="1" applyFill="1" applyBorder="1" applyAlignment="1">
      <alignment horizontal="center"/>
    </xf>
    <xf numFmtId="165" fontId="6" fillId="3" borderId="8" xfId="1" applyNumberFormat="1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9">
    <cellStyle name="Comma" xfId="1" builtinId="3"/>
    <cellStyle name="Comma_Crane SSB DCF08_30_00(6)" xfId="2"/>
    <cellStyle name="Currency" xfId="3" builtinId="4"/>
    <cellStyle name="Normal" xfId="0" builtinId="0"/>
    <cellStyle name="Normal_CONSOLIDATED" xfId="4"/>
    <cellStyle name="Normal_Crane SSB DCF08_30_00(6)" xfId="5"/>
    <cellStyle name="Normal_Project Zen~Full DCF 211299" xfId="6"/>
    <cellStyle name="Percent" xfId="7" builtinId="5"/>
    <cellStyle name="Table Title" xfId="8"/>
  </cellStyles>
  <dxfs count="7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externalLink" Target="externalLinks/externalLink7.xml"/><Relationship Id="rId30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828675</xdr:colOff>
          <xdr:row>12</xdr:row>
          <xdr:rowOff>142875</xdr:rowOff>
        </xdr:from>
        <xdr:to>
          <xdr:col>3</xdr:col>
          <xdr:colOff>457200</xdr:colOff>
          <xdr:row>13</xdr:row>
          <xdr:rowOff>180975</xdr:rowOff>
        </xdr:to>
        <xdr:sp macro="" textlink="">
          <xdr:nvSpPr>
            <xdr:cNvPr id="38928" name="Button 16" hidden="1">
              <a:extLst>
                <a:ext uri="{63B3BB69-23CF-44E3-9099-C40C66FF867C}">
                  <a14:compatExt spid="_x0000_s38928"/>
                </a:ext>
                <a:ext uri="{FF2B5EF4-FFF2-40B4-BE49-F238E27FC236}">
                  <a16:creationId xmlns:a16="http://schemas.microsoft.com/office/drawing/2014/main" id="{72130717-ABEA-ECD2-427D-5F1D6BF8FD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Sell TW Equity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828675</xdr:colOff>
          <xdr:row>12</xdr:row>
          <xdr:rowOff>142875</xdr:rowOff>
        </xdr:from>
        <xdr:to>
          <xdr:col>4</xdr:col>
          <xdr:colOff>295275</xdr:colOff>
          <xdr:row>13</xdr:row>
          <xdr:rowOff>171450</xdr:rowOff>
        </xdr:to>
        <xdr:sp macro="" textlink="">
          <xdr:nvSpPr>
            <xdr:cNvPr id="38929" name="Button 17" hidden="1">
              <a:extLst>
                <a:ext uri="{63B3BB69-23CF-44E3-9099-C40C66FF867C}">
                  <a14:compatExt spid="_x0000_s38929"/>
                </a:ext>
                <a:ext uri="{FF2B5EF4-FFF2-40B4-BE49-F238E27FC236}">
                  <a16:creationId xmlns:a16="http://schemas.microsoft.com/office/drawing/2014/main" id="{194CBB0A-8BCC-5C5F-1781-06F053003C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Sell Citrus Equity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714375</xdr:colOff>
          <xdr:row>12</xdr:row>
          <xdr:rowOff>152400</xdr:rowOff>
        </xdr:from>
        <xdr:to>
          <xdr:col>5</xdr:col>
          <xdr:colOff>276225</xdr:colOff>
          <xdr:row>13</xdr:row>
          <xdr:rowOff>180975</xdr:rowOff>
        </xdr:to>
        <xdr:sp macro="" textlink="">
          <xdr:nvSpPr>
            <xdr:cNvPr id="38931" name="Button 19" hidden="1">
              <a:extLst>
                <a:ext uri="{63B3BB69-23CF-44E3-9099-C40C66FF867C}">
                  <a14:compatExt spid="_x0000_s38931"/>
                </a:ext>
                <a:ext uri="{FF2B5EF4-FFF2-40B4-BE49-F238E27FC236}">
                  <a16:creationId xmlns:a16="http://schemas.microsoft.com/office/drawing/2014/main" id="{150A5FB3-1FCB-03AB-BBA8-861968C0D3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 Sell-down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657225</xdr:colOff>
      <xdr:row>115</xdr:row>
      <xdr:rowOff>9525</xdr:rowOff>
    </xdr:from>
    <xdr:to>
      <xdr:col>9</xdr:col>
      <xdr:colOff>457200</xdr:colOff>
      <xdr:row>119</xdr:row>
      <xdr:rowOff>28575</xdr:rowOff>
    </xdr:to>
    <xdr:sp macro="[0]!UnleveredConsolidated" textlink="">
      <xdr:nvSpPr>
        <xdr:cNvPr id="5279" name="Oval 159">
          <a:extLst>
            <a:ext uri="{FF2B5EF4-FFF2-40B4-BE49-F238E27FC236}">
              <a16:creationId xmlns:a16="http://schemas.microsoft.com/office/drawing/2014/main" id="{37D702FF-6A10-9B52-E0E7-3E3812F3B74C}"/>
            </a:ext>
          </a:extLst>
        </xdr:cNvPr>
        <xdr:cNvSpPr>
          <a:spLocks noChangeArrowheads="1"/>
        </xdr:cNvSpPr>
      </xdr:nvSpPr>
      <xdr:spPr bwMode="auto">
        <a:xfrm>
          <a:off x="5019675" y="10382250"/>
          <a:ext cx="1457325" cy="7143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outerShdw dist="107763" dir="2700000" algn="ctr" rotWithShape="0">
            <a:srgbClr val="808080"/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190500</xdr:colOff>
      <xdr:row>1</xdr:row>
      <xdr:rowOff>9525</xdr:rowOff>
    </xdr:from>
    <xdr:to>
      <xdr:col>4</xdr:col>
      <xdr:colOff>552450</xdr:colOff>
      <xdr:row>3</xdr:row>
      <xdr:rowOff>142875</xdr:rowOff>
    </xdr:to>
    <xdr:sp macro="[0]!UnleveredConsolidated" textlink="">
      <xdr:nvSpPr>
        <xdr:cNvPr id="5280" name="Rectangle 160">
          <a:extLst>
            <a:ext uri="{FF2B5EF4-FFF2-40B4-BE49-F238E27FC236}">
              <a16:creationId xmlns:a16="http://schemas.microsoft.com/office/drawing/2014/main" id="{7D20B5D7-A41A-2578-8946-DEA17245A15E}"/>
            </a:ext>
          </a:extLst>
        </xdr:cNvPr>
        <xdr:cNvSpPr>
          <a:spLocks noChangeArrowheads="1"/>
        </xdr:cNvSpPr>
      </xdr:nvSpPr>
      <xdr:spPr bwMode="auto">
        <a:xfrm>
          <a:off x="4362450" y="266700"/>
          <a:ext cx="0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outerShdw dist="107763" dir="2700000" algn="ctr" rotWithShape="0">
            <a:srgbClr val="808080"/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39</xdr:row>
      <xdr:rowOff>0</xdr:rowOff>
    </xdr:from>
    <xdr:to>
      <xdr:col>6</xdr:col>
      <xdr:colOff>219075</xdr:colOff>
      <xdr:row>42</xdr:row>
      <xdr:rowOff>161925</xdr:rowOff>
    </xdr:to>
    <xdr:sp macro="[0]!Transmission" textlink="">
      <xdr:nvSpPr>
        <xdr:cNvPr id="31756" name="Oval 12">
          <a:extLst>
            <a:ext uri="{FF2B5EF4-FFF2-40B4-BE49-F238E27FC236}">
              <a16:creationId xmlns:a16="http://schemas.microsoft.com/office/drawing/2014/main" id="{53180925-D5A2-020A-A349-A40D87B0BD48}"/>
            </a:ext>
          </a:extLst>
        </xdr:cNvPr>
        <xdr:cNvSpPr>
          <a:spLocks noChangeArrowheads="1"/>
        </xdr:cNvSpPr>
      </xdr:nvSpPr>
      <xdr:spPr bwMode="auto">
        <a:xfrm>
          <a:off x="6076950" y="6753225"/>
          <a:ext cx="1647825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4</xdr:col>
      <xdr:colOff>152400</xdr:colOff>
      <xdr:row>1</xdr:row>
      <xdr:rowOff>0</xdr:rowOff>
    </xdr:from>
    <xdr:to>
      <xdr:col>5</xdr:col>
      <xdr:colOff>371475</xdr:colOff>
      <xdr:row>3</xdr:row>
      <xdr:rowOff>9525</xdr:rowOff>
    </xdr:to>
    <xdr:sp macro="[0]!Transmission" textlink="">
      <xdr:nvSpPr>
        <xdr:cNvPr id="31758" name="Rectangle 14">
          <a:extLst>
            <a:ext uri="{FF2B5EF4-FFF2-40B4-BE49-F238E27FC236}">
              <a16:creationId xmlns:a16="http://schemas.microsoft.com/office/drawing/2014/main" id="{A57CB2D2-FD2C-C3DF-3217-B6A01D6C308E}"/>
            </a:ext>
          </a:extLst>
        </xdr:cNvPr>
        <xdr:cNvSpPr>
          <a:spLocks noChangeArrowheads="1"/>
        </xdr:cNvSpPr>
      </xdr:nvSpPr>
      <xdr:spPr bwMode="auto">
        <a:xfrm>
          <a:off x="5581650" y="257175"/>
          <a:ext cx="125730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847725</xdr:colOff>
      <xdr:row>39</xdr:row>
      <xdr:rowOff>0</xdr:rowOff>
    </xdr:from>
    <xdr:to>
      <xdr:col>6</xdr:col>
      <xdr:colOff>419100</xdr:colOff>
      <xdr:row>42</xdr:row>
      <xdr:rowOff>161925</xdr:rowOff>
    </xdr:to>
    <xdr:sp macro="[0]!TWPricing" textlink="">
      <xdr:nvSpPr>
        <xdr:cNvPr id="47114" name="Oval 10">
          <a:extLst>
            <a:ext uri="{FF2B5EF4-FFF2-40B4-BE49-F238E27FC236}">
              <a16:creationId xmlns:a16="http://schemas.microsoft.com/office/drawing/2014/main" id="{26B20F6E-58DD-A1D3-C3F9-E6D7C628E876}"/>
            </a:ext>
          </a:extLst>
        </xdr:cNvPr>
        <xdr:cNvSpPr>
          <a:spLocks noChangeArrowheads="1"/>
        </xdr:cNvSpPr>
      </xdr:nvSpPr>
      <xdr:spPr bwMode="auto">
        <a:xfrm>
          <a:off x="6210300" y="6753225"/>
          <a:ext cx="1609725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4</xdr:col>
      <xdr:colOff>152400</xdr:colOff>
      <xdr:row>1</xdr:row>
      <xdr:rowOff>0</xdr:rowOff>
    </xdr:from>
    <xdr:to>
      <xdr:col>5</xdr:col>
      <xdr:colOff>371475</xdr:colOff>
      <xdr:row>3</xdr:row>
      <xdr:rowOff>9525</xdr:rowOff>
    </xdr:to>
    <xdr:sp macro="[0]!Transmission" textlink="">
      <xdr:nvSpPr>
        <xdr:cNvPr id="47115" name="Rectangle 11">
          <a:extLst>
            <a:ext uri="{FF2B5EF4-FFF2-40B4-BE49-F238E27FC236}">
              <a16:creationId xmlns:a16="http://schemas.microsoft.com/office/drawing/2014/main" id="{1DA113A8-840E-BCBA-37D1-CE75B1356BD1}"/>
            </a:ext>
          </a:extLst>
        </xdr:cNvPr>
        <xdr:cNvSpPr>
          <a:spLocks noChangeArrowheads="1"/>
        </xdr:cNvSpPr>
      </xdr:nvSpPr>
      <xdr:spPr bwMode="auto">
        <a:xfrm>
          <a:off x="5514975" y="257175"/>
          <a:ext cx="123825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34</xdr:row>
      <xdr:rowOff>133350</xdr:rowOff>
    </xdr:from>
    <xdr:to>
      <xdr:col>5</xdr:col>
      <xdr:colOff>152400</xdr:colOff>
      <xdr:row>38</xdr:row>
      <xdr:rowOff>123825</xdr:rowOff>
    </xdr:to>
    <xdr:sp macro="[0]!NBPPricing" textlink="">
      <xdr:nvSpPr>
        <xdr:cNvPr id="48142" name="Oval 14">
          <a:extLst>
            <a:ext uri="{FF2B5EF4-FFF2-40B4-BE49-F238E27FC236}">
              <a16:creationId xmlns:a16="http://schemas.microsoft.com/office/drawing/2014/main" id="{7D3F4DC0-3851-8EA6-B500-47336AE43F16}"/>
            </a:ext>
          </a:extLst>
        </xdr:cNvPr>
        <xdr:cNvSpPr>
          <a:spLocks noChangeArrowheads="1"/>
        </xdr:cNvSpPr>
      </xdr:nvSpPr>
      <xdr:spPr bwMode="auto">
        <a:xfrm>
          <a:off x="3800475" y="5924550"/>
          <a:ext cx="1743075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56</xdr:row>
      <xdr:rowOff>38100</xdr:rowOff>
    </xdr:from>
    <xdr:to>
      <xdr:col>5</xdr:col>
      <xdr:colOff>219075</xdr:colOff>
      <xdr:row>60</xdr:row>
      <xdr:rowOff>28575</xdr:rowOff>
    </xdr:to>
    <xdr:sp macro="[0]!CitrusPricing" textlink="">
      <xdr:nvSpPr>
        <xdr:cNvPr id="49153" name="Oval 1">
          <a:extLst>
            <a:ext uri="{FF2B5EF4-FFF2-40B4-BE49-F238E27FC236}">
              <a16:creationId xmlns:a16="http://schemas.microsoft.com/office/drawing/2014/main" id="{7BBD6860-C70F-AB20-E592-F660A2B065BF}"/>
            </a:ext>
          </a:extLst>
        </xdr:cNvPr>
        <xdr:cNvSpPr>
          <a:spLocks noChangeArrowheads="1"/>
        </xdr:cNvSpPr>
      </xdr:nvSpPr>
      <xdr:spPr bwMode="auto">
        <a:xfrm>
          <a:off x="4514850" y="6448425"/>
          <a:ext cx="1552575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152400</xdr:colOff>
      <xdr:row>1</xdr:row>
      <xdr:rowOff>0</xdr:rowOff>
    </xdr:from>
    <xdr:to>
      <xdr:col>4</xdr:col>
      <xdr:colOff>371475</xdr:colOff>
      <xdr:row>3</xdr:row>
      <xdr:rowOff>9525</xdr:rowOff>
    </xdr:to>
    <xdr:sp macro="[7]!Citrus" textlink="">
      <xdr:nvSpPr>
        <xdr:cNvPr id="49154" name="Rectangle 2">
          <a:extLst>
            <a:ext uri="{FF2B5EF4-FFF2-40B4-BE49-F238E27FC236}">
              <a16:creationId xmlns:a16="http://schemas.microsoft.com/office/drawing/2014/main" id="{432124DD-6157-0AA6-754A-C10B259ED0A5}"/>
            </a:ext>
          </a:extLst>
        </xdr:cNvPr>
        <xdr:cNvSpPr>
          <a:spLocks noChangeArrowheads="1"/>
        </xdr:cNvSpPr>
      </xdr:nvSpPr>
      <xdr:spPr bwMode="auto">
        <a:xfrm>
          <a:off x="4019550" y="257175"/>
          <a:ext cx="1209675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39</xdr:row>
      <xdr:rowOff>0</xdr:rowOff>
    </xdr:from>
    <xdr:to>
      <xdr:col>6</xdr:col>
      <xdr:colOff>219075</xdr:colOff>
      <xdr:row>42</xdr:row>
      <xdr:rowOff>161925</xdr:rowOff>
    </xdr:to>
    <xdr:sp macro="[0]!TB_Pricing" textlink="">
      <xdr:nvSpPr>
        <xdr:cNvPr id="50186" name="Oval 10">
          <a:extLst>
            <a:ext uri="{FF2B5EF4-FFF2-40B4-BE49-F238E27FC236}">
              <a16:creationId xmlns:a16="http://schemas.microsoft.com/office/drawing/2014/main" id="{70B56E55-3BBE-2C38-5A57-CB1E7C440743}"/>
            </a:ext>
          </a:extLst>
        </xdr:cNvPr>
        <xdr:cNvSpPr>
          <a:spLocks noChangeArrowheads="1"/>
        </xdr:cNvSpPr>
      </xdr:nvSpPr>
      <xdr:spPr bwMode="auto">
        <a:xfrm>
          <a:off x="6076950" y="6753225"/>
          <a:ext cx="1647825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4</xdr:col>
      <xdr:colOff>152400</xdr:colOff>
      <xdr:row>1</xdr:row>
      <xdr:rowOff>0</xdr:rowOff>
    </xdr:from>
    <xdr:to>
      <xdr:col>5</xdr:col>
      <xdr:colOff>371475</xdr:colOff>
      <xdr:row>3</xdr:row>
      <xdr:rowOff>9525</xdr:rowOff>
    </xdr:to>
    <xdr:sp macro="[0]!Transmission" textlink="">
      <xdr:nvSpPr>
        <xdr:cNvPr id="50187" name="Rectangle 11">
          <a:extLst>
            <a:ext uri="{FF2B5EF4-FFF2-40B4-BE49-F238E27FC236}">
              <a16:creationId xmlns:a16="http://schemas.microsoft.com/office/drawing/2014/main" id="{891A7CB5-A4D8-C67C-B416-E513B3734C2A}"/>
            </a:ext>
          </a:extLst>
        </xdr:cNvPr>
        <xdr:cNvSpPr>
          <a:spLocks noChangeArrowheads="1"/>
        </xdr:cNvSpPr>
      </xdr:nvSpPr>
      <xdr:spPr bwMode="auto">
        <a:xfrm>
          <a:off x="5581650" y="257175"/>
          <a:ext cx="125730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rporate\GPGFin\Cfp\JG-ADAMS\1999Cash\BusinessUnitCashFlo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&amp;E%20061200v2_r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e/PowerTex0110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&amp;E%20061200v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nron%20Ind%20Markets/Excel%20Files/Crane/Active%20Cranes/Final_Quebec_120100_360%20(used%20by%20RAC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haysle/Local%20Settings/Temporary%20Internet%20Files/OLK48/NP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haysle/Local%20Settings/Temporary%20Internet%20Files/OLK48/Citrus-Enron%20Wi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QTRActivity"/>
      <sheetName val="DecYTD"/>
      <sheetName val="OctYTD"/>
      <sheetName val="SeptYTD"/>
      <sheetName val="JuneYTD"/>
      <sheetName val="MarchYTD"/>
      <sheetName val="AugustYTD"/>
      <sheetName val="SeptYTDAdj"/>
      <sheetName val="WorkingCap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ron Ratios"/>
      <sheetName val="RETURNS"/>
      <sheetName val="CONSOLIDATED"/>
      <sheetName val="Cons. BS"/>
      <sheetName val="Enron"/>
      <sheetName val="Storage"/>
      <sheetName val="Reg Trans (311)"/>
      <sheetName val="Power Tex"/>
      <sheetName val="Agave"/>
      <sheetName val="Llano"/>
      <sheetName val="Antelope Ridge"/>
      <sheetName val="Hobbs"/>
      <sheetName val="Orphans"/>
      <sheetName val="Sale Ranch"/>
      <sheetName val="Other"/>
      <sheetName val="Capex"/>
      <sheetName val="LG&amp;E 061200v2_r1"/>
    </sheetNames>
    <sheetDataSet>
      <sheetData sheetId="0" refreshError="1"/>
      <sheetData sheetId="1" refreshError="1"/>
      <sheetData sheetId="2" refreshError="1">
        <row r="30">
          <cell r="B30">
            <v>0.4</v>
          </cell>
        </row>
      </sheetData>
      <sheetData sheetId="3" refreshError="1"/>
      <sheetData sheetId="4" refreshError="1">
        <row r="50">
          <cell r="J50">
            <v>1</v>
          </cell>
          <cell r="K50">
            <v>25234372.921598766</v>
          </cell>
        </row>
      </sheetData>
      <sheetData sheetId="5" refreshError="1"/>
      <sheetData sheetId="6" refreshError="1"/>
      <sheetData sheetId="7" refreshError="1"/>
      <sheetData sheetId="8" refreshError="1">
        <row r="50">
          <cell r="J50" t="e">
            <v>#VALUE!</v>
          </cell>
          <cell r="K50">
            <v>5</v>
          </cell>
        </row>
      </sheetData>
      <sheetData sheetId="9" refreshError="1"/>
      <sheetData sheetId="10" refreshError="1"/>
      <sheetData sheetId="11" refreshError="1"/>
      <sheetData sheetId="12" refreshError="1">
        <row r="48">
          <cell r="J48" t="e">
            <v>#VALUE!</v>
          </cell>
          <cell r="K48">
            <v>5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Tex"/>
      <sheetName val="levered"/>
      <sheetName val="Balance Sheet"/>
    </sheetNames>
    <sheetDataSet>
      <sheetData sheetId="0">
        <row r="71">
          <cell r="O71">
            <v>0.15</v>
          </cell>
        </row>
        <row r="73">
          <cell r="J73">
            <v>0</v>
          </cell>
          <cell r="K73">
            <v>10885604.834850281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ron Ratios"/>
      <sheetName val="RETURNS"/>
      <sheetName val="CONSOLIDATED"/>
      <sheetName val="Cons. BS"/>
      <sheetName val="Enron"/>
      <sheetName val="Storage"/>
      <sheetName val="Reg Trans (311)"/>
      <sheetName val="Power Tex"/>
      <sheetName val="Agave"/>
      <sheetName val="Llano"/>
      <sheetName val="Antelope Ridge"/>
      <sheetName val="Hobbs"/>
      <sheetName val="Orphans"/>
      <sheetName val="Sale Ranch"/>
      <sheetName val="Other"/>
      <sheetName val="Capex"/>
    </sheetNames>
    <sheetDataSet>
      <sheetData sheetId="0"/>
      <sheetData sheetId="1"/>
      <sheetData sheetId="2"/>
      <sheetData sheetId="3"/>
      <sheetData sheetId="4"/>
      <sheetData sheetId="5">
        <row r="73">
          <cell r="J73">
            <v>0</v>
          </cell>
          <cell r="K73">
            <v>11086753.028887179</v>
          </cell>
        </row>
      </sheetData>
      <sheetData sheetId="6">
        <row r="73">
          <cell r="J73">
            <v>0</v>
          </cell>
          <cell r="K73">
            <v>2906800.2183418791</v>
          </cell>
        </row>
      </sheetData>
      <sheetData sheetId="7"/>
      <sheetData sheetId="8"/>
      <sheetData sheetId="9">
        <row r="73">
          <cell r="J73">
            <v>0</v>
          </cell>
          <cell r="K73">
            <v>26161201.965076908</v>
          </cell>
        </row>
      </sheetData>
      <sheetData sheetId="10">
        <row r="73">
          <cell r="J73">
            <v>0</v>
          </cell>
          <cell r="K73">
            <v>7124000.4283873439</v>
          </cell>
        </row>
      </sheetData>
      <sheetData sheetId="11">
        <row r="73">
          <cell r="J73">
            <v>0</v>
          </cell>
        </row>
      </sheetData>
      <sheetData sheetId="12"/>
      <sheetData sheetId="13">
        <row r="73">
          <cell r="J73">
            <v>0</v>
          </cell>
          <cell r="K73">
            <v>2478221.1148217893</v>
          </cell>
        </row>
      </sheetData>
      <sheetData sheetId="14">
        <row r="73">
          <cell r="J73">
            <v>0</v>
          </cell>
          <cell r="K73">
            <v>712999.96533398959</v>
          </cell>
        </row>
      </sheetData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TC"/>
      <sheetName val="Summary"/>
      <sheetName val="P&amp;L"/>
      <sheetName val="BS"/>
      <sheetName val="CFS"/>
      <sheetName val="DCF_CAN"/>
      <sheetName val="DCF_US"/>
      <sheetName val="Financing Assumptions"/>
      <sheetName val="Volume Assumptions"/>
      <sheetName val="Curves Assumptions"/>
      <sheetName val="Other Assumptions"/>
      <sheetName val="Pricing"/>
      <sheetName val="Fiber Flow"/>
      <sheetName val="Energy"/>
      <sheetName val="Depr"/>
      <sheetName val="Amort"/>
      <sheetName val="Taxes"/>
      <sheetName val="Debt"/>
      <sheetName val="Leduc"/>
      <sheetName val="Ste-Aurelie"/>
      <sheetName val="Appendix"/>
      <sheetName val="Costs"/>
      <sheetName val="Print Controls"/>
      <sheetName val="Quebec - Natural Gas"/>
      <sheetName val=" Quebec - Steam (QUC)"/>
      <sheetName val="Quebec - Bunker Fuel"/>
      <sheetName val="Contingent Liabilities"/>
      <sheetName val="Fiber flow backup"/>
      <sheetName val="LOG"/>
      <sheetName val="RAROC Assumptions"/>
      <sheetName val="RAROC Valuation"/>
      <sheetName val="Price Forecast"/>
      <sheetName val="Fuel Oil"/>
      <sheetName val="LIBOR"/>
      <sheetName val="USInf"/>
      <sheetName val="Canada"/>
      <sheetName val="SENS"/>
      <sheetName val="Sensitivities"/>
      <sheetName val="PrintMacro"/>
    </sheetNames>
    <sheetDataSet>
      <sheetData sheetId="0" refreshError="1"/>
      <sheetData sheetId="1" refreshError="1"/>
      <sheetData sheetId="2" refreshError="1"/>
      <sheetData sheetId="3">
        <row r="6">
          <cell r="B6" t="str">
            <v>(All numbers in Canadian dollars unless noted)</v>
          </cell>
        </row>
      </sheetData>
      <sheetData sheetId="4">
        <row r="7">
          <cell r="N7">
            <v>0</v>
          </cell>
          <cell r="O7">
            <v>0</v>
          </cell>
          <cell r="P7">
            <v>2.4596275344540963</v>
          </cell>
          <cell r="Q7">
            <v>8.4784184287345852</v>
          </cell>
          <cell r="R7">
            <v>7.7953400216676201</v>
          </cell>
        </row>
      </sheetData>
      <sheetData sheetId="5">
        <row r="23">
          <cell r="O23">
            <v>0</v>
          </cell>
          <cell r="P23">
            <v>23.944677325168882</v>
          </cell>
          <cell r="Q23">
            <v>45.488596026311832</v>
          </cell>
          <cell r="R23">
            <v>36.675276643206544</v>
          </cell>
          <cell r="S23">
            <v>43.534400241894801</v>
          </cell>
        </row>
      </sheetData>
      <sheetData sheetId="6" refreshError="1"/>
      <sheetData sheetId="7"/>
      <sheetData sheetId="8">
        <row r="33">
          <cell r="E33" t="str">
            <v>Debt Cash Sweep</v>
          </cell>
        </row>
      </sheetData>
      <sheetData sheetId="9"/>
      <sheetData sheetId="10">
        <row r="13">
          <cell r="N13">
            <v>1.5309983908068301</v>
          </cell>
          <cell r="O13">
            <v>1.5309983908068301</v>
          </cell>
          <cell r="P13">
            <v>1.5208341881554099</v>
          </cell>
          <cell r="Q13">
            <v>1.5131128769179401</v>
          </cell>
          <cell r="R13">
            <v>1.50640524218893</v>
          </cell>
          <cell r="S13">
            <v>1.49842245188088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>
        <row r="5">
          <cell r="AD5" t="str">
            <v>Project Crane</v>
          </cell>
        </row>
        <row r="13">
          <cell r="AE13" t="str">
            <v>Projected Fiscal Year Ending December 31,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laination about this model"/>
      <sheetName val="Summary"/>
      <sheetName val="Sensitivities"/>
      <sheetName val="Unlevered Base Case"/>
      <sheetName val="Levd Base Case"/>
      <sheetName val="Holdco"/>
      <sheetName val="Levd Base Case @Mkt"/>
      <sheetName val="Holdco @ Mkt"/>
      <sheetName val="Levd Synergies @ Mkt"/>
      <sheetName val="Levd Synergies"/>
      <sheetName val="Pre-Trans Asset1"/>
      <sheetName val="Assumptions"/>
      <sheetName val="Post-Trans Asset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laination about this model"/>
      <sheetName val="Assumptions"/>
      <sheetName val="Summary"/>
      <sheetName val="Org Chart"/>
      <sheetName val="Fin Stats and Ratios"/>
      <sheetName val="Debt"/>
      <sheetName val="Lev. Consolid"/>
      <sheetName val="Unlev. Consolid"/>
      <sheetName val="Market Resources"/>
      <sheetName val="Gas Co"/>
      <sheetName val="Pipeline Co"/>
      <sheetName val="Wind"/>
      <sheetName val="Citrus"/>
      <sheetName val="Consolidated"/>
      <sheetName val="Asset 4"/>
      <sheetName val="Volumes"/>
      <sheetName val="Curves"/>
      <sheetName val="Scenarios"/>
      <sheetName val="Cons. BS"/>
    </sheetNames>
    <definedNames>
      <definedName name="Citrus"/>
    </definedNames>
    <sheetDataSet>
      <sheetData sheetId="0" refreshError="1"/>
      <sheetData sheetId="1">
        <row r="14">
          <cell r="D14">
            <v>880000</v>
          </cell>
        </row>
        <row r="15">
          <cell r="D15">
            <v>28.3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23">
          <cell r="D23">
            <v>14151.240689362865</v>
          </cell>
          <cell r="E23">
            <v>21086.968866231273</v>
          </cell>
          <cell r="F23">
            <v>21900.179295411588</v>
          </cell>
          <cell r="G23">
            <v>23335.550608736863</v>
          </cell>
          <cell r="H23">
            <v>25300.29800219565</v>
          </cell>
        </row>
        <row r="40">
          <cell r="A40" t="str">
            <v>ENRON'S BASE EPS</v>
          </cell>
          <cell r="B40">
            <v>880000</v>
          </cell>
          <cell r="C40" t="str">
            <v>M Shares</v>
          </cell>
          <cell r="D40" t="str">
            <v>Growth of</v>
          </cell>
          <cell r="E40">
            <v>0.18</v>
          </cell>
          <cell r="G40">
            <v>1.8</v>
          </cell>
          <cell r="H40">
            <v>2.1</v>
          </cell>
          <cell r="I40">
            <v>2.4779999999999998</v>
          </cell>
          <cell r="J40">
            <v>2.9240399999999998</v>
          </cell>
          <cell r="K40">
            <v>3.4503671999999996</v>
          </cell>
        </row>
        <row r="41">
          <cell r="A41" t="str">
            <v xml:space="preserve">  Pro Forma Earnings (Inc. interest on Dividends)</v>
          </cell>
          <cell r="G41">
            <v>1571310.0635873955</v>
          </cell>
          <cell r="H41">
            <v>1867883.3085661505</v>
          </cell>
          <cell r="I41">
            <v>2234207.3357949052</v>
          </cell>
          <cell r="J41">
            <v>2636288.4462736598</v>
          </cell>
          <cell r="K41">
            <v>3103214.2327524149</v>
          </cell>
        </row>
        <row r="42">
          <cell r="A42" t="str">
            <v>Equity Investment</v>
          </cell>
          <cell r="B42">
            <v>926797.86504136631</v>
          </cell>
        </row>
        <row r="43">
          <cell r="A43" t="str">
            <v>Price of ENE Shares</v>
          </cell>
          <cell r="B43">
            <v>28.3</v>
          </cell>
        </row>
        <row r="44">
          <cell r="A44" t="str">
            <v>Additional Shares</v>
          </cell>
          <cell r="B44">
            <v>32749.041167539446</v>
          </cell>
        </row>
        <row r="45">
          <cell r="A45" t="str">
            <v>PRO FORMA EPS</v>
          </cell>
          <cell r="B45">
            <v>912749.04116753943</v>
          </cell>
          <cell r="C45" t="str">
            <v>M Shares</v>
          </cell>
          <cell r="G45">
            <v>1.7215137926384017</v>
          </cell>
          <cell r="H45">
            <v>2.0464368893522527</v>
          </cell>
          <cell r="I45">
            <v>2.4477783432530673</v>
          </cell>
          <cell r="J45">
            <v>2.8882949500570954</v>
          </cell>
          <cell r="K45">
            <v>3.3998548262323567</v>
          </cell>
        </row>
        <row r="46">
          <cell r="A46" t="str">
            <v xml:space="preserve">  Incremenal EPS</v>
          </cell>
          <cell r="G46">
            <v>-7.8486207361598392E-2</v>
          </cell>
          <cell r="H46">
            <v>-5.3563110647747436E-2</v>
          </cell>
          <cell r="I46">
            <v>-3.0221656746932446E-2</v>
          </cell>
          <cell r="J46">
            <v>-3.5745049942904394E-2</v>
          </cell>
          <cell r="K46">
            <v>-5.0512373767642949E-2</v>
          </cell>
        </row>
      </sheetData>
      <sheetData sheetId="7"/>
      <sheetData sheetId="8" refreshError="1"/>
      <sheetData sheetId="9" refreshError="1"/>
      <sheetData sheetId="10">
        <row r="77">
          <cell r="L77">
            <v>0.125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A0000" mc:Ignorable="a14" a14:legacySpreadsheetColorIndex="42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A0000" mc:Ignorable="a14" a14:legacySpreadsheetColorIndex="42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/>
          </a:outerShdw>
        </a:effec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omments" Target="../comments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49"/>
  <sheetViews>
    <sheetView topLeftCell="A22" zoomScale="75" workbookViewId="0"/>
  </sheetViews>
  <sheetFormatPr defaultRowHeight="12.75"/>
  <cols>
    <col min="1" max="5" width="9.140625" style="197"/>
    <col min="6" max="7" width="12" style="197" bestFit="1" customWidth="1"/>
    <col min="8" max="16384" width="9.140625" style="197"/>
  </cols>
  <sheetData>
    <row r="2" spans="1:11">
      <c r="J2" s="198" t="s">
        <v>108</v>
      </c>
      <c r="K2" s="198" t="s">
        <v>109</v>
      </c>
    </row>
    <row r="3" spans="1:11" ht="18">
      <c r="A3" s="199" t="s">
        <v>145</v>
      </c>
      <c r="G3" s="200" t="s">
        <v>104</v>
      </c>
      <c r="H3" s="201" t="s">
        <v>105</v>
      </c>
      <c r="J3" s="197" t="s">
        <v>130</v>
      </c>
    </row>
    <row r="4" spans="1:11">
      <c r="G4" s="200" t="s">
        <v>106</v>
      </c>
      <c r="H4" s="201" t="s">
        <v>107</v>
      </c>
      <c r="J4" s="197" t="s">
        <v>131</v>
      </c>
    </row>
    <row r="9" spans="1:11" ht="15">
      <c r="A9" s="202" t="s">
        <v>144</v>
      </c>
    </row>
    <row r="12" spans="1:11">
      <c r="A12" s="198">
        <v>1</v>
      </c>
      <c r="B12" s="198" t="s">
        <v>37</v>
      </c>
      <c r="C12" s="198"/>
    </row>
    <row r="13" spans="1:11">
      <c r="B13" s="197" t="s">
        <v>137</v>
      </c>
    </row>
    <row r="14" spans="1:11">
      <c r="B14" s="197" t="s">
        <v>146</v>
      </c>
    </row>
    <row r="15" spans="1:11">
      <c r="B15" s="197" t="s">
        <v>147</v>
      </c>
    </row>
    <row r="17" spans="1:4">
      <c r="A17" s="198">
        <v>2</v>
      </c>
      <c r="B17" s="198" t="s">
        <v>133</v>
      </c>
      <c r="C17" s="198"/>
    </row>
    <row r="18" spans="1:4">
      <c r="A18" s="203" t="s">
        <v>111</v>
      </c>
      <c r="B18" s="197" t="s">
        <v>134</v>
      </c>
    </row>
    <row r="19" spans="1:4">
      <c r="A19" s="203" t="s">
        <v>112</v>
      </c>
      <c r="B19" s="197" t="s">
        <v>135</v>
      </c>
    </row>
    <row r="20" spans="1:4">
      <c r="A20" s="203" t="s">
        <v>113</v>
      </c>
      <c r="B20" s="197" t="s">
        <v>136</v>
      </c>
    </row>
    <row r="23" spans="1:4">
      <c r="A23" s="198">
        <v>2</v>
      </c>
      <c r="B23" s="198" t="s">
        <v>110</v>
      </c>
      <c r="C23" s="198"/>
    </row>
    <row r="24" spans="1:4">
      <c r="A24" s="203" t="s">
        <v>111</v>
      </c>
      <c r="B24" s="197" t="s">
        <v>127</v>
      </c>
    </row>
    <row r="25" spans="1:4">
      <c r="A25" s="203"/>
      <c r="B25" s="197" t="s">
        <v>128</v>
      </c>
    </row>
    <row r="26" spans="1:4">
      <c r="A26" s="203" t="s">
        <v>112</v>
      </c>
      <c r="B26" s="197" t="s">
        <v>138</v>
      </c>
    </row>
    <row r="27" spans="1:4">
      <c r="A27" s="203"/>
      <c r="B27" s="197" t="s">
        <v>139</v>
      </c>
    </row>
    <row r="28" spans="1:4">
      <c r="A28" s="203" t="s">
        <v>113</v>
      </c>
      <c r="B28" s="197" t="s">
        <v>114</v>
      </c>
    </row>
    <row r="29" spans="1:4">
      <c r="B29" s="197" t="s">
        <v>115</v>
      </c>
    </row>
    <row r="31" spans="1:4">
      <c r="A31" s="198">
        <v>3</v>
      </c>
      <c r="B31" s="198" t="s">
        <v>116</v>
      </c>
      <c r="C31" s="198"/>
      <c r="D31" s="198"/>
    </row>
    <row r="32" spans="1:4">
      <c r="A32" s="203" t="s">
        <v>111</v>
      </c>
      <c r="B32" s="197" t="s">
        <v>117</v>
      </c>
    </row>
    <row r="33" spans="1:2">
      <c r="A33" s="203"/>
      <c r="B33" s="197" t="s">
        <v>129</v>
      </c>
    </row>
    <row r="34" spans="1:2">
      <c r="A34" s="203" t="s">
        <v>112</v>
      </c>
      <c r="B34" s="197" t="s">
        <v>140</v>
      </c>
    </row>
    <row r="35" spans="1:2">
      <c r="B35" s="197" t="s">
        <v>141</v>
      </c>
    </row>
    <row r="36" spans="1:2">
      <c r="B36" s="197" t="s">
        <v>122</v>
      </c>
    </row>
    <row r="38" spans="1:2">
      <c r="B38" s="197" t="s">
        <v>118</v>
      </c>
    </row>
    <row r="39" spans="1:2">
      <c r="B39" s="197" t="s">
        <v>119</v>
      </c>
    </row>
    <row r="40" spans="1:2">
      <c r="B40" s="197" t="s">
        <v>120</v>
      </c>
    </row>
    <row r="41" spans="1:2">
      <c r="B41" s="197" t="s">
        <v>143</v>
      </c>
    </row>
    <row r="42" spans="1:2">
      <c r="B42" s="197" t="s">
        <v>142</v>
      </c>
    </row>
    <row r="43" spans="1:2">
      <c r="B43" s="197" t="s">
        <v>121</v>
      </c>
    </row>
    <row r="44" spans="1:2">
      <c r="B44" s="197" t="s">
        <v>123</v>
      </c>
    </row>
    <row r="46" spans="1:2">
      <c r="B46" s="197" t="s">
        <v>124</v>
      </c>
    </row>
    <row r="48" spans="1:2">
      <c r="A48" s="203" t="s">
        <v>113</v>
      </c>
      <c r="B48" s="197" t="s">
        <v>126</v>
      </c>
    </row>
    <row r="49" spans="2:2">
      <c r="B49" s="197" t="s">
        <v>125</v>
      </c>
    </row>
  </sheetData>
  <phoneticPr fontId="0" type="noConversion"/>
  <pageMargins left="0.75" right="0.75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1"/>
  <sheetViews>
    <sheetView showGridLines="0" zoomScale="75" workbookViewId="0">
      <selection activeCell="D11" sqref="D11"/>
    </sheetView>
  </sheetViews>
  <sheetFormatPr defaultRowHeight="12.75"/>
  <cols>
    <col min="1" max="1" width="4" customWidth="1"/>
    <col min="2" max="2" width="26.7109375" customWidth="1"/>
    <col min="3" max="3" width="4.7109375" customWidth="1"/>
    <col min="4" max="4" width="25.140625" customWidth="1"/>
    <col min="5" max="5" width="4" customWidth="1"/>
    <col min="6" max="6" width="29.28515625" customWidth="1"/>
    <col min="7" max="7" width="4.5703125" customWidth="1"/>
    <col min="8" max="8" width="23.28515625" customWidth="1"/>
    <col min="9" max="9" width="4.140625" customWidth="1"/>
    <col min="10" max="10" width="21.28515625" customWidth="1"/>
  </cols>
  <sheetData>
    <row r="1" spans="1:10" ht="21" thickBot="1">
      <c r="A1" s="1012" t="str">
        <f>"Project "&amp;Assumptions!D6</f>
        <v>Project ETS</v>
      </c>
      <c r="B1" s="1013"/>
      <c r="C1" s="1013"/>
      <c r="D1" s="1013"/>
      <c r="E1" s="1013"/>
      <c r="F1" s="1013"/>
      <c r="G1" s="1013"/>
      <c r="H1" s="1013"/>
      <c r="I1" s="1013"/>
      <c r="J1" s="1014"/>
    </row>
    <row r="2" spans="1:10">
      <c r="A2" s="122"/>
      <c r="B2" s="114"/>
      <c r="C2" s="718"/>
      <c r="D2" s="114"/>
      <c r="E2" s="718"/>
      <c r="F2" s="114"/>
      <c r="G2" s="718"/>
      <c r="H2" s="114"/>
      <c r="I2" s="718"/>
      <c r="J2" s="115"/>
    </row>
    <row r="3" spans="1:10" ht="15.75">
      <c r="A3" s="1015" t="s">
        <v>343</v>
      </c>
      <c r="B3" s="1016"/>
      <c r="C3" s="1015" t="s">
        <v>343</v>
      </c>
      <c r="D3" s="1016"/>
      <c r="E3" s="1015" t="s">
        <v>343</v>
      </c>
      <c r="F3" s="1016"/>
      <c r="G3" s="1015" t="s">
        <v>343</v>
      </c>
      <c r="H3" s="1016"/>
      <c r="I3" s="1017"/>
      <c r="J3" s="1018"/>
    </row>
    <row r="4" spans="1:10" ht="10.5" customHeight="1">
      <c r="A4" s="118"/>
      <c r="B4" s="34"/>
      <c r="C4" s="496"/>
      <c r="D4" s="34"/>
      <c r="E4" s="496"/>
      <c r="F4" s="34"/>
      <c r="G4" s="496"/>
      <c r="H4" s="34"/>
      <c r="I4" s="496"/>
      <c r="J4" s="117"/>
    </row>
    <row r="5" spans="1:10" ht="15.75">
      <c r="A5" s="722"/>
      <c r="B5" s="721" t="s">
        <v>498</v>
      </c>
      <c r="C5" s="720"/>
      <c r="D5" s="720" t="s">
        <v>497</v>
      </c>
      <c r="E5" s="720"/>
      <c r="F5" s="846" t="s">
        <v>499</v>
      </c>
      <c r="G5" s="720"/>
      <c r="H5" s="720" t="s">
        <v>485</v>
      </c>
      <c r="I5" s="720"/>
      <c r="J5" s="723"/>
    </row>
    <row r="6" spans="1:10">
      <c r="A6" s="118"/>
      <c r="B6" s="34"/>
      <c r="C6" s="496"/>
      <c r="D6" s="34"/>
      <c r="E6" s="496"/>
      <c r="F6" s="717"/>
      <c r="G6" s="496"/>
      <c r="H6" s="34"/>
      <c r="I6" s="496"/>
      <c r="J6" s="117"/>
    </row>
    <row r="7" spans="1:10">
      <c r="A7" s="453" t="s">
        <v>345</v>
      </c>
      <c r="B7" s="106"/>
      <c r="C7" s="524" t="s">
        <v>345</v>
      </c>
      <c r="D7" s="106"/>
      <c r="E7" s="524" t="s">
        <v>345</v>
      </c>
      <c r="F7" s="106"/>
      <c r="G7" s="524" t="s">
        <v>345</v>
      </c>
      <c r="H7" s="106"/>
      <c r="I7" s="524" t="s">
        <v>345</v>
      </c>
      <c r="J7" s="117"/>
    </row>
    <row r="8" spans="1:10">
      <c r="A8" s="118"/>
      <c r="B8" s="34"/>
      <c r="C8" s="496"/>
      <c r="D8" s="34"/>
      <c r="E8" s="496"/>
      <c r="F8" s="34"/>
      <c r="G8" s="496"/>
      <c r="H8" s="34"/>
      <c r="I8" s="496"/>
      <c r="J8" s="117"/>
    </row>
    <row r="9" spans="1:10">
      <c r="A9" s="118"/>
      <c r="B9" s="34"/>
      <c r="C9" s="496"/>
      <c r="D9" s="34"/>
      <c r="E9" s="496"/>
      <c r="F9" s="34"/>
      <c r="G9" s="496"/>
      <c r="H9" s="34"/>
      <c r="I9" s="496"/>
      <c r="J9" s="117"/>
    </row>
    <row r="10" spans="1:10">
      <c r="A10" s="118"/>
      <c r="B10" s="34"/>
      <c r="C10" s="496"/>
      <c r="D10" s="34"/>
      <c r="E10" s="496"/>
      <c r="F10" s="34"/>
      <c r="G10" s="496"/>
      <c r="H10" s="34"/>
      <c r="I10" s="496"/>
      <c r="J10" s="117"/>
    </row>
    <row r="11" spans="1:10">
      <c r="A11" s="118"/>
      <c r="B11" s="34"/>
      <c r="C11" s="496"/>
      <c r="D11" s="34"/>
      <c r="E11" s="496"/>
      <c r="F11" s="34"/>
      <c r="G11" s="496"/>
      <c r="H11" s="34"/>
      <c r="I11" s="496"/>
      <c r="J11" s="117"/>
    </row>
    <row r="12" spans="1:10">
      <c r="A12" s="118"/>
      <c r="B12" s="34"/>
      <c r="C12" s="496"/>
      <c r="D12" s="717"/>
      <c r="E12" s="496"/>
      <c r="F12" s="34"/>
      <c r="G12" s="496"/>
      <c r="H12" s="34"/>
      <c r="I12" s="496"/>
      <c r="J12" s="117"/>
    </row>
    <row r="13" spans="1:10">
      <c r="A13" s="118"/>
      <c r="B13" s="34"/>
      <c r="C13" s="496"/>
      <c r="D13" s="717"/>
      <c r="E13" s="496"/>
      <c r="F13" s="34"/>
      <c r="G13" s="496"/>
      <c r="H13" s="34"/>
      <c r="I13" s="496"/>
      <c r="J13" s="117"/>
    </row>
    <row r="14" spans="1:10">
      <c r="A14" s="118"/>
      <c r="B14" s="34"/>
      <c r="C14" s="496"/>
      <c r="D14" s="717"/>
      <c r="E14" s="496"/>
      <c r="F14" s="34"/>
      <c r="G14" s="496"/>
      <c r="H14" s="34"/>
      <c r="I14" s="496"/>
      <c r="J14" s="117"/>
    </row>
    <row r="15" spans="1:10">
      <c r="A15" s="118"/>
      <c r="B15" s="34"/>
      <c r="C15" s="496"/>
      <c r="D15" s="717"/>
      <c r="E15" s="496"/>
      <c r="F15" s="34"/>
      <c r="G15" s="496"/>
      <c r="H15" s="34"/>
      <c r="I15" s="496"/>
      <c r="J15" s="117"/>
    </row>
    <row r="16" spans="1:10">
      <c r="A16" s="118"/>
      <c r="B16" s="34"/>
      <c r="C16" s="496"/>
      <c r="D16" s="34"/>
      <c r="E16" s="496"/>
      <c r="F16" s="34"/>
      <c r="G16" s="496"/>
      <c r="H16" s="34"/>
      <c r="I16" s="496"/>
      <c r="J16" s="117"/>
    </row>
    <row r="17" spans="1:10">
      <c r="A17" s="118"/>
      <c r="B17" s="34"/>
      <c r="C17" s="496"/>
      <c r="D17" s="34"/>
      <c r="E17" s="496"/>
      <c r="F17" s="34"/>
      <c r="G17" s="496"/>
      <c r="H17" s="34"/>
      <c r="I17" s="496"/>
      <c r="J17" s="117"/>
    </row>
    <row r="18" spans="1:10">
      <c r="A18" s="118"/>
      <c r="B18" s="34"/>
      <c r="C18" s="496"/>
      <c r="D18" s="34"/>
      <c r="E18" s="496"/>
      <c r="F18" s="34"/>
      <c r="G18" s="496"/>
      <c r="H18" s="34"/>
      <c r="I18" s="496"/>
      <c r="J18" s="117"/>
    </row>
    <row r="19" spans="1:10">
      <c r="A19" s="118"/>
      <c r="B19" s="34"/>
      <c r="C19" s="496"/>
      <c r="D19" s="34"/>
      <c r="E19" s="496"/>
      <c r="F19" s="34"/>
      <c r="G19" s="496"/>
      <c r="H19" s="34"/>
      <c r="I19" s="496"/>
      <c r="J19" s="117"/>
    </row>
    <row r="20" spans="1:10">
      <c r="A20" s="118"/>
      <c r="B20" s="34"/>
      <c r="C20" s="496"/>
      <c r="D20" s="34"/>
      <c r="E20" s="496"/>
      <c r="F20" s="34"/>
      <c r="G20" s="496"/>
      <c r="H20" s="34"/>
      <c r="I20" s="496"/>
      <c r="J20" s="117"/>
    </row>
    <row r="21" spans="1:10" ht="13.5" thickBot="1">
      <c r="A21" s="119"/>
      <c r="B21" s="120"/>
      <c r="C21" s="719"/>
      <c r="D21" s="120"/>
      <c r="E21" s="719"/>
      <c r="F21" s="120"/>
      <c r="G21" s="719"/>
      <c r="H21" s="120"/>
      <c r="I21" s="719"/>
      <c r="J21" s="121"/>
    </row>
  </sheetData>
  <mergeCells count="6">
    <mergeCell ref="A1:J1"/>
    <mergeCell ref="A3:B3"/>
    <mergeCell ref="C3:D3"/>
    <mergeCell ref="E3:F3"/>
    <mergeCell ref="G3:H3"/>
    <mergeCell ref="I3:J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7"/>
  <sheetViews>
    <sheetView workbookViewId="0">
      <selection activeCell="C29" sqref="C29"/>
    </sheetView>
  </sheetViews>
  <sheetFormatPr defaultRowHeight="12.75"/>
  <cols>
    <col min="2" max="2" width="16.5703125" bestFit="1" customWidth="1"/>
  </cols>
  <sheetData>
    <row r="1" spans="1:8" ht="18.75" thickBot="1">
      <c r="A1" s="160" t="str">
        <f>Assumptions!A1</f>
        <v>Project ETS</v>
      </c>
      <c r="D1" s="193" t="s">
        <v>103</v>
      </c>
    </row>
    <row r="2" spans="1:8" ht="15.75">
      <c r="B2" s="169" t="s">
        <v>99</v>
      </c>
      <c r="D2" s="187" t="str">
        <f>IF(CLoop&lt;&gt;0, "Warning Flag: Check Unlev. Consolid sheet and run Macro","")</f>
        <v/>
      </c>
      <c r="E2" s="188"/>
      <c r="F2" s="188"/>
      <c r="G2" s="188"/>
      <c r="H2" s="189"/>
    </row>
    <row r="3" spans="1:8" ht="18.75" thickBot="1">
      <c r="A3" s="160"/>
      <c r="D3" s="190" t="str">
        <f>IF('Unlev. Consolid'!K119="","","Warning Flag: Check Unlev.Consolid sheet and separate Asset sheets")</f>
        <v/>
      </c>
      <c r="E3" s="191"/>
      <c r="F3" s="191"/>
      <c r="G3" s="191"/>
      <c r="H3" s="192"/>
    </row>
    <row r="5" spans="1:8">
      <c r="A5" s="9" t="s">
        <v>92</v>
      </c>
    </row>
    <row r="6" spans="1:8" ht="13.5" thickBot="1"/>
    <row r="7" spans="1:8">
      <c r="B7" s="166" t="s">
        <v>94</v>
      </c>
      <c r="C7" s="167"/>
      <c r="D7" s="164">
        <f>E7-0.025</f>
        <v>4.9999999999999996E-2</v>
      </c>
      <c r="E7" s="164">
        <f>ConsDRate</f>
        <v>7.4999999999999997E-2</v>
      </c>
      <c r="F7" s="165">
        <f>E7+0.025</f>
        <v>0.1</v>
      </c>
    </row>
    <row r="8" spans="1:8">
      <c r="B8" s="172" t="s">
        <v>95</v>
      </c>
      <c r="C8" s="173"/>
      <c r="D8" s="174">
        <f>'Unlev. Consolid'!N118</f>
        <v>12208270.219595039</v>
      </c>
      <c r="E8" s="174">
        <f>'Unlev. Consolid'!O118</f>
        <v>10138316.611176684</v>
      </c>
      <c r="F8" s="175">
        <f>'Unlev. Consolid'!P118</f>
        <v>8495780.4033839796</v>
      </c>
    </row>
    <row r="9" spans="1:8" ht="13.5" thickBot="1">
      <c r="B9" s="163" t="s">
        <v>132</v>
      </c>
      <c r="C9" s="176">
        <f>'Unlev. Consolid'!$L$121</f>
        <v>0</v>
      </c>
      <c r="D9" s="129"/>
      <c r="E9" s="129"/>
      <c r="F9" s="177"/>
    </row>
    <row r="11" spans="1:8">
      <c r="A11" s="9" t="s">
        <v>96</v>
      </c>
    </row>
    <row r="13" spans="1:8">
      <c r="B13" s="7" t="s">
        <v>97</v>
      </c>
      <c r="D13" s="168">
        <f>Assumptions!D16</f>
        <v>0.36526261134097698</v>
      </c>
    </row>
    <row r="14" spans="1:8" ht="13.5" thickBot="1"/>
    <row r="15" spans="1:8">
      <c r="B15" s="166" t="s">
        <v>94</v>
      </c>
      <c r="C15" s="162"/>
      <c r="D15" s="164">
        <f>E15-0.025</f>
        <v>4.9999999999999996E-2</v>
      </c>
      <c r="E15" s="164">
        <f>ConsDRate</f>
        <v>7.4999999999999997E-2</v>
      </c>
      <c r="F15" s="165">
        <f>E15+0.025</f>
        <v>0.1</v>
      </c>
    </row>
    <row r="16" spans="1:8">
      <c r="B16" s="172" t="s">
        <v>98</v>
      </c>
      <c r="C16" s="173"/>
      <c r="D16" s="174">
        <f>'Lev. Consolid'!F7</f>
        <v>0</v>
      </c>
      <c r="E16" s="174">
        <f>'Lev. Consolid'!G7</f>
        <v>0</v>
      </c>
      <c r="F16" s="175">
        <f>'Lev. Consolid'!H7</f>
        <v>0</v>
      </c>
    </row>
    <row r="17" spans="2:6" ht="13.5" thickBot="1">
      <c r="B17" s="163" t="s">
        <v>55</v>
      </c>
      <c r="C17" s="178">
        <f>'Lev. Consolid'!$G$9</f>
        <v>0</v>
      </c>
      <c r="D17" s="129"/>
      <c r="E17" s="129"/>
      <c r="F17" s="177"/>
    </row>
  </sheetData>
  <phoneticPr fontId="0" type="noConversion"/>
  <pageMargins left="0.75" right="0.75" top="1" bottom="1" header="0.5" footer="0.5"/>
  <pageSetup orientation="portrait" r:id="rId1"/>
  <headerFooter alignWithMargins="0">
    <oddFooter>&amp;R&amp;F
&amp;A
&amp;D&amp;T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J49"/>
  <sheetViews>
    <sheetView showGridLines="0" zoomScale="75" zoomScaleNormal="75" workbookViewId="0">
      <selection activeCell="D12" sqref="D12"/>
    </sheetView>
  </sheetViews>
  <sheetFormatPr defaultRowHeight="12.75" outlineLevelRow="1"/>
  <cols>
    <col min="1" max="1" width="2.85546875" customWidth="1"/>
    <col min="2" max="2" width="22.85546875" bestFit="1" customWidth="1"/>
    <col min="3" max="3" width="14.85546875" customWidth="1"/>
    <col min="4" max="4" width="15.5703125" bestFit="1" customWidth="1"/>
    <col min="5" max="5" width="14.140625" customWidth="1"/>
    <col min="6" max="6" width="10.85546875" customWidth="1"/>
    <col min="7" max="7" width="14.5703125" customWidth="1"/>
    <col min="8" max="8" width="19.7109375" customWidth="1"/>
    <col min="9" max="10" width="13.7109375" customWidth="1"/>
  </cols>
  <sheetData>
    <row r="1" spans="1:10" ht="20.25">
      <c r="A1" s="714" t="str">
        <f>"Project "&amp;D6</f>
        <v>Project ETS</v>
      </c>
      <c r="B1" s="114"/>
      <c r="C1" s="114"/>
      <c r="D1" s="115"/>
    </row>
    <row r="2" spans="1:10" ht="16.5" thickBot="1">
      <c r="A2" s="479" t="s">
        <v>526</v>
      </c>
      <c r="B2" s="120"/>
      <c r="C2" s="120"/>
      <c r="D2" s="121"/>
    </row>
    <row r="3" spans="1:10">
      <c r="D3" s="42"/>
    </row>
    <row r="4" spans="1:10" ht="15.75">
      <c r="A4" s="701" t="s">
        <v>342</v>
      </c>
      <c r="B4" s="700"/>
      <c r="C4" s="702"/>
      <c r="D4" s="703"/>
    </row>
    <row r="5" spans="1:10">
      <c r="A5" s="496"/>
      <c r="B5" s="34"/>
      <c r="C5" s="34"/>
      <c r="D5" s="224"/>
    </row>
    <row r="6" spans="1:10">
      <c r="A6" s="494"/>
      <c r="B6" s="495" t="s">
        <v>34</v>
      </c>
      <c r="C6" s="495"/>
      <c r="D6" s="498" t="s">
        <v>560</v>
      </c>
      <c r="F6" s="112"/>
      <c r="G6" s="112"/>
    </row>
    <row r="7" spans="1:10">
      <c r="A7" s="496"/>
      <c r="B7" s="34" t="s">
        <v>90</v>
      </c>
      <c r="C7" s="34"/>
      <c r="D7" s="499"/>
      <c r="F7" s="113"/>
      <c r="G7" s="113"/>
    </row>
    <row r="8" spans="1:10">
      <c r="A8" s="496"/>
      <c r="B8" s="34" t="s">
        <v>516</v>
      </c>
      <c r="C8" s="34"/>
      <c r="D8" s="499">
        <v>2002</v>
      </c>
      <c r="J8" s="34"/>
    </row>
    <row r="9" spans="1:10">
      <c r="A9" s="496"/>
      <c r="B9" s="34" t="s">
        <v>52</v>
      </c>
      <c r="C9" s="34"/>
      <c r="D9" s="499">
        <v>10</v>
      </c>
    </row>
    <row r="10" spans="1:10">
      <c r="A10" s="496"/>
      <c r="B10" s="34" t="s">
        <v>36</v>
      </c>
      <c r="C10" s="34"/>
      <c r="D10" s="502">
        <v>0.38500000000000001</v>
      </c>
    </row>
    <row r="11" spans="1:10">
      <c r="A11" s="496"/>
      <c r="B11" s="43" t="s">
        <v>548</v>
      </c>
      <c r="C11" s="34"/>
      <c r="D11" s="502">
        <f>D10</f>
        <v>0.38500000000000001</v>
      </c>
    </row>
    <row r="12" spans="1:10">
      <c r="A12" s="496"/>
      <c r="B12" s="34" t="s">
        <v>50</v>
      </c>
      <c r="C12" s="34"/>
      <c r="D12" s="502">
        <v>7.4999999999999997E-2</v>
      </c>
      <c r="E12" s="90" t="str">
        <f>IF(CLoop=0,"","Run Consolidated Macro")</f>
        <v/>
      </c>
    </row>
    <row r="13" spans="1:10">
      <c r="A13" s="497"/>
      <c r="B13" s="292" t="s">
        <v>51</v>
      </c>
      <c r="C13" s="292"/>
      <c r="D13" s="885">
        <v>0</v>
      </c>
      <c r="E13" s="48"/>
    </row>
    <row r="14" spans="1:10">
      <c r="A14" s="496"/>
      <c r="B14" s="34"/>
      <c r="C14" s="34"/>
      <c r="D14" s="707"/>
      <c r="E14" s="48"/>
    </row>
    <row r="15" spans="1:10">
      <c r="A15" s="705" t="s">
        <v>38</v>
      </c>
      <c r="B15" s="700"/>
      <c r="C15" s="700"/>
      <c r="D15" s="706"/>
      <c r="E15" s="48"/>
    </row>
    <row r="16" spans="1:10">
      <c r="A16" s="494"/>
      <c r="B16" s="495" t="s">
        <v>88</v>
      </c>
      <c r="C16" s="495"/>
      <c r="D16" s="985">
        <f>'Valuation Summary'!E11/'Valuation Summary'!D11</f>
        <v>0.36526261134097698</v>
      </c>
      <c r="E16" s="48"/>
    </row>
    <row r="17" spans="1:9">
      <c r="A17" s="496"/>
      <c r="B17" s="34" t="s">
        <v>40</v>
      </c>
      <c r="C17" s="34"/>
      <c r="D17" s="501">
        <f>Assumptions!G44</f>
        <v>7.4999999999999997E-2</v>
      </c>
      <c r="E17" s="48"/>
    </row>
    <row r="18" spans="1:9">
      <c r="A18" s="497"/>
      <c r="B18" s="292" t="s">
        <v>41</v>
      </c>
      <c r="C18" s="292"/>
      <c r="D18" s="979">
        <f>D9</f>
        <v>10</v>
      </c>
      <c r="E18" s="48"/>
    </row>
    <row r="20" spans="1:9">
      <c r="A20" s="402" t="s">
        <v>35</v>
      </c>
      <c r="B20" s="412"/>
      <c r="C20" s="412"/>
      <c r="D20" s="412"/>
      <c r="E20" s="412"/>
      <c r="F20" s="412"/>
      <c r="G20" s="412"/>
      <c r="H20" s="412"/>
      <c r="I20" s="412"/>
    </row>
    <row r="21" spans="1:9" ht="38.25">
      <c r="A21" s="494"/>
      <c r="B21" s="495"/>
      <c r="C21" s="503" t="s">
        <v>56</v>
      </c>
      <c r="D21" s="503" t="s">
        <v>524</v>
      </c>
      <c r="E21" s="503" t="s">
        <v>39</v>
      </c>
      <c r="F21" s="503" t="s">
        <v>46</v>
      </c>
      <c r="G21" s="503" t="s">
        <v>536</v>
      </c>
      <c r="H21" s="504" t="s">
        <v>49</v>
      </c>
      <c r="I21" s="1003" t="s">
        <v>553</v>
      </c>
    </row>
    <row r="22" spans="1:9">
      <c r="A22" s="496"/>
      <c r="B22" s="34" t="str">
        <f>'Northern Natural DCF'!A2</f>
        <v>Northern Natural</v>
      </c>
      <c r="C22" s="505">
        <v>1</v>
      </c>
      <c r="D22" s="286">
        <v>1</v>
      </c>
      <c r="E22" s="250">
        <v>9</v>
      </c>
      <c r="F22" s="506">
        <f>ConsDRate</f>
        <v>7.4999999999999997E-2</v>
      </c>
      <c r="G22" s="924">
        <v>2.2499999999999999E-2</v>
      </c>
      <c r="H22" s="95" t="str">
        <f>IF(NN_Loop=1,"Run Macro!","Okay")</f>
        <v>Okay</v>
      </c>
      <c r="I22" s="224"/>
    </row>
    <row r="23" spans="1:9">
      <c r="A23" s="496"/>
      <c r="B23" s="34"/>
      <c r="C23" s="34"/>
      <c r="D23" s="909"/>
      <c r="E23" s="909"/>
      <c r="F23" s="34"/>
      <c r="G23" s="909"/>
      <c r="H23" s="227"/>
      <c r="I23" s="224"/>
    </row>
    <row r="24" spans="1:9">
      <c r="A24" s="496"/>
      <c r="B24" s="34" t="str">
        <f>'Transwestern DCF'!A2</f>
        <v>Transwestern</v>
      </c>
      <c r="C24" s="505">
        <v>1</v>
      </c>
      <c r="D24" s="286">
        <v>1</v>
      </c>
      <c r="E24" s="250">
        <f>E22</f>
        <v>9</v>
      </c>
      <c r="F24" s="506">
        <f>ConsDRate</f>
        <v>7.4999999999999997E-2</v>
      </c>
      <c r="G24" s="924">
        <v>2.2499999999999999E-2</v>
      </c>
      <c r="H24" s="95" t="str">
        <f>IF(TW_Loop=1,"Run Macro!","Okay")</f>
        <v>Okay</v>
      </c>
      <c r="I24" s="224"/>
    </row>
    <row r="25" spans="1:9">
      <c r="A25" s="496"/>
      <c r="B25" s="34"/>
      <c r="C25" s="34"/>
      <c r="D25" s="909"/>
      <c r="E25" s="909"/>
      <c r="F25" s="34"/>
      <c r="G25" s="909"/>
      <c r="H25" s="227"/>
      <c r="I25" s="224"/>
    </row>
    <row r="26" spans="1:9">
      <c r="A26" s="496"/>
      <c r="B26" s="34" t="str">
        <f>'NBP DCF'!A2</f>
        <v>Northern Border Partners</v>
      </c>
      <c r="C26" s="505">
        <v>1</v>
      </c>
      <c r="D26" s="286">
        <f>(0.02)*0.7</f>
        <v>1.3999999999999999E-2</v>
      </c>
      <c r="E26" s="250">
        <f>E22</f>
        <v>9</v>
      </c>
      <c r="F26" s="506">
        <f>ConsDRate</f>
        <v>7.4999999999999997E-2</v>
      </c>
      <c r="G26" s="924">
        <v>2.2499999999999999E-2</v>
      </c>
      <c r="H26" s="96" t="str">
        <f>IF(NBP_Loop=1,"Run Macro!","Okay")</f>
        <v>Okay</v>
      </c>
      <c r="I26" s="1004">
        <v>40</v>
      </c>
    </row>
    <row r="27" spans="1:9">
      <c r="A27" s="496"/>
      <c r="B27" s="34"/>
      <c r="C27" s="34"/>
      <c r="D27" s="909"/>
      <c r="E27" s="909"/>
      <c r="F27" s="34"/>
      <c r="G27" s="909"/>
      <c r="H27" s="227"/>
      <c r="I27" s="224"/>
    </row>
    <row r="28" spans="1:9">
      <c r="A28" s="496"/>
      <c r="B28" s="34" t="str">
        <f>'Citrus DCF'!A2</f>
        <v>Citrus</v>
      </c>
      <c r="C28" s="505">
        <v>1</v>
      </c>
      <c r="D28" s="286">
        <v>0.5</v>
      </c>
      <c r="E28" s="250">
        <f>E22</f>
        <v>9</v>
      </c>
      <c r="F28" s="506">
        <f>ConsDRate</f>
        <v>7.4999999999999997E-2</v>
      </c>
      <c r="G28" s="286">
        <v>1.4999999999999999E-2</v>
      </c>
      <c r="H28" s="96" t="str">
        <f>IF(CitrusLoop=1,"Run Macro!","Okay")</f>
        <v>Okay</v>
      </c>
      <c r="I28" s="224"/>
    </row>
    <row r="29" spans="1:9">
      <c r="A29" s="496"/>
      <c r="B29" s="34"/>
      <c r="C29" s="970"/>
      <c r="D29" s="558"/>
      <c r="E29" s="971"/>
      <c r="F29" s="972"/>
      <c r="G29" s="558"/>
      <c r="H29" s="96"/>
      <c r="I29" s="224"/>
    </row>
    <row r="30" spans="1:9">
      <c r="A30" s="497"/>
      <c r="B30" s="292" t="s">
        <v>544</v>
      </c>
      <c r="C30" s="672">
        <v>1</v>
      </c>
      <c r="D30" s="969">
        <v>0.33300000000000002</v>
      </c>
      <c r="E30" s="967">
        <f>E28</f>
        <v>9</v>
      </c>
      <c r="F30" s="966">
        <f>ConsDRate</f>
        <v>7.4999999999999997E-2</v>
      </c>
      <c r="G30" s="965">
        <v>3.5999999999999997E-2</v>
      </c>
      <c r="H30" s="320" t="str">
        <f>IF(TB_Loop=1,"Run Macro!","Okay")</f>
        <v>Okay</v>
      </c>
      <c r="I30" s="225"/>
    </row>
    <row r="31" spans="1:9" ht="15" hidden="1" outlineLevel="1">
      <c r="A31" s="508" t="s">
        <v>100</v>
      </c>
      <c r="B31" s="34"/>
      <c r="C31" s="34"/>
      <c r="D31" s="34"/>
      <c r="E31" s="34"/>
      <c r="F31" s="34"/>
      <c r="G31" s="34"/>
      <c r="H31" s="34"/>
      <c r="I31" s="224"/>
    </row>
    <row r="32" spans="1:9" hidden="1" outlineLevel="1">
      <c r="A32" s="496"/>
      <c r="B32" s="494"/>
      <c r="C32" s="510" t="s">
        <v>102</v>
      </c>
      <c r="D32" s="510"/>
      <c r="E32" s="511"/>
      <c r="F32" s="34"/>
      <c r="G32" s="34"/>
      <c r="H32" s="34"/>
      <c r="I32" s="224"/>
    </row>
    <row r="33" spans="1:10" hidden="1" outlineLevel="1">
      <c r="A33" s="496"/>
      <c r="B33" s="512" t="s">
        <v>153</v>
      </c>
      <c r="C33" s="218"/>
      <c r="D33" s="194"/>
      <c r="E33" s="513"/>
      <c r="F33" s="34"/>
      <c r="G33" s="34"/>
      <c r="H33" s="34"/>
      <c r="I33" s="224"/>
    </row>
    <row r="34" spans="1:10" hidden="1" outlineLevel="1">
      <c r="A34" s="496"/>
      <c r="B34" s="512" t="s">
        <v>149</v>
      </c>
      <c r="C34" s="194" t="s">
        <v>151</v>
      </c>
      <c r="D34" s="194"/>
      <c r="E34" s="513"/>
      <c r="F34" s="34"/>
      <c r="G34" s="34"/>
      <c r="H34" s="34"/>
      <c r="I34" s="224"/>
    </row>
    <row r="35" spans="1:10" hidden="1" outlineLevel="1">
      <c r="A35" s="496"/>
      <c r="B35" s="514" t="s">
        <v>91</v>
      </c>
      <c r="C35" s="509" t="s">
        <v>152</v>
      </c>
      <c r="D35" s="509"/>
      <c r="E35" s="515"/>
      <c r="F35" s="34"/>
      <c r="G35" s="34"/>
      <c r="H35" s="34"/>
      <c r="I35" s="224"/>
    </row>
    <row r="36" spans="1:10" hidden="1" outlineLevel="1">
      <c r="A36" s="496"/>
      <c r="B36" s="34"/>
      <c r="C36" s="34"/>
      <c r="D36" s="34"/>
      <c r="E36" s="34"/>
      <c r="F36" s="34"/>
      <c r="G36" s="34"/>
      <c r="H36" s="34"/>
      <c r="I36" s="224"/>
    </row>
    <row r="37" spans="1:10" ht="15" hidden="1" outlineLevel="1">
      <c r="A37" s="508" t="s">
        <v>101</v>
      </c>
      <c r="B37" s="34"/>
      <c r="C37" s="34"/>
      <c r="D37" s="34"/>
      <c r="E37" s="34"/>
      <c r="F37" s="34"/>
      <c r="G37" s="34"/>
      <c r="H37" s="34"/>
      <c r="I37" s="224"/>
    </row>
    <row r="38" spans="1:10" hidden="1" outlineLevel="1">
      <c r="A38" s="496"/>
      <c r="B38" s="494"/>
      <c r="C38" s="510" t="s">
        <v>102</v>
      </c>
      <c r="D38" s="510"/>
      <c r="E38" s="511"/>
      <c r="F38" s="34"/>
      <c r="G38" s="34"/>
      <c r="H38" s="34"/>
      <c r="I38" s="224"/>
    </row>
    <row r="39" spans="1:10" hidden="1" outlineLevel="1">
      <c r="A39" s="496"/>
      <c r="B39" s="512" t="s">
        <v>153</v>
      </c>
      <c r="C39" s="218"/>
      <c r="D39" s="194"/>
      <c r="E39" s="513"/>
      <c r="F39" s="34"/>
      <c r="G39" s="34"/>
      <c r="H39" s="34"/>
      <c r="I39" s="224"/>
    </row>
    <row r="40" spans="1:10" hidden="1" outlineLevel="1">
      <c r="A40" s="496"/>
      <c r="B40" s="512" t="s">
        <v>149</v>
      </c>
      <c r="C40" s="194" t="s">
        <v>152</v>
      </c>
      <c r="D40" s="194"/>
      <c r="E40" s="513"/>
      <c r="F40" s="34"/>
      <c r="G40" s="34"/>
      <c r="H40" s="34"/>
      <c r="I40" s="224"/>
    </row>
    <row r="41" spans="1:10" hidden="1" outlineLevel="1">
      <c r="A41" s="497"/>
      <c r="B41" s="514" t="s">
        <v>91</v>
      </c>
      <c r="C41" s="509" t="s">
        <v>151</v>
      </c>
      <c r="D41" s="509"/>
      <c r="E41" s="515"/>
      <c r="F41" s="292"/>
      <c r="G41" s="292"/>
      <c r="H41" s="292"/>
      <c r="I41" s="225"/>
    </row>
    <row r="42" spans="1:10" collapsed="1"/>
    <row r="43" spans="1:10" ht="24">
      <c r="A43" s="296" t="s">
        <v>161</v>
      </c>
      <c r="B43" s="297"/>
      <c r="C43" s="298"/>
      <c r="D43" s="299" t="s">
        <v>162</v>
      </c>
      <c r="E43" s="299"/>
      <c r="F43" s="299" t="s">
        <v>191</v>
      </c>
      <c r="G43" s="299" t="s">
        <v>40</v>
      </c>
      <c r="H43" s="299" t="s">
        <v>163</v>
      </c>
      <c r="I43" s="299" t="s">
        <v>164</v>
      </c>
      <c r="J43" s="300" t="s">
        <v>165</v>
      </c>
    </row>
    <row r="44" spans="1:10">
      <c r="A44" s="238"/>
      <c r="B44" s="227"/>
      <c r="C44" s="248" t="s">
        <v>166</v>
      </c>
      <c r="D44" s="286">
        <f>Assumptions!D16</f>
        <v>0.36526261134097698</v>
      </c>
      <c r="E44" s="286"/>
      <c r="F44" s="398">
        <v>10</v>
      </c>
      <c r="G44" s="249">
        <f>Scenarios!B45</f>
        <v>7.4999999999999997E-2</v>
      </c>
      <c r="H44" s="273">
        <v>1</v>
      </c>
      <c r="I44" s="250">
        <v>2</v>
      </c>
      <c r="J44" s="377">
        <v>1</v>
      </c>
    </row>
    <row r="45" spans="1:10">
      <c r="A45" s="238"/>
      <c r="B45" s="227"/>
      <c r="C45" s="248" t="s">
        <v>167</v>
      </c>
      <c r="D45" s="286">
        <v>0</v>
      </c>
      <c r="E45" s="286"/>
      <c r="F45" s="398">
        <v>8</v>
      </c>
      <c r="G45" s="249">
        <f>6.82%+3.5%</f>
        <v>0.1032</v>
      </c>
      <c r="H45" s="273">
        <v>1</v>
      </c>
      <c r="I45" s="250">
        <v>2</v>
      </c>
      <c r="J45" s="377">
        <v>0.2</v>
      </c>
    </row>
    <row r="46" spans="1:10">
      <c r="A46" s="238"/>
      <c r="B46" s="227"/>
      <c r="C46" s="248" t="s">
        <v>168</v>
      </c>
      <c r="D46" s="287">
        <f>'Valuation Summary'!D52-D44-D45</f>
        <v>0</v>
      </c>
      <c r="E46" s="287"/>
      <c r="F46" s="398">
        <v>7</v>
      </c>
      <c r="G46" s="249">
        <f>5.8%+5.2%</f>
        <v>0.11</v>
      </c>
      <c r="H46" s="273">
        <v>0</v>
      </c>
      <c r="I46" s="250">
        <v>1</v>
      </c>
      <c r="J46" s="377">
        <v>0</v>
      </c>
    </row>
    <row r="47" spans="1:10">
      <c r="A47" s="238"/>
      <c r="B47" s="227"/>
      <c r="C47" s="248" t="s">
        <v>192</v>
      </c>
      <c r="D47" s="287" t="s">
        <v>193</v>
      </c>
      <c r="E47" s="287"/>
      <c r="F47" s="398" t="s">
        <v>193</v>
      </c>
      <c r="G47" s="249">
        <v>9.5000000000000001E-2</v>
      </c>
      <c r="H47" s="273">
        <v>1</v>
      </c>
      <c r="I47" s="250" t="s">
        <v>193</v>
      </c>
      <c r="J47" s="377" t="s">
        <v>193</v>
      </c>
    </row>
    <row r="48" spans="1:10">
      <c r="A48" s="238"/>
      <c r="B48" s="248"/>
      <c r="C48" s="247" t="s">
        <v>169</v>
      </c>
      <c r="D48" s="286">
        <v>0.5</v>
      </c>
      <c r="E48" s="286"/>
      <c r="F48" s="274"/>
      <c r="G48" s="274"/>
      <c r="H48" s="274"/>
      <c r="I48" s="294"/>
      <c r="J48" s="301"/>
    </row>
    <row r="49" spans="1:10">
      <c r="A49" s="243"/>
      <c r="B49" s="252"/>
      <c r="C49" s="253" t="s">
        <v>170</v>
      </c>
      <c r="D49" s="302">
        <v>0.5</v>
      </c>
      <c r="E49" s="302"/>
      <c r="F49" s="308" t="s">
        <v>171</v>
      </c>
      <c r="G49" s="275"/>
      <c r="H49" s="275"/>
      <c r="I49" s="292"/>
      <c r="J49" s="303"/>
    </row>
  </sheetData>
  <phoneticPr fontId="0" type="noConversion"/>
  <pageMargins left="0.17" right="0.17" top="1" bottom="1" header="0.5" footer="0.5"/>
  <pageSetup scale="87" orientation="landscape" horizontalDpi="4294967292" r:id="rId1"/>
  <headerFooter alignWithMargins="0">
    <oddFooter>&amp;R&amp;F
&amp;A
&amp;D, &amp;T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U55"/>
  <sheetViews>
    <sheetView showGridLines="0" zoomScale="75" zoomScaleNormal="75" workbookViewId="0">
      <selection activeCell="K9" sqref="K9"/>
    </sheetView>
  </sheetViews>
  <sheetFormatPr defaultRowHeight="12.75" outlineLevelRow="1"/>
  <cols>
    <col min="1" max="1" width="22.7109375" customWidth="1"/>
    <col min="2" max="2" width="15.28515625" customWidth="1"/>
    <col min="3" max="3" width="5.28515625" customWidth="1"/>
    <col min="4" max="4" width="22.140625" customWidth="1"/>
    <col min="5" max="5" width="20.42578125" customWidth="1"/>
    <col min="6" max="6" width="16.7109375" customWidth="1"/>
    <col min="7" max="7" width="15.140625" customWidth="1"/>
    <col min="8" max="12" width="14.5703125" customWidth="1"/>
    <col min="13" max="13" width="14.140625" customWidth="1"/>
    <col min="14" max="14" width="16" customWidth="1"/>
    <col min="15" max="15" width="10.7109375" customWidth="1"/>
    <col min="16" max="16" width="13.140625" customWidth="1"/>
    <col min="17" max="17" width="11.28515625" customWidth="1"/>
  </cols>
  <sheetData>
    <row r="1" spans="1:17" ht="20.25">
      <c r="A1" s="489" t="str">
        <f>"Project "&amp;Assumptions!D6</f>
        <v>Project ETS</v>
      </c>
      <c r="B1" s="708"/>
      <c r="C1" s="708"/>
      <c r="D1" s="708"/>
      <c r="E1" s="709"/>
      <c r="F1" s="227"/>
      <c r="G1" s="227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16.5" thickBot="1">
      <c r="A2" s="491" t="s">
        <v>517</v>
      </c>
      <c r="B2" s="710"/>
      <c r="C2" s="710"/>
      <c r="D2" s="710"/>
      <c r="E2" s="711"/>
      <c r="F2" s="227"/>
      <c r="G2" s="227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5.75">
      <c r="A3" s="288"/>
      <c r="B3" s="227"/>
      <c r="C3" s="227"/>
      <c r="D3" s="227"/>
      <c r="E3" s="227"/>
      <c r="F3" s="227"/>
      <c r="G3" s="227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15.75">
      <c r="A4" s="288" t="s">
        <v>528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7" ht="25.5">
      <c r="A5" s="402"/>
      <c r="B5" s="866"/>
      <c r="C5" s="379"/>
      <c r="D5" s="867" t="s">
        <v>561</v>
      </c>
      <c r="E5" s="867" t="s">
        <v>201</v>
      </c>
      <c r="F5" s="867" t="s">
        <v>512</v>
      </c>
      <c r="G5" s="867" t="s">
        <v>508</v>
      </c>
      <c r="H5" s="867" t="s">
        <v>513</v>
      </c>
    </row>
    <row r="6" spans="1:17" ht="13.5" customHeight="1">
      <c r="A6" s="245" t="str">
        <f>'Northern Natural DCF'!A2</f>
        <v>Northern Natural</v>
      </c>
      <c r="B6" s="906">
        <f>Assumptions!C22</f>
        <v>1</v>
      </c>
      <c r="D6" s="868">
        <f>IF(B6=1,NN_PurPrice,0)</f>
        <v>2561670.7620694125</v>
      </c>
      <c r="E6" s="991">
        <f>511300+450000</f>
        <v>961300</v>
      </c>
      <c r="F6" s="371">
        <f>D6-E6</f>
        <v>1600370.7620694125</v>
      </c>
      <c r="G6" s="903">
        <f>Assumptions!D22</f>
        <v>1</v>
      </c>
      <c r="H6" s="1005">
        <f>F6*G6</f>
        <v>1600370.7620694125</v>
      </c>
    </row>
    <row r="7" spans="1:17" ht="13.5" customHeight="1">
      <c r="A7" s="227" t="str">
        <f>'Transwestern DCF'!A2</f>
        <v>Transwestern</v>
      </c>
      <c r="B7" s="907">
        <f>Assumptions!C24</f>
        <v>1</v>
      </c>
      <c r="D7" s="371">
        <f>IF(B7=1,TW_PurPrice,0)</f>
        <v>1584209.8024402931</v>
      </c>
      <c r="E7" s="991">
        <v>550000</v>
      </c>
      <c r="F7" s="371">
        <f>D7-E7</f>
        <v>1034209.8024402931</v>
      </c>
      <c r="G7" s="903">
        <f>Assumptions!D24</f>
        <v>1</v>
      </c>
      <c r="H7" s="1005">
        <f>F7*G7</f>
        <v>1034209.8024402931</v>
      </c>
    </row>
    <row r="8" spans="1:17">
      <c r="A8" s="227" t="str">
        <f>'NBP DCF'!A2</f>
        <v>Northern Border Partners</v>
      </c>
      <c r="B8" s="907">
        <f>Assumptions!C26</f>
        <v>1</v>
      </c>
      <c r="D8" s="371">
        <f>IF(B8=1,NBP_PurPrice,0)</f>
        <v>2984308.8011700213</v>
      </c>
      <c r="E8" s="991">
        <f>1127498</f>
        <v>1127498</v>
      </c>
      <c r="F8" s="371">
        <f>D8-E8</f>
        <v>1856810.8011700213</v>
      </c>
      <c r="G8" s="904">
        <f>Assumptions!D26</f>
        <v>1.3999999999999999E-2</v>
      </c>
      <c r="H8" s="1005">
        <f>(F8*G8)+3200*Assumptions!I26</f>
        <v>153995.35121638031</v>
      </c>
    </row>
    <row r="9" spans="1:17">
      <c r="A9" s="974" t="s">
        <v>485</v>
      </c>
      <c r="B9" s="907">
        <f>Assumptions!C28</f>
        <v>1</v>
      </c>
      <c r="C9" s="34"/>
      <c r="D9" s="371">
        <f>IF(B9=1,CitrusPurPrice,0)</f>
        <v>2774093.7462023832</v>
      </c>
      <c r="E9" s="991">
        <v>1054250</v>
      </c>
      <c r="F9" s="371">
        <f>D9-E9</f>
        <v>1719843.7462023832</v>
      </c>
      <c r="G9" s="975">
        <f>Assumptions!D28</f>
        <v>0.5</v>
      </c>
      <c r="H9" s="1006">
        <f>F9*G9</f>
        <v>859921.8731011916</v>
      </c>
    </row>
    <row r="10" spans="1:17">
      <c r="A10" s="914" t="s">
        <v>544</v>
      </c>
      <c r="B10" s="908">
        <f>Assumptions!C30</f>
        <v>1</v>
      </c>
      <c r="C10" s="292"/>
      <c r="D10" s="822">
        <f>IF(B10=1,TB_PurPrice,0)</f>
        <v>234033.49929457437</v>
      </c>
      <c r="E10" s="992">
        <v>10100</v>
      </c>
      <c r="F10" s="822">
        <f>D10-E10</f>
        <v>223933.49929457437</v>
      </c>
      <c r="G10" s="968">
        <f>Assumptions!D30</f>
        <v>0.33300000000000002</v>
      </c>
      <c r="H10" s="1007">
        <f>F10*G10</f>
        <v>74569.855265093269</v>
      </c>
    </row>
    <row r="11" spans="1:17">
      <c r="A11" s="893" t="s">
        <v>190</v>
      </c>
      <c r="B11" s="105"/>
      <c r="C11" s="105"/>
      <c r="D11" s="779">
        <f>SUM(D6:D10)</f>
        <v>10138316.611176684</v>
      </c>
      <c r="E11" s="779">
        <f>SUM(E6:E10)</f>
        <v>3703148</v>
      </c>
      <c r="F11" s="779">
        <f>SUM(F6:F10)</f>
        <v>6435168.6111766845</v>
      </c>
      <c r="G11" s="905">
        <f>SUMPRODUCT(F6:F10,G6:G10)/F11</f>
        <v>0.55865943245813487</v>
      </c>
      <c r="H11" s="779">
        <f>SUM(H6:H10)</f>
        <v>3723067.6440923708</v>
      </c>
    </row>
    <row r="12" spans="1:17">
      <c r="A12" s="910"/>
      <c r="B12" s="106"/>
      <c r="C12" s="106"/>
      <c r="D12" s="457"/>
      <c r="E12" s="963"/>
      <c r="F12" s="457"/>
      <c r="G12" s="911"/>
      <c r="H12" s="457"/>
      <c r="I12" s="106"/>
      <c r="J12" s="106"/>
      <c r="K12" s="457"/>
      <c r="L12" s="457"/>
      <c r="M12" s="457"/>
      <c r="N12" s="34"/>
      <c r="O12" s="227"/>
      <c r="P12" s="227"/>
      <c r="Q12" s="34"/>
    </row>
    <row r="13" spans="1:17">
      <c r="A13" s="910"/>
      <c r="B13" s="106"/>
      <c r="C13" s="106"/>
      <c r="D13" s="457"/>
      <c r="E13" s="457"/>
      <c r="F13" s="457"/>
      <c r="G13" s="911"/>
      <c r="H13" s="457"/>
      <c r="I13" s="106"/>
      <c r="J13" s="106"/>
      <c r="K13" s="457"/>
      <c r="L13" s="457"/>
      <c r="M13" s="457"/>
      <c r="N13" s="34"/>
      <c r="O13" s="227"/>
      <c r="P13" s="227"/>
      <c r="Q13" s="34"/>
    </row>
    <row r="14" spans="1:17" ht="15.75">
      <c r="A14" s="912" t="s">
        <v>525</v>
      </c>
      <c r="B14" s="106"/>
      <c r="C14" s="106"/>
      <c r="D14" s="457"/>
      <c r="E14" s="457"/>
      <c r="F14" s="457"/>
      <c r="G14" s="911"/>
      <c r="H14" s="457"/>
      <c r="I14" s="106"/>
      <c r="J14" s="106"/>
      <c r="K14" s="457"/>
      <c r="L14" s="457"/>
      <c r="M14" s="457"/>
      <c r="N14" s="34"/>
      <c r="O14" s="227"/>
      <c r="P14" s="227"/>
      <c r="Q14" s="34"/>
    </row>
    <row r="15" spans="1:17" ht="38.25">
      <c r="A15" s="379"/>
      <c r="B15" s="867" t="s">
        <v>513</v>
      </c>
      <c r="C15" s="913"/>
      <c r="D15" s="867" t="s">
        <v>509</v>
      </c>
      <c r="E15" s="867" t="s">
        <v>518</v>
      </c>
      <c r="F15" s="867" t="s">
        <v>510</v>
      </c>
      <c r="G15" s="867" t="s">
        <v>552</v>
      </c>
      <c r="H15" s="867" t="s">
        <v>551</v>
      </c>
      <c r="I15" s="867" t="s">
        <v>556</v>
      </c>
      <c r="J15" s="867" t="s">
        <v>557</v>
      </c>
      <c r="K15" s="867" t="s">
        <v>554</v>
      </c>
      <c r="L15" s="867" t="s">
        <v>555</v>
      </c>
      <c r="M15" s="867" t="s">
        <v>514</v>
      </c>
      <c r="N15" s="34"/>
      <c r="O15" s="1008" t="s">
        <v>4</v>
      </c>
      <c r="P15" s="227"/>
      <c r="Q15" s="34"/>
    </row>
    <row r="16" spans="1:17" ht="13.5" thickBot="1">
      <c r="A16" s="245" t="str">
        <f>'Northern Natural DCF'!A2</f>
        <v>Northern Natural</v>
      </c>
      <c r="B16" s="311">
        <f>H6</f>
        <v>1600370.7620694125</v>
      </c>
      <c r="D16" s="999">
        <v>0</v>
      </c>
      <c r="E16" s="669">
        <f>+H6</f>
        <v>1600370.7620694125</v>
      </c>
      <c r="F16" s="26">
        <f>H6-E16</f>
        <v>0</v>
      </c>
      <c r="G16" s="1001">
        <v>1127500</v>
      </c>
      <c r="H16" s="10">
        <v>731800</v>
      </c>
      <c r="I16" s="1001">
        <f>+E16-G16</f>
        <v>472870.76206941251</v>
      </c>
      <c r="J16" s="1001">
        <f>+I16-(I16*Assumptions!$D$10)</f>
        <v>290815.51867268869</v>
      </c>
      <c r="K16" s="1002">
        <f>+(E16-H16)*Assumptions!$D$10</f>
        <v>334399.74339672382</v>
      </c>
      <c r="L16" s="1002">
        <v>390733</v>
      </c>
      <c r="M16" s="1002">
        <f>+E16-K16-L16</f>
        <v>875238.01867268863</v>
      </c>
      <c r="N16" s="34"/>
      <c r="O16" s="1009">
        <v>311900</v>
      </c>
      <c r="P16" s="227"/>
      <c r="Q16" s="34"/>
    </row>
    <row r="17" spans="1:21" ht="13.5" thickBot="1">
      <c r="A17" s="227" t="str">
        <f>'Transwestern DCF'!A2</f>
        <v>Transwestern</v>
      </c>
      <c r="B17" s="311">
        <f>H7</f>
        <v>1034209.8024402931</v>
      </c>
      <c r="D17" s="1000">
        <v>0</v>
      </c>
      <c r="E17" s="669">
        <f>+H7</f>
        <v>1034209.8024402931</v>
      </c>
      <c r="F17" s="26">
        <f>H7-E17</f>
        <v>0</v>
      </c>
      <c r="G17" s="1001">
        <v>910400</v>
      </c>
      <c r="H17" s="10">
        <v>1073000</v>
      </c>
      <c r="I17" s="1001">
        <f>+E17-G17</f>
        <v>123809.80244029313</v>
      </c>
      <c r="J17" s="1001">
        <f>+I17-(I17*Assumptions!$D$10)</f>
        <v>76143.028500780274</v>
      </c>
      <c r="K17" s="1002">
        <f>+(E17-H17)*Assumptions!$D$10</f>
        <v>-14934.226060487144</v>
      </c>
      <c r="L17" s="1002">
        <v>274934</v>
      </c>
      <c r="M17" s="1002">
        <f>+E17-K17-L17</f>
        <v>774210.02850078023</v>
      </c>
      <c r="N17" s="34"/>
      <c r="O17" s="1009">
        <v>235600</v>
      </c>
      <c r="P17" s="227"/>
      <c r="Q17" s="34"/>
    </row>
    <row r="18" spans="1:21" ht="13.5" thickBot="1">
      <c r="A18" s="227" t="str">
        <f>'NBP DCF'!A2</f>
        <v>Northern Border Partners</v>
      </c>
      <c r="B18" s="311">
        <f>H8</f>
        <v>153995.35121638031</v>
      </c>
      <c r="D18" s="999">
        <v>0</v>
      </c>
      <c r="E18" s="669">
        <f>+H8</f>
        <v>153995.35121638031</v>
      </c>
      <c r="F18" s="26">
        <f>H8-E18</f>
        <v>0</v>
      </c>
      <c r="G18" s="1001">
        <v>146300</v>
      </c>
      <c r="H18" s="10">
        <f>-13500-200</f>
        <v>-13700</v>
      </c>
      <c r="I18" s="1001">
        <f>+E18-G18</f>
        <v>7695.3512163803098</v>
      </c>
      <c r="J18" s="1001">
        <f>+I18-(I18*Assumptions!$D$10)</f>
        <v>4732.6409980738899</v>
      </c>
      <c r="K18" s="1002">
        <f>+(E18-H18)*Assumptions!$D$10</f>
        <v>64562.71021830642</v>
      </c>
      <c r="L18" s="1002">
        <v>0</v>
      </c>
      <c r="M18" s="1002">
        <f>+E18-K18-L18</f>
        <v>89432.640998073883</v>
      </c>
      <c r="N18" s="34"/>
      <c r="O18" s="1009">
        <v>-13700</v>
      </c>
      <c r="P18" s="227"/>
      <c r="Q18" s="34"/>
    </row>
    <row r="19" spans="1:21" ht="13.5" thickBot="1">
      <c r="A19" s="974" t="s">
        <v>485</v>
      </c>
      <c r="B19" s="311">
        <f>H9</f>
        <v>859921.8731011916</v>
      </c>
      <c r="C19" s="34"/>
      <c r="D19" s="1000">
        <v>0</v>
      </c>
      <c r="E19" s="455">
        <f>+H9</f>
        <v>859921.8731011916</v>
      </c>
      <c r="F19" s="88">
        <f>H9-E19</f>
        <v>0</v>
      </c>
      <c r="G19" s="1001">
        <v>557200</v>
      </c>
      <c r="H19" s="980">
        <v>233100</v>
      </c>
      <c r="I19" s="1001">
        <f>+E19-G19</f>
        <v>302721.8731011916</v>
      </c>
      <c r="J19" s="1001">
        <f>+I19-(I19*Assumptions!$D$10)</f>
        <v>186173.95195723284</v>
      </c>
      <c r="K19" s="1002">
        <f>+(E19-H19)*Assumptions!$D$10</f>
        <v>241326.42114395878</v>
      </c>
      <c r="L19" s="1002">
        <v>0</v>
      </c>
      <c r="M19" s="1002">
        <f>+E19-K19-L19</f>
        <v>618595.45195723278</v>
      </c>
      <c r="N19" s="34"/>
      <c r="O19" s="1009">
        <v>0</v>
      </c>
      <c r="P19" s="227"/>
      <c r="Q19" s="34"/>
    </row>
    <row r="20" spans="1:21">
      <c r="A20" s="914" t="str">
        <f>A10</f>
        <v>Trailblazer</v>
      </c>
      <c r="B20" s="311">
        <f>H10</f>
        <v>74569.855265093269</v>
      </c>
      <c r="D20" s="294">
        <v>0</v>
      </c>
      <c r="E20" s="670">
        <f>+H10</f>
        <v>74569.855265093269</v>
      </c>
      <c r="F20" s="690">
        <f>H10-E20</f>
        <v>0</v>
      </c>
      <c r="G20" s="1001">
        <v>47100</v>
      </c>
      <c r="H20" s="981">
        <v>27100</v>
      </c>
      <c r="I20" s="1001">
        <f>+E20-G20</f>
        <v>27469.855265093269</v>
      </c>
      <c r="J20" s="1001">
        <f>+I20-(I20*Assumptions!$D$10)</f>
        <v>16893.960988032362</v>
      </c>
      <c r="K20" s="1002">
        <f>+(E20-H20)*Assumptions!$D$10</f>
        <v>18275.89427706091</v>
      </c>
      <c r="L20" s="1002">
        <v>0</v>
      </c>
      <c r="M20" s="1002">
        <f>+E20-K20-L20</f>
        <v>56293.960988032355</v>
      </c>
      <c r="N20" s="34"/>
      <c r="O20" s="1009">
        <v>5500</v>
      </c>
      <c r="P20" s="227"/>
      <c r="Q20" s="34"/>
    </row>
    <row r="21" spans="1:21">
      <c r="A21" s="893" t="s">
        <v>190</v>
      </c>
      <c r="B21" s="361">
        <f>SUM(B16:B20)</f>
        <v>3723067.6440923708</v>
      </c>
      <c r="C21" s="33"/>
      <c r="D21" s="976"/>
      <c r="E21" s="361">
        <f t="shared" ref="E21:J21" si="0">SUM(E16:E20)</f>
        <v>3723067.6440923708</v>
      </c>
      <c r="F21" s="361">
        <f t="shared" si="0"/>
        <v>0</v>
      </c>
      <c r="G21" s="361">
        <f t="shared" si="0"/>
        <v>2788500</v>
      </c>
      <c r="H21" s="361">
        <f t="shared" si="0"/>
        <v>2051300</v>
      </c>
      <c r="I21" s="361">
        <f t="shared" si="0"/>
        <v>934567.64409237076</v>
      </c>
      <c r="J21" s="361">
        <f t="shared" si="0"/>
        <v>574759.10111680813</v>
      </c>
      <c r="K21" s="849">
        <f>I21*Assumptions!D11</f>
        <v>359808.54297556274</v>
      </c>
      <c r="L21" s="849"/>
      <c r="M21" s="361">
        <f>E21-K21</f>
        <v>3363259.1011168081</v>
      </c>
      <c r="N21" s="34"/>
      <c r="O21" s="1010">
        <f>SUM(O16:O20)</f>
        <v>539300</v>
      </c>
      <c r="P21" s="227"/>
      <c r="Q21" s="34"/>
    </row>
    <row r="22" spans="1:21">
      <c r="A22" s="910"/>
      <c r="B22" s="973"/>
      <c r="C22" s="34"/>
      <c r="D22" s="106"/>
      <c r="E22" s="457"/>
      <c r="F22" s="457"/>
      <c r="G22" s="34"/>
      <c r="H22" s="227"/>
      <c r="I22" s="227"/>
      <c r="J22" s="227"/>
      <c r="K22" s="34"/>
      <c r="L22" s="34"/>
      <c r="M22" s="457"/>
      <c r="N22" s="34"/>
      <c r="O22" s="227"/>
      <c r="P22" s="227"/>
      <c r="Q22" s="34"/>
    </row>
    <row r="23" spans="1:21" ht="13.5" hidden="1" thickBot="1">
      <c r="A23" s="892" t="s">
        <v>530</v>
      </c>
      <c r="B23" s="884"/>
      <c r="C23" s="884"/>
      <c r="D23" s="24"/>
      <c r="E23" s="977">
        <f>E21/H11</f>
        <v>1</v>
      </c>
      <c r="F23" s="457" t="s">
        <v>545</v>
      </c>
      <c r="G23" s="911"/>
      <c r="H23" s="457"/>
      <c r="I23" s="106"/>
      <c r="J23" s="106"/>
      <c r="K23" s="457"/>
      <c r="L23" s="457"/>
      <c r="M23" s="457"/>
      <c r="N23" s="34"/>
      <c r="O23" s="227"/>
      <c r="P23" s="227"/>
      <c r="Q23" s="34"/>
    </row>
    <row r="24" spans="1:21" ht="13.5" hidden="1" thickBot="1">
      <c r="A24" s="865" t="s">
        <v>511</v>
      </c>
      <c r="B24" s="884"/>
      <c r="C24" s="884"/>
      <c r="D24" s="394"/>
      <c r="E24" s="978">
        <f>E21/F11</f>
        <v>0.57855013116922815</v>
      </c>
      <c r="F24" s="457" t="s">
        <v>549</v>
      </c>
      <c r="G24" s="911"/>
      <c r="H24" s="457"/>
      <c r="I24" s="106"/>
      <c r="J24" s="106"/>
      <c r="K24" s="457"/>
      <c r="L24" s="457"/>
      <c r="M24" s="457"/>
      <c r="N24" s="34"/>
      <c r="O24" s="227"/>
      <c r="P24" s="227"/>
      <c r="Q24" s="34"/>
    </row>
    <row r="25" spans="1:21">
      <c r="E25" s="894"/>
      <c r="F25" s="107"/>
      <c r="M25" s="864"/>
      <c r="N25" s="23"/>
      <c r="O25" s="23"/>
      <c r="P25" s="23"/>
    </row>
    <row r="26" spans="1:21">
      <c r="F26" s="107"/>
      <c r="M26" s="864"/>
      <c r="N26" s="23"/>
      <c r="O26" s="23"/>
      <c r="P26" s="23"/>
    </row>
    <row r="27" spans="1:21">
      <c r="A27" s="34"/>
      <c r="B27" s="34"/>
      <c r="C27" s="697"/>
      <c r="D27" s="34"/>
      <c r="E27" s="34"/>
      <c r="Q27" s="227"/>
    </row>
    <row r="28" spans="1:21" ht="15.75">
      <c r="A28" s="915" t="s">
        <v>527</v>
      </c>
      <c r="B28" s="430"/>
      <c r="C28" s="698"/>
      <c r="O28" s="430" t="s">
        <v>261</v>
      </c>
      <c r="P28" s="430"/>
      <c r="Q28" s="379"/>
      <c r="R28" s="379"/>
      <c r="S28" s="379"/>
      <c r="T28" s="379"/>
      <c r="U28" s="982"/>
    </row>
    <row r="29" spans="1:21">
      <c r="A29" s="494" t="s">
        <v>505</v>
      </c>
      <c r="B29" s="521">
        <f>'Unlev. Consolid'!H90</f>
        <v>502879.10312651499</v>
      </c>
      <c r="C29" s="698"/>
      <c r="O29" s="530" t="s">
        <v>532</v>
      </c>
      <c r="P29" s="504" t="s">
        <v>533</v>
      </c>
      <c r="Q29" s="931" t="str">
        <f>A6</f>
        <v>Northern Natural</v>
      </c>
      <c r="R29" s="931" t="str">
        <f>A7</f>
        <v>Transwestern</v>
      </c>
      <c r="S29" s="931" t="s">
        <v>531</v>
      </c>
      <c r="T29" s="931" t="str">
        <f>A9</f>
        <v>Citrus</v>
      </c>
      <c r="U29" s="932" t="s">
        <v>544</v>
      </c>
    </row>
    <row r="30" spans="1:21">
      <c r="A30" s="496" t="s">
        <v>18</v>
      </c>
      <c r="B30" s="523">
        <v>15</v>
      </c>
      <c r="C30" s="699"/>
      <c r="O30" s="496" t="s">
        <v>262</v>
      </c>
      <c r="P30" s="394">
        <f>SUM(Q30:U30)</f>
        <v>9924466.2809999995</v>
      </c>
      <c r="Q30" s="927">
        <v>2743866</v>
      </c>
      <c r="R30" s="927">
        <v>987107</v>
      </c>
      <c r="S30" s="927">
        <v>2454918</v>
      </c>
      <c r="T30" s="927">
        <v>3454662</v>
      </c>
      <c r="U30" s="928">
        <v>283913.28100000002</v>
      </c>
    </row>
    <row r="31" spans="1:21">
      <c r="A31" s="607" t="s">
        <v>251</v>
      </c>
      <c r="B31" s="529">
        <f>B29*B30</f>
        <v>7543186.5468977252</v>
      </c>
      <c r="C31" s="43"/>
      <c r="O31" s="496" t="s">
        <v>263</v>
      </c>
      <c r="P31" s="394">
        <f>SUM(Q31:U31)</f>
        <v>3385092.3169999998</v>
      </c>
      <c r="Q31" s="927">
        <v>1442835</v>
      </c>
      <c r="R31" s="927">
        <v>104364</v>
      </c>
      <c r="S31" s="927">
        <v>722842</v>
      </c>
      <c r="T31" s="927">
        <v>931965</v>
      </c>
      <c r="U31" s="928">
        <v>183086.31700000001</v>
      </c>
    </row>
    <row r="32" spans="1:21">
      <c r="A32" s="496" t="s">
        <v>504</v>
      </c>
      <c r="B32" s="522">
        <f>'Unlev. Consolid'!H32</f>
        <v>964193.21459569922</v>
      </c>
      <c r="C32" s="94"/>
      <c r="O32" s="933" t="s">
        <v>264</v>
      </c>
      <c r="P32" s="428">
        <f>SUM(Q32:U32)</f>
        <v>1456065</v>
      </c>
      <c r="Q32" s="936">
        <f>282934+2374</f>
        <v>285308</v>
      </c>
      <c r="R32" s="936">
        <f>238702+2129</f>
        <v>240831</v>
      </c>
      <c r="S32" s="936">
        <v>326000</v>
      </c>
      <c r="T32" s="936">
        <v>562326</v>
      </c>
      <c r="U32" s="937">
        <v>41600</v>
      </c>
    </row>
    <row r="33" spans="1:21">
      <c r="A33" s="496" t="s">
        <v>18</v>
      </c>
      <c r="B33" s="523">
        <f>Salvage_Multiple</f>
        <v>9</v>
      </c>
      <c r="C33" s="34"/>
      <c r="O33" s="623" t="s">
        <v>190</v>
      </c>
      <c r="P33" s="475">
        <f t="shared" ref="P33:U33" si="1">P30-P31-P32</f>
        <v>5083308.9639999997</v>
      </c>
      <c r="Q33" s="49">
        <f t="shared" si="1"/>
        <v>1015723</v>
      </c>
      <c r="R33" s="49">
        <f t="shared" si="1"/>
        <v>641912</v>
      </c>
      <c r="S33" s="49">
        <f t="shared" si="1"/>
        <v>1406076</v>
      </c>
      <c r="T33" s="49">
        <f t="shared" si="1"/>
        <v>1960371</v>
      </c>
      <c r="U33" s="925">
        <f t="shared" si="1"/>
        <v>59226.964000000007</v>
      </c>
    </row>
    <row r="34" spans="1:21">
      <c r="A34" s="524" t="s">
        <v>251</v>
      </c>
      <c r="B34" s="525">
        <f>B32*B33</f>
        <v>8677738.9313612934</v>
      </c>
      <c r="C34" s="34"/>
      <c r="O34" s="497" t="s">
        <v>265</v>
      </c>
      <c r="P34" s="302">
        <v>0.11</v>
      </c>
      <c r="Q34" s="934">
        <f>P34</f>
        <v>0.11</v>
      </c>
      <c r="R34" s="934">
        <f>Q34</f>
        <v>0.11</v>
      </c>
      <c r="S34" s="934">
        <f>R34</f>
        <v>0.11</v>
      </c>
      <c r="T34" s="934">
        <f>S34</f>
        <v>0.11</v>
      </c>
      <c r="U34" s="935">
        <f>T34</f>
        <v>0.11</v>
      </c>
    </row>
    <row r="35" spans="1:21">
      <c r="A35" s="530" t="s">
        <v>252</v>
      </c>
      <c r="B35" s="531">
        <f>CPurPrice</f>
        <v>10138316.611176684</v>
      </c>
      <c r="C35" s="496"/>
      <c r="O35" s="926" t="s">
        <v>266</v>
      </c>
      <c r="P35" s="458">
        <f t="shared" ref="P35:U35" si="2">P33*P34</f>
        <v>559163.98603999999</v>
      </c>
      <c r="Q35" s="458">
        <f t="shared" si="2"/>
        <v>111729.53</v>
      </c>
      <c r="R35" s="458">
        <f t="shared" si="2"/>
        <v>70610.320000000007</v>
      </c>
      <c r="S35" s="458">
        <f t="shared" si="2"/>
        <v>154668.36000000002</v>
      </c>
      <c r="T35" s="458">
        <f t="shared" si="2"/>
        <v>215640.81</v>
      </c>
      <c r="U35" s="529">
        <f t="shared" si="2"/>
        <v>6514.9660400000012</v>
      </c>
    </row>
    <row r="36" spans="1:21">
      <c r="C36" s="34"/>
      <c r="O36" s="929" t="s">
        <v>535</v>
      </c>
      <c r="P36" s="686">
        <f>SUM(Q36:U36)</f>
        <v>360034.58399999997</v>
      </c>
      <c r="Q36" s="930">
        <v>136084</v>
      </c>
      <c r="R36" s="930">
        <v>69666</v>
      </c>
      <c r="S36" s="930">
        <v>76720</v>
      </c>
      <c r="T36" s="930">
        <v>64882</v>
      </c>
      <c r="U36" s="983">
        <v>12682.584000000001</v>
      </c>
    </row>
    <row r="37" spans="1:21">
      <c r="C37" s="34"/>
      <c r="M37" s="251"/>
      <c r="O37" s="926" t="s">
        <v>534</v>
      </c>
      <c r="P37" s="690">
        <f>SUM(Q37:U37)</f>
        <v>491885.84603999997</v>
      </c>
      <c r="Q37" s="923">
        <f>Q36+36580*(1-Assumptions!D10)</f>
        <v>158580.70000000001</v>
      </c>
      <c r="R37" s="923">
        <f>R36+11146*(1-Assumptions!D10)</f>
        <v>76520.789999999994</v>
      </c>
      <c r="S37" s="923">
        <f>S36+81495*(1-Assumptions!D10)</f>
        <v>126839.425</v>
      </c>
      <c r="T37" s="953">
        <f>T36+82117*(1-Assumptions!D10)</f>
        <v>115383.955</v>
      </c>
      <c r="U37" s="984">
        <f>U36+3054.296*(1-Assumptions!D10)</f>
        <v>14560.976040000001</v>
      </c>
    </row>
    <row r="38" spans="1:21">
      <c r="C38" s="34"/>
      <c r="D38" s="43"/>
      <c r="E38" s="43"/>
      <c r="F38" s="251"/>
      <c r="G38" s="251"/>
      <c r="H38" s="284"/>
      <c r="I38" s="284"/>
      <c r="J38" s="284"/>
      <c r="K38" s="284"/>
      <c r="L38" s="284"/>
      <c r="M38" s="284"/>
      <c r="N38" s="284"/>
      <c r="O38" s="283"/>
      <c r="P38" s="229"/>
      <c r="Q38" s="23"/>
    </row>
    <row r="39" spans="1:21">
      <c r="C39" s="34"/>
      <c r="D39" s="284"/>
      <c r="E39" s="938"/>
      <c r="F39" s="283"/>
      <c r="G39" s="283"/>
      <c r="H39" s="285"/>
      <c r="I39" s="285"/>
      <c r="J39" s="285"/>
      <c r="K39" s="285"/>
      <c r="L39" s="285"/>
      <c r="M39" s="285"/>
      <c r="N39" s="285"/>
      <c r="O39" s="283"/>
      <c r="P39" s="229"/>
      <c r="Q39" s="23"/>
    </row>
    <row r="40" spans="1:21">
      <c r="C40" s="34"/>
      <c r="D40" s="34"/>
      <c r="E40" s="34"/>
      <c r="F40" s="251"/>
      <c r="G40" s="251"/>
      <c r="H40" s="285"/>
      <c r="I40" s="285"/>
      <c r="J40" s="285"/>
      <c r="K40" s="285"/>
      <c r="L40" s="285"/>
      <c r="M40" s="285"/>
      <c r="N40" s="285"/>
      <c r="O40" s="283"/>
      <c r="P40" s="229"/>
      <c r="Q40" s="23"/>
    </row>
    <row r="41" spans="1:21">
      <c r="A41" s="226"/>
      <c r="B41" s="23"/>
      <c r="C41" s="449"/>
      <c r="D41" s="227"/>
      <c r="E41" s="371"/>
      <c r="F41" s="371"/>
      <c r="G41" s="371"/>
      <c r="H41" s="228"/>
      <c r="I41" s="23"/>
      <c r="J41" s="23"/>
      <c r="K41" s="23"/>
      <c r="L41" s="23"/>
      <c r="M41" s="75"/>
      <c r="N41" s="864"/>
      <c r="O41" s="23"/>
      <c r="P41" s="23"/>
      <c r="Q41" s="23"/>
    </row>
    <row r="42" spans="1:21">
      <c r="Q42" s="23"/>
    </row>
    <row r="43" spans="1:21">
      <c r="Q43" s="23"/>
    </row>
    <row r="44" spans="1:21">
      <c r="Q44" s="23"/>
    </row>
    <row r="45" spans="1:21">
      <c r="Q45" s="23"/>
    </row>
    <row r="46" spans="1:21">
      <c r="Q46" s="23"/>
    </row>
    <row r="47" spans="1:21">
      <c r="Q47" s="23"/>
    </row>
    <row r="48" spans="1:21">
      <c r="Q48" s="23"/>
    </row>
    <row r="49" spans="1:17">
      <c r="Q49" s="23"/>
    </row>
    <row r="50" spans="1:17" hidden="1" outlineLevel="1">
      <c r="A50" s="230" t="s">
        <v>155</v>
      </c>
      <c r="B50" s="231"/>
      <c r="C50" s="231"/>
      <c r="D50" s="231"/>
      <c r="E50" s="281" t="s">
        <v>156</v>
      </c>
      <c r="F50" s="869"/>
      <c r="G50" s="230" t="s">
        <v>157</v>
      </c>
      <c r="H50" s="231"/>
      <c r="I50" s="233"/>
      <c r="J50" s="233"/>
      <c r="K50" s="232"/>
      <c r="L50" s="232"/>
      <c r="M50" s="281" t="s">
        <v>156</v>
      </c>
      <c r="Q50" s="23"/>
    </row>
    <row r="51" spans="1:17" hidden="1" outlineLevel="1">
      <c r="A51" s="238" t="s">
        <v>158</v>
      </c>
      <c r="B51" s="240"/>
      <c r="C51" s="240"/>
      <c r="D51" s="277">
        <f>1-D52</f>
        <v>0.63473738865902307</v>
      </c>
      <c r="E51" s="278">
        <f>D51*M51</f>
        <v>6286618.7989757126</v>
      </c>
      <c r="F51" s="371"/>
      <c r="G51" s="234" t="s">
        <v>515</v>
      </c>
      <c r="H51" s="235"/>
      <c r="I51" s="236"/>
      <c r="J51" s="236"/>
      <c r="K51" s="237"/>
      <c r="L51" s="237"/>
      <c r="M51" s="276">
        <f>SUM(D6:D9)</f>
        <v>9904283.1118821092</v>
      </c>
      <c r="Q51" s="23"/>
    </row>
    <row r="52" spans="1:17" hidden="1" outlineLevel="1">
      <c r="A52" s="238" t="s">
        <v>159</v>
      </c>
      <c r="B52" s="240"/>
      <c r="C52" s="240"/>
      <c r="D52" s="277">
        <f>Assumptions!D16</f>
        <v>0.36526261134097698</v>
      </c>
      <c r="E52" s="279">
        <f>D52*M51</f>
        <v>3617664.312906397</v>
      </c>
      <c r="F52" s="371"/>
      <c r="G52" s="238" t="s">
        <v>160</v>
      </c>
      <c r="H52" s="239"/>
      <c r="I52" s="241"/>
      <c r="J52" s="241"/>
      <c r="K52" s="270"/>
      <c r="L52" s="270"/>
      <c r="M52" s="282">
        <v>0</v>
      </c>
      <c r="Q52" s="23"/>
    </row>
    <row r="53" spans="1:17" hidden="1" outlineLevel="1">
      <c r="A53" s="280" t="s">
        <v>190</v>
      </c>
      <c r="B53" s="242"/>
      <c r="C53" s="242"/>
      <c r="D53" s="242"/>
      <c r="E53" s="279">
        <f>SUM(E51:E52)</f>
        <v>9904283.1118821092</v>
      </c>
      <c r="F53" s="371"/>
      <c r="G53" s="243"/>
      <c r="H53" s="242"/>
      <c r="I53" s="242"/>
      <c r="J53" s="242"/>
      <c r="K53" s="244"/>
      <c r="L53" s="244"/>
      <c r="M53" s="279">
        <f>SUM(M51:M52)</f>
        <v>9904283.1118821092</v>
      </c>
      <c r="Q53" s="23"/>
    </row>
    <row r="54" spans="1:17" hidden="1" outlineLevel="1">
      <c r="I54" s="23"/>
      <c r="J54" s="23"/>
      <c r="Q54" s="23"/>
    </row>
    <row r="55" spans="1:17" collapsed="1">
      <c r="A55" s="305"/>
      <c r="B55" s="248"/>
      <c r="C55" s="306"/>
      <c r="D55" s="306"/>
      <c r="E55" s="307"/>
      <c r="F55" s="307"/>
      <c r="G55" s="307"/>
      <c r="P55" s="304"/>
      <c r="Q55" s="251"/>
    </row>
  </sheetData>
  <phoneticPr fontId="0" type="noConversion"/>
  <pageMargins left="0.75" right="0.75" top="1" bottom="1" header="0.5" footer="0.5"/>
  <pageSetup scale="70" orientation="landscape" r:id="rId1"/>
  <headerFooter alignWithMargins="0"/>
  <colBreaks count="1" manualBreakCount="1">
    <brk id="1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28" r:id="rId4" name="Button 16">
              <controlPr defaultSize="0" print="0" autoFill="0" autoPict="0" macro="[0]!SELL_TW">
                <anchor moveWithCells="1" sizeWithCells="1">
                  <from>
                    <xdr:col>1</xdr:col>
                    <xdr:colOff>828675</xdr:colOff>
                    <xdr:row>12</xdr:row>
                    <xdr:rowOff>142875</xdr:rowOff>
                  </from>
                  <to>
                    <xdr:col>3</xdr:col>
                    <xdr:colOff>457200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9" r:id="rId5" name="Button 17">
              <controlPr defaultSize="0" print="0" autoFill="0" autoPict="0" macro="[0]!Sell_Citrus">
                <anchor moveWithCells="1" sizeWithCells="1">
                  <from>
                    <xdr:col>3</xdr:col>
                    <xdr:colOff>828675</xdr:colOff>
                    <xdr:row>12</xdr:row>
                    <xdr:rowOff>142875</xdr:rowOff>
                  </from>
                  <to>
                    <xdr:col>4</xdr:col>
                    <xdr:colOff>295275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1" r:id="rId6" name="Button 19">
              <controlPr defaultSize="0" print="0" autoFill="0" autoPict="0" macro="[0]!No_Sale">
                <anchor moveWithCells="1" sizeWithCells="1">
                  <from>
                    <xdr:col>4</xdr:col>
                    <xdr:colOff>714375</xdr:colOff>
                    <xdr:row>12</xdr:row>
                    <xdr:rowOff>152400</xdr:rowOff>
                  </from>
                  <to>
                    <xdr:col>5</xdr:col>
                    <xdr:colOff>276225</xdr:colOff>
                    <xdr:row>13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G126"/>
  <sheetViews>
    <sheetView showGridLines="0" topLeftCell="I83" zoomScale="75" zoomScaleNormal="75" zoomScaleSheetLayoutView="50" workbookViewId="0">
      <selection activeCell="K118" sqref="K118"/>
    </sheetView>
  </sheetViews>
  <sheetFormatPr defaultRowHeight="12.75" outlineLevelRow="2" outlineLevelCol="1"/>
  <cols>
    <col min="1" max="1" width="36.5703125" customWidth="1"/>
    <col min="2" max="2" width="15.140625" bestFit="1" customWidth="1"/>
    <col min="3" max="3" width="13.7109375" customWidth="1"/>
    <col min="4" max="5" width="11" hidden="1" customWidth="1" outlineLevel="1"/>
    <col min="6" max="6" width="14.140625" hidden="1" customWidth="1" outlineLevel="1"/>
    <col min="7" max="7" width="14.140625" style="34" hidden="1" customWidth="1" outlineLevel="1"/>
    <col min="8" max="8" width="12.5703125" customWidth="1" collapsed="1"/>
    <col min="9" max="10" width="12.28515625" customWidth="1"/>
    <col min="11" max="11" width="14.28515625" customWidth="1"/>
    <col min="12" max="12" width="16.5703125" bestFit="1" customWidth="1"/>
    <col min="13" max="13" width="16.42578125" bestFit="1" customWidth="1"/>
    <col min="14" max="14" width="16.5703125" bestFit="1" customWidth="1"/>
    <col min="15" max="15" width="17.7109375" customWidth="1"/>
    <col min="16" max="16" width="16.5703125" bestFit="1" customWidth="1"/>
    <col min="17" max="17" width="12.28515625" customWidth="1"/>
    <col min="18" max="18" width="17.42578125" bestFit="1" customWidth="1"/>
    <col min="19" max="19" width="13.5703125" customWidth="1"/>
    <col min="20" max="20" width="11.28515625" bestFit="1" customWidth="1"/>
  </cols>
  <sheetData>
    <row r="1" spans="1:33" ht="20.25">
      <c r="A1" s="714" t="str">
        <f>"Project "&amp;Assumptions!D6</f>
        <v>Project ETS</v>
      </c>
      <c r="B1" s="114"/>
      <c r="C1" s="115"/>
    </row>
    <row r="2" spans="1:33" ht="16.5" thickBot="1">
      <c r="A2" s="1022" t="s">
        <v>344</v>
      </c>
      <c r="B2" s="1023"/>
      <c r="C2" s="1024"/>
      <c r="F2" s="106" t="s">
        <v>103</v>
      </c>
      <c r="G2" s="88"/>
      <c r="H2" s="34"/>
      <c r="I2" s="34"/>
      <c r="J2" s="34"/>
      <c r="K2" s="34"/>
    </row>
    <row r="3" spans="1:33">
      <c r="A3" s="35"/>
      <c r="B3" s="65"/>
      <c r="C3" s="65"/>
      <c r="F3" s="63" t="str">
        <f>IF(K119="","", "Warning: Check the Consolidated Purchase Price and the separate Asset Purchase Price")</f>
        <v/>
      </c>
      <c r="H3" s="34"/>
      <c r="I3" s="34"/>
      <c r="J3" s="34"/>
      <c r="K3" s="34"/>
    </row>
    <row r="4" spans="1:33">
      <c r="A4" s="36"/>
      <c r="F4" s="962" t="str">
        <f>IF(CLoop&lt;&gt;0,"Run Macro","")</f>
        <v/>
      </c>
      <c r="G4" s="68"/>
      <c r="H4" s="124"/>
      <c r="I4" s="43"/>
      <c r="J4" s="34"/>
      <c r="K4" s="34"/>
    </row>
    <row r="5" spans="1:33">
      <c r="A5" s="36"/>
      <c r="F5" s="124"/>
      <c r="G5" s="68"/>
      <c r="H5" s="124"/>
      <c r="I5" s="43"/>
      <c r="J5" s="34"/>
      <c r="K5" s="34"/>
    </row>
    <row r="6" spans="1:33" ht="15.75">
      <c r="A6" s="483" t="s">
        <v>54</v>
      </c>
      <c r="B6" s="484"/>
      <c r="C6" s="412"/>
      <c r="D6" s="485"/>
      <c r="E6" s="485"/>
      <c r="F6" s="412"/>
      <c r="G6" s="486"/>
      <c r="H6" s="486"/>
      <c r="I6" s="486"/>
      <c r="J6" s="412"/>
      <c r="K6" s="412"/>
      <c r="L6" s="412"/>
      <c r="M6" s="412"/>
      <c r="N6" s="412"/>
      <c r="O6" s="412"/>
      <c r="P6" s="412"/>
      <c r="Q6" s="412"/>
      <c r="R6" s="412"/>
    </row>
    <row r="7" spans="1:33" ht="15.75">
      <c r="A7" s="488"/>
      <c r="B7" s="677"/>
      <c r="C7" s="662"/>
      <c r="D7" s="678"/>
      <c r="E7" s="480"/>
      <c r="F7" s="480"/>
      <c r="G7" s="323"/>
      <c r="H7" s="309" t="s">
        <v>203</v>
      </c>
      <c r="I7" s="328"/>
      <c r="J7" s="323"/>
      <c r="K7" s="323"/>
      <c r="L7" s="246"/>
      <c r="M7" s="323"/>
      <c r="N7" s="246"/>
      <c r="O7" s="246"/>
      <c r="P7" s="246"/>
      <c r="Q7" s="246"/>
      <c r="R7" s="292"/>
    </row>
    <row r="8" spans="1:33" ht="15.75">
      <c r="A8" s="488"/>
      <c r="B8" s="677"/>
      <c r="C8" s="662"/>
      <c r="D8" s="678"/>
      <c r="E8" s="256">
        <v>1998</v>
      </c>
      <c r="F8" s="256">
        <v>1999</v>
      </c>
      <c r="G8" s="256">
        <v>2000</v>
      </c>
      <c r="H8" s="256">
        <v>2001</v>
      </c>
      <c r="I8" s="289">
        <v>2002</v>
      </c>
      <c r="J8" s="289">
        <v>2003</v>
      </c>
      <c r="K8" s="289">
        <v>2004</v>
      </c>
      <c r="L8" s="289">
        <v>2005</v>
      </c>
      <c r="M8" s="289">
        <v>2006</v>
      </c>
      <c r="N8" s="293">
        <v>2007</v>
      </c>
      <c r="O8" s="293">
        <v>2008</v>
      </c>
      <c r="P8" s="293">
        <v>2009</v>
      </c>
      <c r="Q8" s="293">
        <v>2010</v>
      </c>
      <c r="R8" s="465">
        <v>2011</v>
      </c>
    </row>
    <row r="9" spans="1:33" ht="15.75">
      <c r="A9" s="488"/>
      <c r="B9" s="677"/>
      <c r="C9" s="662"/>
      <c r="D9" s="678"/>
      <c r="E9" s="24"/>
      <c r="F9" s="24"/>
      <c r="G9" s="348" t="s">
        <v>213</v>
      </c>
      <c r="H9" s="256">
        <v>1</v>
      </c>
      <c r="I9" s="289">
        <v>2</v>
      </c>
      <c r="J9" s="289">
        <v>3</v>
      </c>
      <c r="K9" s="289">
        <v>4</v>
      </c>
      <c r="L9" s="289">
        <v>5</v>
      </c>
      <c r="M9" s="289">
        <v>6</v>
      </c>
      <c r="N9" s="289">
        <v>7</v>
      </c>
      <c r="O9" s="289">
        <v>8</v>
      </c>
      <c r="P9" s="289">
        <v>9</v>
      </c>
      <c r="Q9" s="289">
        <v>10</v>
      </c>
      <c r="R9" s="389">
        <v>11</v>
      </c>
    </row>
    <row r="10" spans="1:33">
      <c r="A10" s="22" t="s">
        <v>14</v>
      </c>
      <c r="B10" s="39" t="s">
        <v>57</v>
      </c>
      <c r="E10" s="16"/>
      <c r="F10" s="210"/>
      <c r="G10" s="209"/>
      <c r="H10" s="24"/>
    </row>
    <row r="11" spans="1:33">
      <c r="A11" s="8" t="str">
        <f>Assumptions!B22</f>
        <v>Northern Natural</v>
      </c>
      <c r="B11" s="91">
        <f>Assumptions!C22</f>
        <v>1</v>
      </c>
      <c r="C11" s="48"/>
      <c r="E11" s="211">
        <f>'Northern Natural DCF'!E11*$B$11</f>
        <v>489917</v>
      </c>
      <c r="F11" s="211">
        <f>'Northern Natural DCF'!F11*$B$11</f>
        <v>491300</v>
      </c>
      <c r="G11" s="211">
        <f>'Northern Natural DCF'!G11*$B$11</f>
        <v>505521</v>
      </c>
      <c r="H11" s="94">
        <f>'Northern Natural DCF'!H11*$B$11</f>
        <v>495151</v>
      </c>
      <c r="I11" s="94">
        <f>'Northern Natural DCF'!I11*$B$11</f>
        <v>489091</v>
      </c>
      <c r="J11" s="94">
        <f>'Northern Natural DCF'!J11*$B$11</f>
        <v>497938.16000000003</v>
      </c>
      <c r="K11" s="94">
        <f>'Northern Natural DCF'!K11*$B$11</f>
        <v>506962.26320000004</v>
      </c>
      <c r="L11" s="94">
        <f>'Northern Natural DCF'!L11*$B$11</f>
        <v>516166.84846400004</v>
      </c>
      <c r="M11" s="94">
        <f>'Northern Natural DCF'!M11*$B$11</f>
        <v>526228.02543328004</v>
      </c>
      <c r="N11" s="94">
        <f>'Northern Natural DCF'!N11*$B$11</f>
        <v>536510.60094194557</v>
      </c>
      <c r="O11" s="94">
        <f>'Northern Natural DCF'!O11*$B$11</f>
        <v>547020.01171078451</v>
      </c>
      <c r="P11" s="94">
        <f>'Northern Natural DCF'!P11*$B$11</f>
        <v>557761.85363250028</v>
      </c>
      <c r="Q11" s="94">
        <f>'Northern Natural DCF'!Q11*$B$11</f>
        <v>568741.88747702527</v>
      </c>
      <c r="R11" s="94">
        <f>'Northern Natural DCF'!R11*$B$11</f>
        <v>579966.04483703454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</row>
    <row r="12" spans="1:33">
      <c r="A12" s="8" t="str">
        <f>Assumptions!B24</f>
        <v>Transwestern</v>
      </c>
      <c r="B12" s="91">
        <f>Assumptions!C24</f>
        <v>1</v>
      </c>
      <c r="C12" s="48"/>
      <c r="E12" s="211">
        <f>'Transwestern DCF'!E11*$B$12</f>
        <v>167593</v>
      </c>
      <c r="F12" s="211">
        <f>'Transwestern DCF'!F11*$B$12</f>
        <v>155749</v>
      </c>
      <c r="G12" s="211">
        <f>'Transwestern DCF'!G11*$B$12</f>
        <v>176813</v>
      </c>
      <c r="H12" s="94">
        <f>'Transwestern DCF'!H11*$B$12</f>
        <v>202544</v>
      </c>
      <c r="I12" s="94">
        <f>'Transwestern DCF'!I11*$B$12</f>
        <v>200919</v>
      </c>
      <c r="J12" s="94">
        <f>'Transwestern DCF'!J11*$B$12</f>
        <v>219175.98</v>
      </c>
      <c r="K12" s="94">
        <f>'Transwestern DCF'!K11*$B$12</f>
        <v>229807.41620000004</v>
      </c>
      <c r="L12" s="94">
        <f>'Transwestern DCF'!L11*$B$12</f>
        <v>240957.89969800005</v>
      </c>
      <c r="M12" s="94">
        <f>'Transwestern DCF'!M11*$B$12</f>
        <v>252667.13187842007</v>
      </c>
      <c r="N12" s="94">
        <f>'Transwestern DCF'!N11*$B$12</f>
        <v>254443.14096171607</v>
      </c>
      <c r="O12" s="94">
        <f>'Transwestern DCF'!O11*$B$12</f>
        <v>256307.95049917686</v>
      </c>
      <c r="P12" s="94">
        <f>'Transwestern DCF'!P11*$B$12</f>
        <v>258266.00051351072</v>
      </c>
      <c r="Q12" s="94">
        <f>'Transwestern DCF'!Q11*$B$12</f>
        <v>258283.32147757322</v>
      </c>
      <c r="R12" s="94">
        <f>'Transwestern DCF'!R11*$B$12</f>
        <v>258301.50848983883</v>
      </c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</row>
    <row r="13" spans="1:33">
      <c r="A13" s="8" t="str">
        <f>Assumptions!B26</f>
        <v>Northern Border Partners</v>
      </c>
      <c r="B13" s="91">
        <f>Assumptions!C26</f>
        <v>1</v>
      </c>
      <c r="C13" s="48"/>
      <c r="E13" s="211">
        <f>'NBP DCF'!C10*$B$13</f>
        <v>0</v>
      </c>
      <c r="F13" s="211">
        <f>'NBP DCF'!D10*$B$13</f>
        <v>0</v>
      </c>
      <c r="G13" s="211">
        <f>'NBP DCF'!E10*$B$13</f>
        <v>339732</v>
      </c>
      <c r="H13" s="94">
        <f>'NBP DCF'!F10*$B$13</f>
        <v>491411</v>
      </c>
      <c r="I13" s="94">
        <f>'NBP DCF'!G10*$B$13</f>
        <v>576963</v>
      </c>
      <c r="J13" s="94">
        <f>'NBP DCF'!H10*$B$13</f>
        <v>590878</v>
      </c>
      <c r="K13" s="94">
        <f>'NBP DCF'!I10*$B$13</f>
        <v>606875</v>
      </c>
      <c r="L13" s="94">
        <f>'NBP DCF'!J10*$B$13</f>
        <v>611153</v>
      </c>
      <c r="M13" s="94">
        <f>'NBP DCF'!K10*$B$13</f>
        <v>611153</v>
      </c>
      <c r="N13" s="94">
        <f>'NBP DCF'!L10*$B$13</f>
        <v>611153</v>
      </c>
      <c r="O13" s="94">
        <f>'NBP DCF'!M10*$B$13</f>
        <v>611153</v>
      </c>
      <c r="P13" s="94">
        <f>'NBP DCF'!N10*$B$13</f>
        <v>611153</v>
      </c>
      <c r="Q13" s="94">
        <f>'NBP DCF'!O10*$B$13</f>
        <v>611153</v>
      </c>
      <c r="R13" s="94">
        <f>'NBP DCF'!P10*$B$13</f>
        <v>611153</v>
      </c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</row>
    <row r="14" spans="1:33">
      <c r="A14" s="8" t="str">
        <f>Assumptions!B28</f>
        <v>Citrus</v>
      </c>
      <c r="B14" s="91">
        <f>Assumptions!C28</f>
        <v>1</v>
      </c>
      <c r="C14" s="48"/>
      <c r="E14" s="211">
        <f>'Citrus DCF'!D11*$B$14</f>
        <v>591005</v>
      </c>
      <c r="F14" s="211">
        <f>'Citrus DCF'!E11*$B$14</f>
        <v>639391</v>
      </c>
      <c r="G14" s="211">
        <f>'Citrus DCF'!F11*$B$14</f>
        <v>476073</v>
      </c>
      <c r="H14" s="94">
        <f>'Citrus DCF'!G11*$B$14</f>
        <v>346941</v>
      </c>
      <c r="I14" s="94">
        <f>'Citrus DCF'!H11*$B$14</f>
        <v>402886</v>
      </c>
      <c r="J14" s="94">
        <f>'Citrus DCF'!I11*$B$14</f>
        <v>429460</v>
      </c>
      <c r="K14" s="94">
        <f>'Citrus DCF'!J11*$B$14</f>
        <v>433496</v>
      </c>
      <c r="L14" s="94">
        <f>'Citrus DCF'!K11*$B$14</f>
        <v>431092</v>
      </c>
      <c r="M14" s="94">
        <f>'Citrus DCF'!L11*$B$14</f>
        <v>431092</v>
      </c>
      <c r="N14" s="94">
        <f>'Citrus DCF'!M11*$B$14</f>
        <v>431092</v>
      </c>
      <c r="O14" s="94">
        <f>'Citrus DCF'!N11*$B$14</f>
        <v>431092</v>
      </c>
      <c r="P14" s="94">
        <f>'Citrus DCF'!O11*$B$14</f>
        <v>431092</v>
      </c>
      <c r="Q14" s="94">
        <f>'Citrus DCF'!P11*$B$14</f>
        <v>431092</v>
      </c>
      <c r="R14" s="94">
        <f>'Citrus DCF'!Q11*$B$14</f>
        <v>431092</v>
      </c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5" spans="1:33">
      <c r="A15" s="8" t="str">
        <f>Assumptions!B30</f>
        <v>Trailblazer</v>
      </c>
      <c r="B15" s="91">
        <f>Assumptions!C30</f>
        <v>1</v>
      </c>
      <c r="C15" s="48"/>
      <c r="E15" s="211">
        <f>'Trailblazer DCF'!E11</f>
        <v>42737.521999999997</v>
      </c>
      <c r="F15" s="211">
        <f>'Trailblazer DCF'!F11</f>
        <v>33711.148000000001</v>
      </c>
      <c r="G15" s="211">
        <f>'Trailblazer DCF'!G11</f>
        <v>29084.758000000002</v>
      </c>
      <c r="H15" s="94">
        <f>'Trailblazer DCF'!H11</f>
        <v>27803.514595699206</v>
      </c>
      <c r="I15" s="94">
        <f>'Trailblazer DCF'!I11</f>
        <v>27803.514595699206</v>
      </c>
      <c r="J15" s="94">
        <f>'Trailblazer DCF'!J11</f>
        <v>27803.514595699206</v>
      </c>
      <c r="K15" s="94">
        <f>'Trailblazer DCF'!K11</f>
        <v>27803.514595699206</v>
      </c>
      <c r="L15" s="94">
        <f>'Trailblazer DCF'!L11</f>
        <v>27803.514595699206</v>
      </c>
      <c r="M15" s="94">
        <f>'Trailblazer DCF'!M11</f>
        <v>27803.514595699206</v>
      </c>
      <c r="N15" s="94">
        <f>'Trailblazer DCF'!N11</f>
        <v>27803.514595699206</v>
      </c>
      <c r="O15" s="94">
        <f>'Trailblazer DCF'!O11</f>
        <v>27803.514595699206</v>
      </c>
      <c r="P15" s="94">
        <f>'Trailblazer DCF'!P11</f>
        <v>27803.514595699206</v>
      </c>
      <c r="Q15" s="94">
        <f>'Trailblazer DCF'!Q11</f>
        <v>27803.514595699206</v>
      </c>
      <c r="R15" s="94">
        <f>'Trailblazer DCF'!R11</f>
        <v>27803.514595699206</v>
      </c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</row>
    <row r="16" spans="1:33">
      <c r="A16" s="955" t="s">
        <v>294</v>
      </c>
      <c r="B16" s="33"/>
      <c r="C16" s="33"/>
      <c r="D16" s="33"/>
      <c r="E16" s="679">
        <f>SUM(E11:E15)</f>
        <v>1291252.5219999999</v>
      </c>
      <c r="F16" s="679">
        <f t="shared" ref="F16:R16" si="0">SUM(F11:F15)</f>
        <v>1320151.148</v>
      </c>
      <c r="G16" s="679">
        <f t="shared" si="0"/>
        <v>1527223.7579999999</v>
      </c>
      <c r="H16" s="680">
        <f t="shared" si="0"/>
        <v>1563850.5145956993</v>
      </c>
      <c r="I16" s="680">
        <f t="shared" si="0"/>
        <v>1697662.5145956993</v>
      </c>
      <c r="J16" s="680">
        <f t="shared" si="0"/>
        <v>1765255.6545956994</v>
      </c>
      <c r="K16" s="680">
        <f t="shared" si="0"/>
        <v>1804944.1939956993</v>
      </c>
      <c r="L16" s="680">
        <f t="shared" si="0"/>
        <v>1827173.2627576992</v>
      </c>
      <c r="M16" s="680">
        <f t="shared" si="0"/>
        <v>1848943.6719073993</v>
      </c>
      <c r="N16" s="680">
        <f t="shared" si="0"/>
        <v>1861002.256499361</v>
      </c>
      <c r="O16" s="680">
        <f t="shared" si="0"/>
        <v>1873376.4768056606</v>
      </c>
      <c r="P16" s="680">
        <f t="shared" si="0"/>
        <v>1886076.3687417102</v>
      </c>
      <c r="Q16" s="680">
        <f t="shared" si="0"/>
        <v>1897073.7235502978</v>
      </c>
      <c r="R16" s="680">
        <f t="shared" si="0"/>
        <v>1908316.0679225726</v>
      </c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</row>
    <row r="17" spans="1:18">
      <c r="A17" s="34"/>
      <c r="E17" s="209"/>
      <c r="F17" s="212"/>
      <c r="G17" s="220"/>
      <c r="H17" s="89"/>
      <c r="I17" s="89"/>
      <c r="J17" s="37"/>
      <c r="K17" s="37"/>
      <c r="L17" s="37"/>
      <c r="M17" s="37"/>
      <c r="N17" s="37"/>
      <c r="O17" s="37"/>
      <c r="P17" s="37"/>
      <c r="Q17" s="37"/>
      <c r="R17" s="37"/>
    </row>
    <row r="18" spans="1:18">
      <c r="A18" s="956" t="s">
        <v>15</v>
      </c>
      <c r="B18" s="39" t="s">
        <v>57</v>
      </c>
      <c r="E18" s="209"/>
      <c r="F18" s="213"/>
      <c r="G18" s="213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</row>
    <row r="19" spans="1:18">
      <c r="A19" s="54" t="str">
        <f t="shared" ref="A19:B23" si="1">A11</f>
        <v>Northern Natural</v>
      </c>
      <c r="B19" s="91">
        <f t="shared" si="1"/>
        <v>1</v>
      </c>
      <c r="E19" s="213">
        <f>'Northern Natural DCF'!E13*'Unlev. Consolid'!$B$19</f>
        <v>207470</v>
      </c>
      <c r="F19" s="213">
        <f>'Northern Natural DCF'!F13*'Unlev. Consolid'!$B$19</f>
        <v>239590</v>
      </c>
      <c r="G19" s="213">
        <f>'Northern Natural DCF'!G13*'Unlev. Consolid'!$B$19</f>
        <v>240367</v>
      </c>
      <c r="H19" s="57">
        <f>'Northern Natural DCF'!H13*'Unlev. Consolid'!$B$19</f>
        <v>257891</v>
      </c>
      <c r="I19" s="57">
        <f>'Northern Natural DCF'!I13*'Unlev. Consolid'!$B$19</f>
        <v>258496</v>
      </c>
      <c r="J19" s="57">
        <f>'Northern Natural DCF'!J13*'Unlev. Consolid'!$B$19</f>
        <v>255395.3653146853</v>
      </c>
      <c r="K19" s="57">
        <f>'Northern Natural DCF'!K13*'Unlev. Consolid'!$B$19</f>
        <v>252242.56531468531</v>
      </c>
      <c r="L19" s="57">
        <f>'Northern Natural DCF'!L13*'Unlev. Consolid'!$B$19</f>
        <v>252242.56531468531</v>
      </c>
      <c r="M19" s="57">
        <f>'Northern Natural DCF'!M13*'Unlev. Consolid'!$B$19</f>
        <v>252242.56531468531</v>
      </c>
      <c r="N19" s="57">
        <f>'Northern Natural DCF'!N13*'Unlev. Consolid'!$B$19</f>
        <v>252242.56531468531</v>
      </c>
      <c r="O19" s="57">
        <f>'Northern Natural DCF'!O13*'Unlev. Consolid'!$B$19</f>
        <v>252242.56531468531</v>
      </c>
      <c r="P19" s="57">
        <f>'Northern Natural DCF'!P13*'Unlev. Consolid'!$B$19</f>
        <v>252242.56531468531</v>
      </c>
      <c r="Q19" s="57">
        <f>'Northern Natural DCF'!Q13*'Unlev. Consolid'!$B$19</f>
        <v>252242.56531468531</v>
      </c>
      <c r="R19" s="57">
        <f>'Northern Natural DCF'!R13*'Unlev. Consolid'!$B$19</f>
        <v>252242.56531468531</v>
      </c>
    </row>
    <row r="20" spans="1:18">
      <c r="A20" s="54" t="str">
        <f t="shared" si="1"/>
        <v>Transwestern</v>
      </c>
      <c r="B20" s="91">
        <f t="shared" si="1"/>
        <v>1</v>
      </c>
      <c r="E20" s="213">
        <f>'Transwestern DCF'!E13*$B$20</f>
        <v>44641</v>
      </c>
      <c r="F20" s="213">
        <f>'Transwestern DCF'!F13*$B$20</f>
        <v>49160</v>
      </c>
      <c r="G20" s="213">
        <f>'Transwestern DCF'!G13*$B$20</f>
        <v>50764</v>
      </c>
      <c r="H20" s="57">
        <f>'Transwestern DCF'!H13*$B$20</f>
        <v>54402</v>
      </c>
      <c r="I20" s="57">
        <f>'Transwestern DCF'!I13*$B$20</f>
        <v>63866</v>
      </c>
      <c r="J20" s="57">
        <f>'Transwestern DCF'!J13*$B$20</f>
        <v>63866</v>
      </c>
      <c r="K20" s="57">
        <f>'Transwestern DCF'!K13*$B$20</f>
        <v>63866</v>
      </c>
      <c r="L20" s="57">
        <f>'Transwestern DCF'!L13*$B$20</f>
        <v>63866</v>
      </c>
      <c r="M20" s="57">
        <f>'Transwestern DCF'!M13*$B$20</f>
        <v>63866</v>
      </c>
      <c r="N20" s="57">
        <f>'Transwestern DCF'!N13*$B$20</f>
        <v>63866</v>
      </c>
      <c r="O20" s="57">
        <f>'Transwestern DCF'!O13*$B$20</f>
        <v>63866</v>
      </c>
      <c r="P20" s="57">
        <f>'Transwestern DCF'!P13*$B$20</f>
        <v>63866</v>
      </c>
      <c r="Q20" s="57">
        <f>'Transwestern DCF'!Q13*$B$20</f>
        <v>63866</v>
      </c>
      <c r="R20" s="57">
        <f>'Transwestern DCF'!R13*$B$20</f>
        <v>63866</v>
      </c>
    </row>
    <row r="21" spans="1:18" s="34" customFormat="1">
      <c r="A21" s="54" t="str">
        <f t="shared" si="1"/>
        <v>Northern Border Partners</v>
      </c>
      <c r="B21" s="219">
        <f t="shared" si="1"/>
        <v>1</v>
      </c>
      <c r="E21" s="213">
        <f>'NBP DCF'!C13*$B$21</f>
        <v>0</v>
      </c>
      <c r="F21" s="213">
        <f>'NBP DCF'!D13*$B$21</f>
        <v>0</v>
      </c>
      <c r="G21" s="213">
        <f>'NBP DCF'!E13*$B$21</f>
        <v>90731</v>
      </c>
      <c r="H21" s="57">
        <f>'NBP DCF'!F13*$B$21</f>
        <v>182081</v>
      </c>
      <c r="I21" s="57">
        <f>'NBP DCF'!G13*$B$21</f>
        <v>234850</v>
      </c>
      <c r="J21" s="57">
        <f>'NBP DCF'!H13*$B$21</f>
        <v>243830</v>
      </c>
      <c r="K21" s="57">
        <f>'NBP DCF'!I13*$B$21</f>
        <v>246767</v>
      </c>
      <c r="L21" s="57">
        <f>'NBP DCF'!J13*$B$21</f>
        <v>245757</v>
      </c>
      <c r="M21" s="57">
        <f>'NBP DCF'!K13*$B$21</f>
        <v>245757</v>
      </c>
      <c r="N21" s="57">
        <f>'NBP DCF'!L13*$B$21</f>
        <v>245757</v>
      </c>
      <c r="O21" s="57">
        <f>'NBP DCF'!M13*$B$21</f>
        <v>245757</v>
      </c>
      <c r="P21" s="57">
        <f>'NBP DCF'!N13*$B$21</f>
        <v>245757</v>
      </c>
      <c r="Q21" s="57">
        <f>'NBP DCF'!O13*$B$21</f>
        <v>245757</v>
      </c>
      <c r="R21" s="57">
        <f>'NBP DCF'!P13*$B$21</f>
        <v>245757</v>
      </c>
    </row>
    <row r="22" spans="1:18" s="34" customFormat="1">
      <c r="A22" s="54" t="str">
        <f t="shared" si="1"/>
        <v>Citrus</v>
      </c>
      <c r="B22" s="219">
        <f t="shared" si="1"/>
        <v>1</v>
      </c>
      <c r="E22" s="213">
        <f>'Citrus DCF'!D13*'Unlev. Consolid'!$B$22</f>
        <v>371819</v>
      </c>
      <c r="F22" s="213">
        <f>'Citrus DCF'!E13*'Unlev. Consolid'!$B$22</f>
        <v>431944</v>
      </c>
      <c r="G22" s="213">
        <f>'Citrus DCF'!F13*'Unlev. Consolid'!$B$22</f>
        <v>261030</v>
      </c>
      <c r="H22" s="57">
        <f>'Citrus DCF'!G13*'Unlev. Consolid'!$B$22</f>
        <v>100664</v>
      </c>
      <c r="I22" s="57">
        <f>'Citrus DCF'!H13*'Unlev. Consolid'!$B$22</f>
        <v>108845</v>
      </c>
      <c r="J22" s="57">
        <f>'Citrus DCF'!I13*'Unlev. Consolid'!$B$22</f>
        <v>104444</v>
      </c>
      <c r="K22" s="57">
        <f>'Citrus DCF'!J13*'Unlev. Consolid'!$B$22</f>
        <v>109651</v>
      </c>
      <c r="L22" s="57">
        <f>'Citrus DCF'!K13*'Unlev. Consolid'!$B$22</f>
        <v>111033</v>
      </c>
      <c r="M22" s="57">
        <f>'Citrus DCF'!L13*'Unlev. Consolid'!$B$22</f>
        <v>111033</v>
      </c>
      <c r="N22" s="57">
        <f>'Citrus DCF'!M13*'Unlev. Consolid'!$B$22</f>
        <v>111033</v>
      </c>
      <c r="O22" s="57">
        <f>'Citrus DCF'!N13*'Unlev. Consolid'!$B$22</f>
        <v>111033</v>
      </c>
      <c r="P22" s="57">
        <f>'Citrus DCF'!O13*'Unlev. Consolid'!$B$22</f>
        <v>111033</v>
      </c>
      <c r="Q22" s="57">
        <f>'Citrus DCF'!P13*'Unlev. Consolid'!$B$22</f>
        <v>111033</v>
      </c>
      <c r="R22" s="57">
        <f>'Citrus DCF'!Q13*'Unlev. Consolid'!$B$22</f>
        <v>111033</v>
      </c>
    </row>
    <row r="23" spans="1:18" s="34" customFormat="1">
      <c r="A23" s="54" t="str">
        <f>A15</f>
        <v>Trailblazer</v>
      </c>
      <c r="B23" s="219">
        <f t="shared" si="1"/>
        <v>1</v>
      </c>
      <c r="E23" s="213">
        <f>'Trailblazer DCF'!E13</f>
        <v>4435.8559999999998</v>
      </c>
      <c r="F23" s="213">
        <f>'Trailblazer DCF'!F13</f>
        <v>3706.308</v>
      </c>
      <c r="G23" s="213">
        <f>'Trailblazer DCF'!G13</f>
        <v>4473</v>
      </c>
      <c r="H23" s="57">
        <f>'Trailblazer DCF'!H13</f>
        <v>4619.3</v>
      </c>
      <c r="I23" s="57">
        <f>'Trailblazer DCF'!I13</f>
        <v>4619.3</v>
      </c>
      <c r="J23" s="57">
        <f>'Trailblazer DCF'!J13</f>
        <v>4619.3</v>
      </c>
      <c r="K23" s="57">
        <f>'Trailblazer DCF'!K13</f>
        <v>4619.3</v>
      </c>
      <c r="L23" s="57">
        <f>'Trailblazer DCF'!L13</f>
        <v>4619.3</v>
      </c>
      <c r="M23" s="57">
        <f>'Trailblazer DCF'!M13</f>
        <v>4619.3</v>
      </c>
      <c r="N23" s="57">
        <f>'Trailblazer DCF'!N13</f>
        <v>4619.3</v>
      </c>
      <c r="O23" s="57">
        <f>'Trailblazer DCF'!O13</f>
        <v>4619.3</v>
      </c>
      <c r="P23" s="57">
        <f>'Trailblazer DCF'!P13</f>
        <v>4619.3</v>
      </c>
      <c r="Q23" s="57">
        <f>'Trailblazer DCF'!Q13</f>
        <v>4619.3</v>
      </c>
      <c r="R23" s="57">
        <f>'Trailblazer DCF'!R13</f>
        <v>4619.3</v>
      </c>
    </row>
    <row r="24" spans="1:18">
      <c r="A24" s="955" t="s">
        <v>336</v>
      </c>
      <c r="B24" s="33"/>
      <c r="C24" s="33"/>
      <c r="D24" s="33"/>
      <c r="E24" s="679">
        <f>SUM(E19:E23)</f>
        <v>628365.85600000003</v>
      </c>
      <c r="F24" s="679">
        <f t="shared" ref="F24:R24" si="2">SUM(F19:F23)</f>
        <v>724400.30799999996</v>
      </c>
      <c r="G24" s="679">
        <f t="shared" si="2"/>
        <v>647365</v>
      </c>
      <c r="H24" s="680">
        <f t="shared" si="2"/>
        <v>599657.30000000005</v>
      </c>
      <c r="I24" s="680">
        <f t="shared" si="2"/>
        <v>670676.30000000005</v>
      </c>
      <c r="J24" s="680">
        <f t="shared" si="2"/>
        <v>672154.66531468532</v>
      </c>
      <c r="K24" s="680">
        <f t="shared" si="2"/>
        <v>677145.86531468539</v>
      </c>
      <c r="L24" s="680">
        <f t="shared" si="2"/>
        <v>677517.86531468539</v>
      </c>
      <c r="M24" s="680">
        <f t="shared" si="2"/>
        <v>677517.86531468539</v>
      </c>
      <c r="N24" s="680">
        <f t="shared" si="2"/>
        <v>677517.86531468539</v>
      </c>
      <c r="O24" s="680">
        <f t="shared" si="2"/>
        <v>677517.86531468539</v>
      </c>
      <c r="P24" s="680">
        <f t="shared" si="2"/>
        <v>677517.86531468539</v>
      </c>
      <c r="Q24" s="680">
        <f t="shared" si="2"/>
        <v>677517.86531468539</v>
      </c>
      <c r="R24" s="680">
        <f t="shared" si="2"/>
        <v>677517.86531468539</v>
      </c>
    </row>
    <row r="25" spans="1:18">
      <c r="A25" s="957" t="s">
        <v>53</v>
      </c>
      <c r="B25" s="7"/>
      <c r="C25" s="7"/>
      <c r="D25" s="81"/>
      <c r="E25" s="214">
        <f t="shared" ref="E25:R25" si="3">E16/E24</f>
        <v>2.0549374375936806</v>
      </c>
      <c r="F25" s="214">
        <f t="shared" si="3"/>
        <v>1.8224055586679846</v>
      </c>
      <c r="G25" s="214">
        <f t="shared" si="3"/>
        <v>2.3591385972364893</v>
      </c>
      <c r="H25" s="83">
        <f t="shared" si="3"/>
        <v>2.6079070739165506</v>
      </c>
      <c r="I25" s="83">
        <f t="shared" si="3"/>
        <v>2.5312695775826568</v>
      </c>
      <c r="J25" s="83">
        <f t="shared" si="3"/>
        <v>2.6262640813022591</v>
      </c>
      <c r="K25" s="83">
        <f t="shared" si="3"/>
        <v>2.665517558992847</v>
      </c>
      <c r="L25" s="83">
        <f t="shared" si="3"/>
        <v>2.6968635903188112</v>
      </c>
      <c r="M25" s="83">
        <f t="shared" si="3"/>
        <v>2.7289961882387028</v>
      </c>
      <c r="N25" s="83">
        <f t="shared" si="3"/>
        <v>2.7467943677543984</v>
      </c>
      <c r="O25" s="83">
        <f t="shared" si="3"/>
        <v>2.7650584179585245</v>
      </c>
      <c r="P25" s="83">
        <f t="shared" si="3"/>
        <v>2.7838031516197557</v>
      </c>
      <c r="Q25" s="83">
        <f t="shared" si="3"/>
        <v>2.8000349816150867</v>
      </c>
      <c r="R25" s="83">
        <f t="shared" si="3"/>
        <v>2.8166284102873371</v>
      </c>
    </row>
    <row r="26" spans="1:18">
      <c r="A26" s="956"/>
      <c r="B26" s="7"/>
      <c r="C26" s="7"/>
      <c r="D26" s="81"/>
      <c r="E26" s="214"/>
      <c r="F26" s="214"/>
      <c r="G26" s="214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</row>
    <row r="27" spans="1:18" hidden="1" outlineLevel="1">
      <c r="A27" s="248" t="str">
        <f>A11</f>
        <v>Northern Natural</v>
      </c>
      <c r="B27" s="7"/>
      <c r="C27" s="7"/>
      <c r="D27" s="81"/>
      <c r="E27" s="213">
        <f>E11-E19</f>
        <v>282447</v>
      </c>
      <c r="F27" s="213">
        <f t="shared" ref="F27:R27" si="4">F11-F19</f>
        <v>251710</v>
      </c>
      <c r="G27" s="213">
        <f t="shared" si="4"/>
        <v>265154</v>
      </c>
      <c r="H27" s="29">
        <f t="shared" si="4"/>
        <v>237260</v>
      </c>
      <c r="I27" s="29">
        <f t="shared" si="4"/>
        <v>230595</v>
      </c>
      <c r="J27" s="29">
        <f t="shared" si="4"/>
        <v>242542.79468531473</v>
      </c>
      <c r="K27" s="29">
        <f t="shared" si="4"/>
        <v>254719.69788531473</v>
      </c>
      <c r="L27" s="29">
        <f t="shared" si="4"/>
        <v>263924.2831493147</v>
      </c>
      <c r="M27" s="29">
        <f t="shared" si="4"/>
        <v>273985.4601185947</v>
      </c>
      <c r="N27" s="29">
        <f t="shared" si="4"/>
        <v>284268.03562726022</v>
      </c>
      <c r="O27" s="29">
        <f t="shared" si="4"/>
        <v>294777.44639609917</v>
      </c>
      <c r="P27" s="29">
        <f t="shared" si="4"/>
        <v>305519.28831781493</v>
      </c>
      <c r="Q27" s="29">
        <f t="shared" si="4"/>
        <v>316499.32216233993</v>
      </c>
      <c r="R27" s="29">
        <f t="shared" si="4"/>
        <v>327723.4795223492</v>
      </c>
    </row>
    <row r="28" spans="1:18" hidden="1" outlineLevel="1">
      <c r="A28" s="248" t="str">
        <f>A12</f>
        <v>Transwestern</v>
      </c>
      <c r="B28" s="7"/>
      <c r="C28" s="7"/>
      <c r="D28" s="81"/>
      <c r="E28" s="213">
        <f t="shared" ref="E28:R28" si="5">E12-E20</f>
        <v>122952</v>
      </c>
      <c r="F28" s="213">
        <f t="shared" si="5"/>
        <v>106589</v>
      </c>
      <c r="G28" s="213">
        <f t="shared" si="5"/>
        <v>126049</v>
      </c>
      <c r="H28" s="29">
        <f t="shared" si="5"/>
        <v>148142</v>
      </c>
      <c r="I28" s="29">
        <f t="shared" si="5"/>
        <v>137053</v>
      </c>
      <c r="J28" s="29">
        <f t="shared" si="5"/>
        <v>155309.98000000001</v>
      </c>
      <c r="K28" s="29">
        <f t="shared" si="5"/>
        <v>165941.41620000004</v>
      </c>
      <c r="L28" s="29">
        <f t="shared" si="5"/>
        <v>177091.89969800005</v>
      </c>
      <c r="M28" s="29">
        <f t="shared" si="5"/>
        <v>188801.13187842007</v>
      </c>
      <c r="N28" s="29">
        <f t="shared" si="5"/>
        <v>190577.14096171607</v>
      </c>
      <c r="O28" s="29">
        <f t="shared" si="5"/>
        <v>192441.95049917686</v>
      </c>
      <c r="P28" s="29">
        <f t="shared" si="5"/>
        <v>194400.00051351072</v>
      </c>
      <c r="Q28" s="29">
        <f t="shared" si="5"/>
        <v>194417.32147757322</v>
      </c>
      <c r="R28" s="29">
        <f t="shared" si="5"/>
        <v>194435.50848983883</v>
      </c>
    </row>
    <row r="29" spans="1:18" hidden="1" outlineLevel="1">
      <c r="A29" s="248" t="str">
        <f>A13</f>
        <v>Northern Border Partners</v>
      </c>
      <c r="B29" s="7"/>
      <c r="C29" s="7"/>
      <c r="D29" s="81"/>
      <c r="E29" s="213">
        <f t="shared" ref="E29:R29" si="6">E13-E21</f>
        <v>0</v>
      </c>
      <c r="F29" s="213">
        <f t="shared" si="6"/>
        <v>0</v>
      </c>
      <c r="G29" s="213">
        <f t="shared" si="6"/>
        <v>249001</v>
      </c>
      <c r="H29" s="29">
        <f t="shared" si="6"/>
        <v>309330</v>
      </c>
      <c r="I29" s="29">
        <f t="shared" si="6"/>
        <v>342113</v>
      </c>
      <c r="J29" s="29">
        <f t="shared" si="6"/>
        <v>347048</v>
      </c>
      <c r="K29" s="29">
        <f t="shared" si="6"/>
        <v>360108</v>
      </c>
      <c r="L29" s="29">
        <f t="shared" si="6"/>
        <v>365396</v>
      </c>
      <c r="M29" s="29">
        <f t="shared" si="6"/>
        <v>365396</v>
      </c>
      <c r="N29" s="29">
        <f t="shared" si="6"/>
        <v>365396</v>
      </c>
      <c r="O29" s="29">
        <f t="shared" si="6"/>
        <v>365396</v>
      </c>
      <c r="P29" s="29">
        <f t="shared" si="6"/>
        <v>365396</v>
      </c>
      <c r="Q29" s="29">
        <f t="shared" si="6"/>
        <v>365396</v>
      </c>
      <c r="R29" s="29">
        <f t="shared" si="6"/>
        <v>365396</v>
      </c>
    </row>
    <row r="30" spans="1:18" hidden="1" outlineLevel="1">
      <c r="A30" s="248" t="str">
        <f>A14</f>
        <v>Citrus</v>
      </c>
      <c r="B30" s="7"/>
      <c r="C30" s="7"/>
      <c r="D30" s="81"/>
      <c r="E30" s="213">
        <f t="shared" ref="E30:R30" si="7">E14-E22</f>
        <v>219186</v>
      </c>
      <c r="F30" s="213">
        <f t="shared" si="7"/>
        <v>207447</v>
      </c>
      <c r="G30" s="213">
        <f t="shared" si="7"/>
        <v>215043</v>
      </c>
      <c r="H30" s="29">
        <f t="shared" si="7"/>
        <v>246277</v>
      </c>
      <c r="I30" s="29">
        <f t="shared" si="7"/>
        <v>294041</v>
      </c>
      <c r="J30" s="29">
        <f t="shared" si="7"/>
        <v>325016</v>
      </c>
      <c r="K30" s="29">
        <f t="shared" si="7"/>
        <v>323845</v>
      </c>
      <c r="L30" s="29">
        <f t="shared" si="7"/>
        <v>320059</v>
      </c>
      <c r="M30" s="29">
        <f t="shared" si="7"/>
        <v>320059</v>
      </c>
      <c r="N30" s="29">
        <f t="shared" si="7"/>
        <v>320059</v>
      </c>
      <c r="O30" s="29">
        <f t="shared" si="7"/>
        <v>320059</v>
      </c>
      <c r="P30" s="29">
        <f t="shared" si="7"/>
        <v>320059</v>
      </c>
      <c r="Q30" s="29">
        <f t="shared" si="7"/>
        <v>320059</v>
      </c>
      <c r="R30" s="29">
        <f t="shared" si="7"/>
        <v>320059</v>
      </c>
    </row>
    <row r="31" spans="1:18" hidden="1" outlineLevel="1">
      <c r="A31" s="248" t="str">
        <f>A15</f>
        <v>Trailblazer</v>
      </c>
      <c r="B31" s="7"/>
      <c r="C31" s="7"/>
      <c r="D31" s="81"/>
      <c r="E31" s="213">
        <f>'Trailblazer DCF'!E15</f>
        <v>38301.665999999997</v>
      </c>
      <c r="F31" s="213">
        <f>'Trailblazer DCF'!F15</f>
        <v>30004.84</v>
      </c>
      <c r="G31" s="213">
        <f>'Trailblazer DCF'!G15</f>
        <v>24611.758000000002</v>
      </c>
      <c r="H31" s="29">
        <f>'Trailblazer DCF'!H15</f>
        <v>23184.214595699206</v>
      </c>
      <c r="I31" s="29">
        <f>'Trailblazer DCF'!I15</f>
        <v>23184.214595699206</v>
      </c>
      <c r="J31" s="29">
        <f>'Trailblazer DCF'!J15</f>
        <v>23184.214595699206</v>
      </c>
      <c r="K31" s="29">
        <f>'Trailblazer DCF'!K15</f>
        <v>23184.214595699206</v>
      </c>
      <c r="L31" s="29">
        <f>'Trailblazer DCF'!L15</f>
        <v>23184.214595699206</v>
      </c>
      <c r="M31" s="29">
        <f>'Trailblazer DCF'!M15</f>
        <v>23184.214595699206</v>
      </c>
      <c r="N31" s="29">
        <f>'Trailblazer DCF'!N15</f>
        <v>23184.214595699206</v>
      </c>
      <c r="O31" s="29">
        <f>'Trailblazer DCF'!O15</f>
        <v>23184.214595699206</v>
      </c>
      <c r="P31" s="29">
        <f>'Trailblazer DCF'!P15</f>
        <v>23184.214595699206</v>
      </c>
      <c r="Q31" s="29">
        <f>'Trailblazer DCF'!Q15</f>
        <v>23184.214595699206</v>
      </c>
      <c r="R31" s="29">
        <f>'Trailblazer DCF'!R15</f>
        <v>23184.214595699206</v>
      </c>
    </row>
    <row r="32" spans="1:18" collapsed="1">
      <c r="A32" s="958" t="s">
        <v>540</v>
      </c>
      <c r="B32" s="33"/>
      <c r="C32" s="33"/>
      <c r="D32" s="33"/>
      <c r="E32" s="679">
        <f t="shared" ref="E32:R32" si="8">E16-E24</f>
        <v>662886.66599999985</v>
      </c>
      <c r="F32" s="679">
        <f t="shared" si="8"/>
        <v>595750.84000000008</v>
      </c>
      <c r="G32" s="679">
        <f t="shared" si="8"/>
        <v>879858.75799999991</v>
      </c>
      <c r="H32" s="680">
        <f t="shared" si="8"/>
        <v>964193.21459569922</v>
      </c>
      <c r="I32" s="680">
        <f t="shared" si="8"/>
        <v>1026986.2145956992</v>
      </c>
      <c r="J32" s="680">
        <f t="shared" si="8"/>
        <v>1093100.9892810141</v>
      </c>
      <c r="K32" s="680">
        <f t="shared" si="8"/>
        <v>1127798.328681014</v>
      </c>
      <c r="L32" s="680">
        <f t="shared" si="8"/>
        <v>1149655.3974430137</v>
      </c>
      <c r="M32" s="680">
        <f t="shared" si="8"/>
        <v>1171425.806592714</v>
      </c>
      <c r="N32" s="680">
        <f t="shared" si="8"/>
        <v>1183484.3911846755</v>
      </c>
      <c r="O32" s="680">
        <f t="shared" si="8"/>
        <v>1195858.6114909751</v>
      </c>
      <c r="P32" s="680">
        <f t="shared" si="8"/>
        <v>1208558.5034270249</v>
      </c>
      <c r="Q32" s="680">
        <f t="shared" si="8"/>
        <v>1219555.8582356125</v>
      </c>
      <c r="R32" s="680">
        <f t="shared" si="8"/>
        <v>1230798.2026078873</v>
      </c>
    </row>
    <row r="33" spans="1:18">
      <c r="A33" s="957" t="s">
        <v>550</v>
      </c>
      <c r="B33" s="7"/>
      <c r="C33" s="7"/>
      <c r="D33" s="7"/>
      <c r="E33" s="998">
        <f t="shared" ref="E33:R33" si="9">E32/E16</f>
        <v>0.51336718008749016</v>
      </c>
      <c r="F33" s="998">
        <f t="shared" si="9"/>
        <v>0.45127472024892717</v>
      </c>
      <c r="G33" s="998">
        <f t="shared" si="9"/>
        <v>0.5761164684553054</v>
      </c>
      <c r="H33" s="896">
        <f t="shared" si="9"/>
        <v>0.61655075443382201</v>
      </c>
      <c r="I33" s="896">
        <f t="shared" si="9"/>
        <v>0.60494132712842363</v>
      </c>
      <c r="J33" s="896">
        <f t="shared" si="9"/>
        <v>0.61923098018987488</v>
      </c>
      <c r="K33" s="896">
        <f t="shared" si="9"/>
        <v>0.62483833707032677</v>
      </c>
      <c r="L33" s="896">
        <f t="shared" si="9"/>
        <v>0.62919889474951729</v>
      </c>
      <c r="M33" s="896">
        <f t="shared" si="9"/>
        <v>0.63356489675223737</v>
      </c>
      <c r="N33" s="896">
        <f t="shared" si="9"/>
        <v>0.63593925641491122</v>
      </c>
      <c r="O33" s="896">
        <f t="shared" si="9"/>
        <v>0.63834398813956628</v>
      </c>
      <c r="P33" s="896">
        <f t="shared" si="9"/>
        <v>0.64077919826401875</v>
      </c>
      <c r="Q33" s="896">
        <f t="shared" si="9"/>
        <v>0.64286160474209841</v>
      </c>
      <c r="R33" s="896">
        <f t="shared" si="9"/>
        <v>0.64496559207183979</v>
      </c>
    </row>
    <row r="34" spans="1:18">
      <c r="A34" s="34"/>
      <c r="E34" s="997"/>
      <c r="F34" s="998"/>
      <c r="G34" s="998"/>
      <c r="H34" s="896"/>
      <c r="I34" s="896"/>
      <c r="J34" s="896"/>
      <c r="K34" s="896"/>
      <c r="L34" s="896"/>
      <c r="M34" s="896"/>
      <c r="N34" s="896"/>
      <c r="O34" s="896"/>
      <c r="P34" s="896"/>
      <c r="Q34" s="896"/>
      <c r="R34" s="896"/>
    </row>
    <row r="35" spans="1:18" hidden="1" outlineLevel="1">
      <c r="A35" s="956" t="s">
        <v>301</v>
      </c>
      <c r="B35" s="39" t="s">
        <v>57</v>
      </c>
      <c r="E35" s="213"/>
      <c r="F35" s="213"/>
      <c r="G35" s="213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</row>
    <row r="36" spans="1:18" hidden="1" outlineLevel="1">
      <c r="A36" s="54" t="str">
        <f t="shared" ref="A36:B40" si="10">A19</f>
        <v>Northern Natural</v>
      </c>
      <c r="B36" s="91">
        <f t="shared" si="10"/>
        <v>1</v>
      </c>
      <c r="E36" s="213">
        <f>'Northern Natural DCF'!E19*$B$36</f>
        <v>20743</v>
      </c>
      <c r="F36" s="213">
        <f>'Northern Natural DCF'!F19*$B$36</f>
        <v>23922</v>
      </c>
      <c r="G36" s="213">
        <f>'Northern Natural DCF'!G19*$B$36</f>
        <v>47130</v>
      </c>
      <c r="H36" s="57">
        <f>'Northern Natural DCF'!H19*$B$36</f>
        <v>20354</v>
      </c>
      <c r="I36" s="57">
        <f>'Northern Natural DCF'!I19*$B$36</f>
        <v>31946</v>
      </c>
      <c r="J36" s="57">
        <f>'Northern Natural DCF'!J19*$B$36</f>
        <v>31946</v>
      </c>
      <c r="K36" s="57">
        <f>'Northern Natural DCF'!K19*$B$36</f>
        <v>31946</v>
      </c>
      <c r="L36" s="57">
        <f>'Northern Natural DCF'!L19*$B$36</f>
        <v>31946</v>
      </c>
      <c r="M36" s="57">
        <f>'Northern Natural DCF'!M19*$B$36</f>
        <v>31946</v>
      </c>
      <c r="N36" s="57">
        <f>'Northern Natural DCF'!N19*$B$36</f>
        <v>31946</v>
      </c>
      <c r="O36" s="57">
        <f>'Northern Natural DCF'!O19*$B$36</f>
        <v>31946</v>
      </c>
      <c r="P36" s="57">
        <f>'Northern Natural DCF'!P19*$B$36</f>
        <v>31946</v>
      </c>
      <c r="Q36" s="57">
        <f>'Northern Natural DCF'!Q19*$B$36</f>
        <v>31946</v>
      </c>
      <c r="R36" s="57">
        <f>'Northern Natural DCF'!R19*$B$36</f>
        <v>31946</v>
      </c>
    </row>
    <row r="37" spans="1:18" hidden="1" outlineLevel="1">
      <c r="A37" s="54" t="str">
        <f t="shared" si="10"/>
        <v>Transwestern</v>
      </c>
      <c r="B37" s="91">
        <f t="shared" si="10"/>
        <v>1</v>
      </c>
      <c r="E37" s="213">
        <f>'Transwestern DCF'!E19*'Unlev. Consolid'!$B$37</f>
        <v>15180</v>
      </c>
      <c r="F37" s="213">
        <f>'Transwestern DCF'!F19*'Unlev. Consolid'!$B$37</f>
        <v>20630</v>
      </c>
      <c r="G37" s="213">
        <f>'Transwestern DCF'!G19*'Unlev. Consolid'!$B$37</f>
        <v>23853</v>
      </c>
      <c r="H37" s="57">
        <f>'Transwestern DCF'!H19*'Unlev. Consolid'!$B$37</f>
        <v>8605</v>
      </c>
      <c r="I37" s="57">
        <f>'Transwestern DCF'!I19*'Unlev. Consolid'!$B$37</f>
        <v>13541</v>
      </c>
      <c r="J37" s="57">
        <f>'Transwestern DCF'!J19*'Unlev. Consolid'!$B$37</f>
        <v>11341</v>
      </c>
      <c r="K37" s="57">
        <f>'Transwestern DCF'!K19*'Unlev. Consolid'!$B$37</f>
        <v>11341</v>
      </c>
      <c r="L37" s="57">
        <f>'Transwestern DCF'!L19*'Unlev. Consolid'!$B$37</f>
        <v>11341</v>
      </c>
      <c r="M37" s="57">
        <f>'Transwestern DCF'!M19*'Unlev. Consolid'!$B$37</f>
        <v>11341</v>
      </c>
      <c r="N37" s="57">
        <f>'Transwestern DCF'!N19*'Unlev. Consolid'!$B$37</f>
        <v>11341</v>
      </c>
      <c r="O37" s="57">
        <f>'Transwestern DCF'!O19*'Unlev. Consolid'!$B$37</f>
        <v>11341</v>
      </c>
      <c r="P37" s="57">
        <f>'Transwestern DCF'!P19*'Unlev. Consolid'!$B$37</f>
        <v>11341</v>
      </c>
      <c r="Q37" s="57">
        <f>'Transwestern DCF'!Q19*'Unlev. Consolid'!$B$37</f>
        <v>11341</v>
      </c>
      <c r="R37" s="57">
        <f>'Transwestern DCF'!R19*'Unlev. Consolid'!$B$37</f>
        <v>11341</v>
      </c>
    </row>
    <row r="38" spans="1:18" hidden="1" outlineLevel="1">
      <c r="A38" s="54" t="str">
        <f t="shared" si="10"/>
        <v>Northern Border Partners</v>
      </c>
      <c r="B38" s="91">
        <f t="shared" si="10"/>
        <v>1</v>
      </c>
      <c r="E38" s="213">
        <f>'NBP DCF'!C18*$B$38</f>
        <v>0</v>
      </c>
      <c r="F38" s="213">
        <f>'NBP DCF'!D18*$B$38</f>
        <v>0</v>
      </c>
      <c r="G38" s="213">
        <f>'NBP DCF'!E18*$B$38</f>
        <v>8032</v>
      </c>
      <c r="H38" s="57">
        <f>'NBP DCF'!F18*$B$38</f>
        <v>0</v>
      </c>
      <c r="I38" s="57">
        <f>'NBP DCF'!G18*$B$38</f>
        <v>0</v>
      </c>
      <c r="J38" s="57">
        <f>'NBP DCF'!H18*$B$38</f>
        <v>0</v>
      </c>
      <c r="K38" s="57">
        <f>'NBP DCF'!I18*$B$38</f>
        <v>0</v>
      </c>
      <c r="L38" s="57">
        <f>'NBP DCF'!J18*$B$38</f>
        <v>0</v>
      </c>
      <c r="M38" s="57">
        <f>'NBP DCF'!K18*$B$38</f>
        <v>0</v>
      </c>
      <c r="N38" s="57">
        <f>'NBP DCF'!L18*$B$38</f>
        <v>0</v>
      </c>
      <c r="O38" s="57">
        <f>'NBP DCF'!M18*$B$38</f>
        <v>0</v>
      </c>
      <c r="P38" s="57">
        <f>'NBP DCF'!N18*$B$38</f>
        <v>0</v>
      </c>
      <c r="Q38" s="57">
        <f>'NBP DCF'!O18*$B$38</f>
        <v>0</v>
      </c>
      <c r="R38" s="57">
        <f>'NBP DCF'!P18*$B$38</f>
        <v>0</v>
      </c>
    </row>
    <row r="39" spans="1:18" hidden="1" outlineLevel="1">
      <c r="A39" s="54" t="str">
        <f t="shared" si="10"/>
        <v>Citrus</v>
      </c>
      <c r="B39" s="91">
        <f t="shared" si="10"/>
        <v>1</v>
      </c>
      <c r="E39" s="213">
        <f>'Citrus DCF'!D19*'Unlev. Consolid'!$B$39</f>
        <v>-4426</v>
      </c>
      <c r="F39" s="213">
        <f>'Citrus DCF'!E19*'Unlev. Consolid'!$B$39</f>
        <v>7961</v>
      </c>
      <c r="G39" s="213">
        <f>'Citrus DCF'!F19*'Unlev. Consolid'!$B$39</f>
        <v>23494</v>
      </c>
      <c r="H39" s="57">
        <f>'Citrus DCF'!G19*'Unlev. Consolid'!$B$39</f>
        <v>35783</v>
      </c>
      <c r="I39" s="57">
        <f>'Citrus DCF'!H19*'Unlev. Consolid'!$B$39</f>
        <v>26605</v>
      </c>
      <c r="J39" s="57">
        <f>'Citrus DCF'!I19*'Unlev. Consolid'!$B$39</f>
        <v>10471</v>
      </c>
      <c r="K39" s="57">
        <f>'Citrus DCF'!J19*'Unlev. Consolid'!$B$39</f>
        <v>2875</v>
      </c>
      <c r="L39" s="57">
        <f>'Citrus DCF'!K19*'Unlev. Consolid'!$B$39</f>
        <v>2108</v>
      </c>
      <c r="M39" s="57">
        <f>'Citrus DCF'!L19*'Unlev. Consolid'!$B$39</f>
        <v>2108</v>
      </c>
      <c r="N39" s="57">
        <f>'Citrus DCF'!M19*'Unlev. Consolid'!$B$39</f>
        <v>2108</v>
      </c>
      <c r="O39" s="57">
        <f>'Citrus DCF'!N19*'Unlev. Consolid'!$B$39</f>
        <v>2108</v>
      </c>
      <c r="P39" s="57">
        <f>'Citrus DCF'!O19*'Unlev. Consolid'!$B$39</f>
        <v>2108</v>
      </c>
      <c r="Q39" s="57">
        <f>'Citrus DCF'!P19*'Unlev. Consolid'!$B$39</f>
        <v>2108</v>
      </c>
      <c r="R39" s="57">
        <f>'Citrus DCF'!Q19*'Unlev. Consolid'!$B$39</f>
        <v>2108</v>
      </c>
    </row>
    <row r="40" spans="1:18" hidden="1" outlineLevel="1">
      <c r="A40" s="54" t="str">
        <f t="shared" si="10"/>
        <v>Trailblazer</v>
      </c>
      <c r="B40" s="91">
        <f t="shared" si="10"/>
        <v>1</v>
      </c>
      <c r="E40" s="213">
        <f>'Trailblazer DCF'!E19</f>
        <v>637.79999999999995</v>
      </c>
      <c r="F40" s="213">
        <f>'Trailblazer DCF'!F19</f>
        <v>978.9</v>
      </c>
      <c r="G40" s="213">
        <f>'Trailblazer DCF'!G19</f>
        <v>1294.5</v>
      </c>
      <c r="H40" s="57">
        <f>'Trailblazer DCF'!H19</f>
        <v>1294.5</v>
      </c>
      <c r="I40" s="57">
        <f>'Trailblazer DCF'!I19</f>
        <v>1294.5</v>
      </c>
      <c r="J40" s="57">
        <f>'Trailblazer DCF'!J19</f>
        <v>1294.5</v>
      </c>
      <c r="K40" s="57">
        <f>'Trailblazer DCF'!K19</f>
        <v>1294.5</v>
      </c>
      <c r="L40" s="57">
        <f>'Trailblazer DCF'!L19</f>
        <v>1294.5</v>
      </c>
      <c r="M40" s="57">
        <f>'Trailblazer DCF'!M19</f>
        <v>1294.5</v>
      </c>
      <c r="N40" s="57">
        <f>'Trailblazer DCF'!N19</f>
        <v>1294.5</v>
      </c>
      <c r="O40" s="57">
        <f>'Trailblazer DCF'!O19</f>
        <v>1294.5</v>
      </c>
      <c r="P40" s="57">
        <f>'Trailblazer DCF'!P19</f>
        <v>1294.5</v>
      </c>
      <c r="Q40" s="57">
        <f>'Trailblazer DCF'!Q19</f>
        <v>1294.5</v>
      </c>
      <c r="R40" s="57">
        <f>'Trailblazer DCF'!R19</f>
        <v>1294.5</v>
      </c>
    </row>
    <row r="41" spans="1:18" collapsed="1">
      <c r="A41" s="551" t="s">
        <v>337</v>
      </c>
      <c r="B41" s="34"/>
      <c r="C41" s="34"/>
      <c r="D41" s="34"/>
      <c r="E41" s="213">
        <f>SUM(E36:E40)</f>
        <v>32134.799999999999</v>
      </c>
      <c r="F41" s="213">
        <f t="shared" ref="F41:R41" si="11">SUM(F36:F40)</f>
        <v>53491.9</v>
      </c>
      <c r="G41" s="213">
        <f t="shared" si="11"/>
        <v>103803.5</v>
      </c>
      <c r="H41" s="57">
        <f t="shared" si="11"/>
        <v>66036.5</v>
      </c>
      <c r="I41" s="57">
        <f t="shared" si="11"/>
        <v>73386.5</v>
      </c>
      <c r="J41" s="57">
        <f t="shared" si="11"/>
        <v>55052.5</v>
      </c>
      <c r="K41" s="57">
        <f t="shared" si="11"/>
        <v>47456.5</v>
      </c>
      <c r="L41" s="57">
        <f t="shared" si="11"/>
        <v>46689.5</v>
      </c>
      <c r="M41" s="57">
        <f t="shared" si="11"/>
        <v>46689.5</v>
      </c>
      <c r="N41" s="57">
        <f t="shared" si="11"/>
        <v>46689.5</v>
      </c>
      <c r="O41" s="57">
        <f t="shared" si="11"/>
        <v>46689.5</v>
      </c>
      <c r="P41" s="57">
        <f t="shared" si="11"/>
        <v>46689.5</v>
      </c>
      <c r="Q41" s="57">
        <f t="shared" si="11"/>
        <v>46689.5</v>
      </c>
      <c r="R41" s="57">
        <f t="shared" si="11"/>
        <v>46689.5</v>
      </c>
    </row>
    <row r="42" spans="1:18">
      <c r="A42" s="551"/>
      <c r="B42" s="34"/>
      <c r="C42" s="34"/>
      <c r="D42" s="34"/>
      <c r="E42" s="213"/>
      <c r="F42" s="213"/>
      <c r="G42" s="213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8" hidden="1" outlineLevel="1">
      <c r="A43" s="950" t="s">
        <v>223</v>
      </c>
      <c r="B43" s="380" t="s">
        <v>57</v>
      </c>
      <c r="C43" s="34"/>
      <c r="D43" s="34"/>
      <c r="E43" s="209"/>
      <c r="F43" s="209"/>
      <c r="G43" s="209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18" hidden="1" outlineLevel="1">
      <c r="A44" s="54" t="str">
        <f t="shared" ref="A44:B48" si="12">A36</f>
        <v>Northern Natural</v>
      </c>
      <c r="B44" s="219">
        <f t="shared" si="12"/>
        <v>1</v>
      </c>
      <c r="C44" s="34"/>
      <c r="D44" s="34"/>
      <c r="E44" s="213">
        <f>'Northern Natural DCF'!E20*$B$44</f>
        <v>0</v>
      </c>
      <c r="F44" s="213">
        <f>'Northern Natural DCF'!F20*$B$44</f>
        <v>0</v>
      </c>
      <c r="G44" s="213">
        <f>'Northern Natural DCF'!G20*$B$44</f>
        <v>0</v>
      </c>
      <c r="H44" s="57">
        <f>'Northern Natural DCF'!H20*$B$44</f>
        <v>0</v>
      </c>
      <c r="I44" s="57">
        <f>'Northern Natural DCF'!I20*$B$44</f>
        <v>0</v>
      </c>
      <c r="J44" s="57">
        <f>'Northern Natural DCF'!J20*$B$44</f>
        <v>0</v>
      </c>
      <c r="K44" s="57">
        <f>'Northern Natural DCF'!K20*$B$44</f>
        <v>0</v>
      </c>
      <c r="L44" s="57">
        <f>'Northern Natural DCF'!L20*$B$44</f>
        <v>0</v>
      </c>
      <c r="M44" s="57">
        <f>'Northern Natural DCF'!M20*$B$44</f>
        <v>0</v>
      </c>
      <c r="N44" s="57">
        <f>'Northern Natural DCF'!N20*$B$44</f>
        <v>0</v>
      </c>
      <c r="O44" s="57">
        <f>'Northern Natural DCF'!O20*$B$44</f>
        <v>0</v>
      </c>
      <c r="P44" s="57">
        <f>'Northern Natural DCF'!P20*$B$44</f>
        <v>0</v>
      </c>
      <c r="Q44" s="57">
        <f>'Northern Natural DCF'!Q20*$B$44</f>
        <v>0</v>
      </c>
      <c r="R44" s="57">
        <f>'Northern Natural DCF'!R20*$B$44</f>
        <v>0</v>
      </c>
    </row>
    <row r="45" spans="1:18" hidden="1" outlineLevel="1">
      <c r="A45" s="54" t="str">
        <f t="shared" si="12"/>
        <v>Transwestern</v>
      </c>
      <c r="B45" s="219">
        <f t="shared" si="12"/>
        <v>1</v>
      </c>
      <c r="C45" s="34"/>
      <c r="D45" s="34"/>
      <c r="E45" s="213">
        <f>$B$45*'Transwestern DCF'!E20</f>
        <v>0</v>
      </c>
      <c r="F45" s="213">
        <f>$B$45*'Transwestern DCF'!F20</f>
        <v>0</v>
      </c>
      <c r="G45" s="213">
        <f>$B$45*'Transwestern DCF'!G20</f>
        <v>0</v>
      </c>
      <c r="H45" s="57">
        <f>$B$45*'Transwestern DCF'!H20</f>
        <v>0</v>
      </c>
      <c r="I45" s="57">
        <f>$B$45*'Transwestern DCF'!I20</f>
        <v>0</v>
      </c>
      <c r="J45" s="57">
        <f>$B$45*'Transwestern DCF'!J20</f>
        <v>0</v>
      </c>
      <c r="K45" s="57">
        <f>$B$45*'Transwestern DCF'!K20</f>
        <v>0</v>
      </c>
      <c r="L45" s="57">
        <f>$B$45*'Transwestern DCF'!L20</f>
        <v>0</v>
      </c>
      <c r="M45" s="57">
        <f>$B$45*'Transwestern DCF'!M20</f>
        <v>0</v>
      </c>
      <c r="N45" s="57">
        <f>$B$45*'Transwestern DCF'!N20</f>
        <v>0</v>
      </c>
      <c r="O45" s="57">
        <f>$B$45*'Transwestern DCF'!O20</f>
        <v>0</v>
      </c>
      <c r="P45" s="57">
        <f>$B$45*'Transwestern DCF'!P20</f>
        <v>0</v>
      </c>
      <c r="Q45" s="57">
        <f>$B$45*'Transwestern DCF'!Q20</f>
        <v>0</v>
      </c>
      <c r="R45" s="57">
        <f>$B$45*'Transwestern DCF'!R20</f>
        <v>0</v>
      </c>
    </row>
    <row r="46" spans="1:18" hidden="1" outlineLevel="1">
      <c r="A46" s="54" t="str">
        <f t="shared" si="12"/>
        <v>Northern Border Partners</v>
      </c>
      <c r="B46" s="219">
        <f t="shared" si="12"/>
        <v>1</v>
      </c>
      <c r="C46" s="34"/>
      <c r="D46" s="34"/>
      <c r="E46" s="213">
        <f>$B$46*'NBP DCF'!C19</f>
        <v>0</v>
      </c>
      <c r="F46" s="213">
        <f>$B$46*'NBP DCF'!D19</f>
        <v>0</v>
      </c>
      <c r="G46" s="213">
        <f>$B$46*'NBP DCF'!E19</f>
        <v>38119</v>
      </c>
      <c r="H46" s="57">
        <f>$B$46*'NBP DCF'!F19</f>
        <v>0</v>
      </c>
      <c r="I46" s="57">
        <f>$B$46*'NBP DCF'!G19</f>
        <v>0</v>
      </c>
      <c r="J46" s="57">
        <f>$B$46*'NBP DCF'!H19</f>
        <v>0</v>
      </c>
      <c r="K46" s="57">
        <f>$B$46*'NBP DCF'!I19</f>
        <v>0</v>
      </c>
      <c r="L46" s="57">
        <f>$B$46*'NBP DCF'!J19</f>
        <v>0</v>
      </c>
      <c r="M46" s="57">
        <f>$B$46*'NBP DCF'!K19</f>
        <v>0</v>
      </c>
      <c r="N46" s="57">
        <f>$B$46*'NBP DCF'!L19</f>
        <v>0</v>
      </c>
      <c r="O46" s="57">
        <f>$B$46*'NBP DCF'!M19</f>
        <v>0</v>
      </c>
      <c r="P46" s="57">
        <f>$B$46*'NBP DCF'!N19</f>
        <v>0</v>
      </c>
      <c r="Q46" s="57">
        <f>$B$46*'NBP DCF'!O19</f>
        <v>0</v>
      </c>
      <c r="R46" s="57">
        <f>$B$46*'NBP DCF'!P19</f>
        <v>0</v>
      </c>
    </row>
    <row r="47" spans="1:18" hidden="1" outlineLevel="1">
      <c r="A47" s="54" t="str">
        <f t="shared" si="12"/>
        <v>Citrus</v>
      </c>
      <c r="B47" s="219">
        <f t="shared" si="12"/>
        <v>1</v>
      </c>
      <c r="C47" s="34"/>
      <c r="D47" s="34"/>
      <c r="E47" s="213">
        <f>'Citrus DCF'!D20*'Unlev. Consolid'!$B$47</f>
        <v>88289</v>
      </c>
      <c r="F47" s="213">
        <f>'Citrus DCF'!E20*'Unlev. Consolid'!$B$47</f>
        <v>82538</v>
      </c>
      <c r="G47" s="213">
        <f>'Citrus DCF'!F20*'Unlev. Consolid'!$B$47</f>
        <v>82117</v>
      </c>
      <c r="H47" s="57">
        <f>'Citrus DCF'!G20*'Unlev. Consolid'!$B$47</f>
        <v>0</v>
      </c>
      <c r="I47" s="57">
        <f>'Citrus DCF'!H20*'Unlev. Consolid'!$B$47</f>
        <v>0</v>
      </c>
      <c r="J47" s="57">
        <f>'Citrus DCF'!I20*'Unlev. Consolid'!$B$47</f>
        <v>0</v>
      </c>
      <c r="K47" s="57">
        <f>'Citrus DCF'!J20*'Unlev. Consolid'!$B$47</f>
        <v>0</v>
      </c>
      <c r="L47" s="57">
        <f>'Citrus DCF'!K20*'Unlev. Consolid'!$B$47</f>
        <v>0</v>
      </c>
      <c r="M47" s="57">
        <f>'Citrus DCF'!L20*'Unlev. Consolid'!$B$47</f>
        <v>0</v>
      </c>
      <c r="N47" s="57">
        <f>'Citrus DCF'!M20*'Unlev. Consolid'!$B$47</f>
        <v>0</v>
      </c>
      <c r="O47" s="57">
        <f>'Citrus DCF'!N20*'Unlev. Consolid'!$B$47</f>
        <v>0</v>
      </c>
      <c r="P47" s="57">
        <f>'Citrus DCF'!O20*'Unlev. Consolid'!$B$47</f>
        <v>0</v>
      </c>
      <c r="Q47" s="57">
        <f>'Citrus DCF'!P20*'Unlev. Consolid'!$B$47</f>
        <v>0</v>
      </c>
      <c r="R47" s="57">
        <f>'Citrus DCF'!Q20*'Unlev. Consolid'!$B$47</f>
        <v>0</v>
      </c>
    </row>
    <row r="48" spans="1:18" hidden="1" outlineLevel="1">
      <c r="A48" s="54" t="str">
        <f t="shared" si="12"/>
        <v>Trailblazer</v>
      </c>
      <c r="B48" s="219">
        <f t="shared" si="12"/>
        <v>1</v>
      </c>
      <c r="C48" s="34"/>
      <c r="D48" s="34"/>
      <c r="E48" s="213">
        <f>'Trailblazer DCF'!E20</f>
        <v>0</v>
      </c>
      <c r="F48" s="213">
        <f>'Trailblazer DCF'!F20</f>
        <v>0</v>
      </c>
      <c r="G48" s="213">
        <f>'Trailblazer DCF'!G20</f>
        <v>0</v>
      </c>
      <c r="H48" s="57">
        <f>'Trailblazer DCF'!H20</f>
        <v>0</v>
      </c>
      <c r="I48" s="57">
        <f>'Trailblazer DCF'!I20</f>
        <v>0</v>
      </c>
      <c r="J48" s="57">
        <f>'Trailblazer DCF'!J20</f>
        <v>0</v>
      </c>
      <c r="K48" s="57">
        <f>'Trailblazer DCF'!K20</f>
        <v>0</v>
      </c>
      <c r="L48" s="57">
        <f>'Trailblazer DCF'!L20</f>
        <v>0</v>
      </c>
      <c r="M48" s="57">
        <f>'Trailblazer DCF'!M20</f>
        <v>0</v>
      </c>
      <c r="N48" s="57">
        <f>'Trailblazer DCF'!N20</f>
        <v>0</v>
      </c>
      <c r="O48" s="57">
        <f>'Trailblazer DCF'!O20</f>
        <v>0</v>
      </c>
      <c r="P48" s="57">
        <f>'Trailblazer DCF'!P20</f>
        <v>0</v>
      </c>
      <c r="Q48" s="57">
        <f>'Trailblazer DCF'!Q20</f>
        <v>0</v>
      </c>
      <c r="R48" s="57">
        <f>'Trailblazer DCF'!R20</f>
        <v>0</v>
      </c>
    </row>
    <row r="49" spans="1:18" hidden="1" outlineLevel="1">
      <c r="A49" s="551" t="s">
        <v>501</v>
      </c>
      <c r="B49" s="34"/>
      <c r="C49" s="34"/>
      <c r="D49" s="34"/>
      <c r="E49" s="213">
        <f>SUM(E44:E48)</f>
        <v>88289</v>
      </c>
      <c r="F49" s="213">
        <f t="shared" ref="F49:R49" si="13">SUM(F44:F48)</f>
        <v>82538</v>
      </c>
      <c r="G49" s="213">
        <f t="shared" si="13"/>
        <v>120236</v>
      </c>
      <c r="H49" s="57">
        <f t="shared" si="13"/>
        <v>0</v>
      </c>
      <c r="I49" s="57">
        <f t="shared" si="13"/>
        <v>0</v>
      </c>
      <c r="J49" s="57">
        <f t="shared" si="13"/>
        <v>0</v>
      </c>
      <c r="K49" s="57">
        <f t="shared" si="13"/>
        <v>0</v>
      </c>
      <c r="L49" s="57">
        <f t="shared" si="13"/>
        <v>0</v>
      </c>
      <c r="M49" s="57">
        <f t="shared" si="13"/>
        <v>0</v>
      </c>
      <c r="N49" s="57">
        <f t="shared" si="13"/>
        <v>0</v>
      </c>
      <c r="O49" s="57">
        <f t="shared" si="13"/>
        <v>0</v>
      </c>
      <c r="P49" s="57">
        <f t="shared" si="13"/>
        <v>0</v>
      </c>
      <c r="Q49" s="57">
        <f t="shared" si="13"/>
        <v>0</v>
      </c>
      <c r="R49" s="57">
        <f t="shared" si="13"/>
        <v>0</v>
      </c>
    </row>
    <row r="50" spans="1:18" hidden="1" outlineLevel="1">
      <c r="A50" s="551"/>
      <c r="B50" s="34"/>
      <c r="C50" s="34"/>
      <c r="D50" s="34"/>
      <c r="E50" s="213"/>
      <c r="F50" s="213"/>
      <c r="G50" s="213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</row>
    <row r="51" spans="1:18" hidden="1" outlineLevel="1">
      <c r="A51" s="950" t="s">
        <v>538</v>
      </c>
      <c r="B51" s="34"/>
      <c r="C51" s="34"/>
      <c r="D51" s="34"/>
      <c r="E51" s="213"/>
      <c r="F51" s="213"/>
      <c r="G51" s="213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</row>
    <row r="52" spans="1:18" hidden="1" outlineLevel="2">
      <c r="A52" s="248" t="str">
        <f>A44</f>
        <v>Northern Natural</v>
      </c>
      <c r="B52" s="34"/>
      <c r="C52" s="34"/>
      <c r="D52" s="34"/>
      <c r="E52" s="213">
        <f ca="1">'Northern Natural DCF'!E21</f>
        <v>81343</v>
      </c>
      <c r="F52" s="213">
        <f ca="1">'Northern Natural DCF'!F21</f>
        <v>40395</v>
      </c>
      <c r="G52" s="213">
        <f ca="1">'Northern Natural DCF'!G21</f>
        <v>50691</v>
      </c>
      <c r="H52" s="57">
        <f>'Northern Natural DCF'!H21</f>
        <v>61579</v>
      </c>
      <c r="I52" s="57">
        <f>'Northern Natural DCF'!I21</f>
        <v>66773</v>
      </c>
      <c r="J52" s="57">
        <f>'Northern Natural DCF'!J21</f>
        <v>53343.03</v>
      </c>
      <c r="K52" s="57">
        <f>'Northern Natural DCF'!K21</f>
        <v>54805.53</v>
      </c>
      <c r="L52" s="57">
        <f>'Northern Natural DCF'!L21</f>
        <v>56268.03</v>
      </c>
      <c r="M52" s="57">
        <f>'Northern Natural DCF'!M21</f>
        <v>57730.53</v>
      </c>
      <c r="N52" s="57">
        <f>'Northern Natural DCF'!N21</f>
        <v>59193.03</v>
      </c>
      <c r="O52" s="57">
        <f>'Northern Natural DCF'!O21</f>
        <v>60655.53</v>
      </c>
      <c r="P52" s="57">
        <f>'Northern Natural DCF'!P21</f>
        <v>62118.03</v>
      </c>
      <c r="Q52" s="57">
        <f>'Northern Natural DCF'!Q21</f>
        <v>63580.53</v>
      </c>
      <c r="R52" s="57">
        <f>'Northern Natural DCF'!R21</f>
        <v>65043.03</v>
      </c>
    </row>
    <row r="53" spans="1:18" hidden="1" outlineLevel="2">
      <c r="A53" s="248" t="str">
        <f>A45</f>
        <v>Transwestern</v>
      </c>
      <c r="B53" s="34"/>
      <c r="C53" s="34"/>
      <c r="D53" s="34"/>
      <c r="E53" s="213">
        <f>'Transwestern DCF'!E21</f>
        <v>23137</v>
      </c>
      <c r="F53" s="213">
        <f>'Transwestern DCF'!F21</f>
        <v>23733</v>
      </c>
      <c r="G53" s="213">
        <f>'Transwestern DCF'!G21</f>
        <v>24407</v>
      </c>
      <c r="H53" s="57">
        <f>'Transwestern DCF'!H21</f>
        <v>28786</v>
      </c>
      <c r="I53" s="57">
        <f>'Transwestern DCF'!I21</f>
        <v>29537.81</v>
      </c>
      <c r="J53" s="57">
        <f>'Transwestern DCF'!J21</f>
        <v>29658.81</v>
      </c>
      <c r="K53" s="57">
        <f>'Transwestern DCF'!K21</f>
        <v>29125.81</v>
      </c>
      <c r="L53" s="57">
        <f>'Transwestern DCF'!L21</f>
        <v>28625.81</v>
      </c>
      <c r="M53" s="57">
        <f>'Transwestern DCF'!M21</f>
        <v>23725.81</v>
      </c>
      <c r="N53" s="57">
        <f>'Transwestern DCF'!N21</f>
        <v>24025.81</v>
      </c>
      <c r="O53" s="57">
        <f>'Transwestern DCF'!O21</f>
        <v>24325.81</v>
      </c>
      <c r="P53" s="57">
        <f>'Transwestern DCF'!P21</f>
        <v>24625.809999999998</v>
      </c>
      <c r="Q53" s="57">
        <f>'Transwestern DCF'!Q21</f>
        <v>24925.809999999998</v>
      </c>
      <c r="R53" s="57">
        <f>'Transwestern DCF'!R21</f>
        <v>25225.809999999998</v>
      </c>
    </row>
    <row r="54" spans="1:18" hidden="1" outlineLevel="2">
      <c r="A54" s="248" t="str">
        <f>A46</f>
        <v>Northern Border Partners</v>
      </c>
      <c r="B54" s="34"/>
      <c r="C54" s="34"/>
      <c r="D54" s="34"/>
      <c r="E54" s="213">
        <f>'NBP DCF'!C20</f>
        <v>0</v>
      </c>
      <c r="F54" s="213">
        <f>'NBP DCF'!D20</f>
        <v>0</v>
      </c>
      <c r="G54" s="213">
        <f>'NBP DCF'!E20</f>
        <v>61054</v>
      </c>
      <c r="H54" s="57">
        <f>'NBP DCF'!F20</f>
        <v>55679.377500000002</v>
      </c>
      <c r="I54" s="57">
        <f>'NBP DCF'!G20</f>
        <v>56300.2425</v>
      </c>
      <c r="J54" s="57">
        <f>'NBP DCF'!H20</f>
        <v>58262.827499999999</v>
      </c>
      <c r="K54" s="57">
        <f>'NBP DCF'!I20</f>
        <v>60478.604999999996</v>
      </c>
      <c r="L54" s="57">
        <f>'NBP DCF'!J20</f>
        <v>61820.392500000002</v>
      </c>
      <c r="M54" s="57">
        <f>'NBP DCF'!K20</f>
        <v>62741.744999999995</v>
      </c>
      <c r="N54" s="57">
        <f>'NBP DCF'!L20</f>
        <v>63663.097499999996</v>
      </c>
      <c r="O54" s="57">
        <f>'NBP DCF'!M20</f>
        <v>64584.45</v>
      </c>
      <c r="P54" s="57">
        <f>'NBP DCF'!N20</f>
        <v>65505.802499999998</v>
      </c>
      <c r="Q54" s="57">
        <f>'NBP DCF'!O20</f>
        <v>66427.154999999999</v>
      </c>
      <c r="R54" s="57">
        <f>'NBP DCF'!P20</f>
        <v>67348.507500000007</v>
      </c>
    </row>
    <row r="55" spans="1:18" hidden="1" outlineLevel="2">
      <c r="A55" s="248" t="str">
        <f>A47</f>
        <v>Citrus</v>
      </c>
      <c r="B55" s="34"/>
      <c r="C55" s="34"/>
      <c r="D55" s="34"/>
      <c r="E55" s="213">
        <f>'Citrus DCF'!D21</f>
        <v>51771</v>
      </c>
      <c r="F55" s="213">
        <f>'Citrus DCF'!E21</f>
        <v>51234</v>
      </c>
      <c r="G55" s="213">
        <f>'Citrus DCF'!F21</f>
        <v>50439</v>
      </c>
      <c r="H55" s="57">
        <f>'Citrus DCF'!G21</f>
        <v>56268.959999999999</v>
      </c>
      <c r="I55" s="57">
        <f>'Citrus DCF'!H21</f>
        <v>59573.025000000001</v>
      </c>
      <c r="J55" s="57">
        <f>'Citrus DCF'!I21</f>
        <v>63894.18</v>
      </c>
      <c r="K55" s="57">
        <f>'Citrus DCF'!J21</f>
        <v>64723.59</v>
      </c>
      <c r="L55" s="57">
        <f>'Citrus DCF'!K21</f>
        <v>65112.735000000001</v>
      </c>
      <c r="M55" s="57">
        <f>'Citrus DCF'!L21</f>
        <v>65501.880000000005</v>
      </c>
      <c r="N55" s="57">
        <f>'Citrus DCF'!M21</f>
        <v>65891.024999999994</v>
      </c>
      <c r="O55" s="57">
        <f>'Citrus DCF'!N21</f>
        <v>66280.17</v>
      </c>
      <c r="P55" s="57">
        <f>'Citrus DCF'!O21</f>
        <v>66669.315000000002</v>
      </c>
      <c r="Q55" s="57">
        <f>'Citrus DCF'!P21</f>
        <v>67058.460000000006</v>
      </c>
      <c r="R55" s="57">
        <f>'Citrus DCF'!Q21</f>
        <v>67447.60500000001</v>
      </c>
    </row>
    <row r="56" spans="1:18" hidden="1" outlineLevel="2">
      <c r="A56" s="248" t="str">
        <f>A48</f>
        <v>Trailblazer</v>
      </c>
      <c r="B56" s="34"/>
      <c r="C56" s="34"/>
      <c r="D56" s="34"/>
      <c r="E56" s="213">
        <f>'Trailblazer DCF'!E21</f>
        <v>16969.544999999998</v>
      </c>
      <c r="F56" s="213">
        <f>'Trailblazer DCF'!F21</f>
        <v>16972.560000000001</v>
      </c>
      <c r="G56" s="213">
        <f>'Trailblazer DCF'!G21</f>
        <v>10169.299999999999</v>
      </c>
      <c r="H56" s="57">
        <f>'Trailblazer DCF'!H21</f>
        <v>10226.778516</v>
      </c>
      <c r="I56" s="57">
        <f>'Trailblazer DCF'!I21</f>
        <v>10231.821535942219</v>
      </c>
      <c r="J56" s="57">
        <f>'Trailblazer DCF'!J21</f>
        <v>10236.864555884438</v>
      </c>
      <c r="K56" s="57">
        <f>'Trailblazer DCF'!K21</f>
        <v>10241.907575826657</v>
      </c>
      <c r="L56" s="57">
        <f>'Trailblazer DCF'!L21</f>
        <v>10246.950595768876</v>
      </c>
      <c r="M56" s="57">
        <f>'Trailblazer DCF'!M21</f>
        <v>10251.993615711097</v>
      </c>
      <c r="N56" s="57">
        <f>'Trailblazer DCF'!N21</f>
        <v>10257.036635653316</v>
      </c>
      <c r="O56" s="57">
        <f>'Trailblazer DCF'!O21</f>
        <v>10262.079655595535</v>
      </c>
      <c r="P56" s="57">
        <f>'Trailblazer DCF'!P21</f>
        <v>10267.122675537754</v>
      </c>
      <c r="Q56" s="57">
        <f>'Trailblazer DCF'!Q21</f>
        <v>10272.165695479973</v>
      </c>
      <c r="R56" s="57">
        <f>'Trailblazer DCF'!R21</f>
        <v>10277.208715422192</v>
      </c>
    </row>
    <row r="57" spans="1:18" collapsed="1">
      <c r="A57" s="106" t="s">
        <v>537</v>
      </c>
      <c r="B57" s="954"/>
      <c r="C57" s="954"/>
      <c r="D57" s="34"/>
      <c r="E57" s="211">
        <f ca="1">SUM(E52:E56)</f>
        <v>173220.54499999998</v>
      </c>
      <c r="F57" s="211">
        <f t="shared" ref="F57:R57" ca="1" si="14">SUM(F52:F56)</f>
        <v>132334.56</v>
      </c>
      <c r="G57" s="211">
        <f t="shared" ca="1" si="14"/>
        <v>196760.3</v>
      </c>
      <c r="H57" s="94">
        <f t="shared" si="14"/>
        <v>212540.11601599999</v>
      </c>
      <c r="I57" s="94">
        <f t="shared" si="14"/>
        <v>222415.89903594222</v>
      </c>
      <c r="J57" s="94">
        <f t="shared" si="14"/>
        <v>215395.71205588442</v>
      </c>
      <c r="K57" s="94">
        <f t="shared" si="14"/>
        <v>219375.44257582666</v>
      </c>
      <c r="L57" s="94">
        <f t="shared" si="14"/>
        <v>222073.91809576884</v>
      </c>
      <c r="M57" s="94">
        <f t="shared" si="14"/>
        <v>219951.9586157111</v>
      </c>
      <c r="N57" s="94">
        <f t="shared" si="14"/>
        <v>223029.99913565331</v>
      </c>
      <c r="O57" s="94">
        <f t="shared" si="14"/>
        <v>226108.03965559549</v>
      </c>
      <c r="P57" s="94">
        <f t="shared" si="14"/>
        <v>229186.08017553773</v>
      </c>
      <c r="Q57" s="94">
        <f t="shared" si="14"/>
        <v>232264.12069548</v>
      </c>
      <c r="R57" s="94">
        <f t="shared" si="14"/>
        <v>235342.16121542221</v>
      </c>
    </row>
    <row r="58" spans="1:18">
      <c r="A58" s="106"/>
      <c r="B58" s="954"/>
      <c r="C58" s="954"/>
      <c r="D58" s="34"/>
      <c r="E58" s="211"/>
      <c r="F58" s="211"/>
      <c r="G58" s="211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</row>
    <row r="59" spans="1:18" outlineLevel="1">
      <c r="A59" s="248" t="str">
        <f>A52</f>
        <v>Northern Natural</v>
      </c>
      <c r="B59" s="954"/>
      <c r="C59" s="954"/>
      <c r="D59" s="34"/>
      <c r="E59" s="211">
        <f t="shared" ref="E59:R59" ca="1" si="15">E27+E36+E44-E52</f>
        <v>221847</v>
      </c>
      <c r="F59" s="211">
        <f t="shared" ca="1" si="15"/>
        <v>235237</v>
      </c>
      <c r="G59" s="211">
        <f t="shared" ca="1" si="15"/>
        <v>261593</v>
      </c>
      <c r="H59" s="94">
        <f t="shared" si="15"/>
        <v>196035</v>
      </c>
      <c r="I59" s="94">
        <f t="shared" si="15"/>
        <v>195768</v>
      </c>
      <c r="J59" s="94">
        <f t="shared" si="15"/>
        <v>221145.76468531476</v>
      </c>
      <c r="K59" s="94">
        <f t="shared" si="15"/>
        <v>231860.1678853147</v>
      </c>
      <c r="L59" s="94">
        <f t="shared" si="15"/>
        <v>239602.2531493147</v>
      </c>
      <c r="M59" s="94">
        <f t="shared" si="15"/>
        <v>248200.9301185947</v>
      </c>
      <c r="N59" s="94">
        <f t="shared" si="15"/>
        <v>257021.00562726022</v>
      </c>
      <c r="O59" s="94">
        <f t="shared" si="15"/>
        <v>266067.91639609914</v>
      </c>
      <c r="P59" s="94">
        <f t="shared" si="15"/>
        <v>275347.25831781491</v>
      </c>
      <c r="Q59" s="94">
        <f t="shared" si="15"/>
        <v>284864.7921623399</v>
      </c>
      <c r="R59" s="94">
        <f t="shared" si="15"/>
        <v>294626.44952234917</v>
      </c>
    </row>
    <row r="60" spans="1:18" outlineLevel="1">
      <c r="A60" s="248" t="str">
        <f>A53</f>
        <v>Transwestern</v>
      </c>
      <c r="B60" s="954"/>
      <c r="C60" s="954"/>
      <c r="D60" s="34"/>
      <c r="E60" s="211">
        <f t="shared" ref="E60:R60" si="16">E28+E37+E45-E53</f>
        <v>114995</v>
      </c>
      <c r="F60" s="211">
        <f t="shared" si="16"/>
        <v>103486</v>
      </c>
      <c r="G60" s="211">
        <f t="shared" si="16"/>
        <v>125495</v>
      </c>
      <c r="H60" s="94">
        <f t="shared" si="16"/>
        <v>127961</v>
      </c>
      <c r="I60" s="94">
        <f t="shared" si="16"/>
        <v>121056.19</v>
      </c>
      <c r="J60" s="94">
        <f t="shared" si="16"/>
        <v>136992.17000000001</v>
      </c>
      <c r="K60" s="94">
        <f t="shared" si="16"/>
        <v>148156.60620000004</v>
      </c>
      <c r="L60" s="94">
        <f t="shared" si="16"/>
        <v>159807.08969800005</v>
      </c>
      <c r="M60" s="94">
        <f t="shared" si="16"/>
        <v>176416.32187842007</v>
      </c>
      <c r="N60" s="94">
        <f t="shared" si="16"/>
        <v>177892.33096171607</v>
      </c>
      <c r="O60" s="94">
        <f t="shared" si="16"/>
        <v>179457.14049917686</v>
      </c>
      <c r="P60" s="94">
        <f t="shared" si="16"/>
        <v>181115.19051351072</v>
      </c>
      <c r="Q60" s="94">
        <f t="shared" si="16"/>
        <v>180832.51147757322</v>
      </c>
      <c r="R60" s="94">
        <f t="shared" si="16"/>
        <v>180550.69848983883</v>
      </c>
    </row>
    <row r="61" spans="1:18" outlineLevel="1">
      <c r="A61" s="248" t="str">
        <f>A54</f>
        <v>Northern Border Partners</v>
      </c>
      <c r="B61" s="954"/>
      <c r="C61" s="954"/>
      <c r="D61" s="34"/>
      <c r="E61" s="211">
        <f t="shared" ref="E61:R61" si="17">E29+E38+E46-E54</f>
        <v>0</v>
      </c>
      <c r="F61" s="211">
        <f t="shared" si="17"/>
        <v>0</v>
      </c>
      <c r="G61" s="211">
        <f t="shared" si="17"/>
        <v>234098</v>
      </c>
      <c r="H61" s="94">
        <f t="shared" si="17"/>
        <v>253650.6225</v>
      </c>
      <c r="I61" s="94">
        <f t="shared" si="17"/>
        <v>285812.75750000001</v>
      </c>
      <c r="J61" s="94">
        <f t="shared" si="17"/>
        <v>288785.17249999999</v>
      </c>
      <c r="K61" s="94">
        <f t="shared" si="17"/>
        <v>299629.39500000002</v>
      </c>
      <c r="L61" s="94">
        <f t="shared" si="17"/>
        <v>303575.60749999998</v>
      </c>
      <c r="M61" s="94">
        <f t="shared" si="17"/>
        <v>302654.255</v>
      </c>
      <c r="N61" s="94">
        <f t="shared" si="17"/>
        <v>301732.90250000003</v>
      </c>
      <c r="O61" s="94">
        <f t="shared" si="17"/>
        <v>300811.55</v>
      </c>
      <c r="P61" s="94">
        <f t="shared" si="17"/>
        <v>299890.19750000001</v>
      </c>
      <c r="Q61" s="94">
        <f t="shared" si="17"/>
        <v>298968.84499999997</v>
      </c>
      <c r="R61" s="94">
        <f t="shared" si="17"/>
        <v>298047.49249999999</v>
      </c>
    </row>
    <row r="62" spans="1:18" outlineLevel="1">
      <c r="A62" s="248" t="str">
        <f>A55</f>
        <v>Citrus</v>
      </c>
      <c r="B62" s="954"/>
      <c r="C62" s="954"/>
      <c r="D62" s="34"/>
      <c r="E62" s="211">
        <f t="shared" ref="E62:R62" si="18">E30+E39+E47-E55</f>
        <v>251278</v>
      </c>
      <c r="F62" s="211">
        <f t="shared" si="18"/>
        <v>246712</v>
      </c>
      <c r="G62" s="211">
        <f t="shared" si="18"/>
        <v>270215</v>
      </c>
      <c r="H62" s="94">
        <f t="shared" si="18"/>
        <v>225791.04</v>
      </c>
      <c r="I62" s="94">
        <f t="shared" si="18"/>
        <v>261072.97500000001</v>
      </c>
      <c r="J62" s="94">
        <f t="shared" si="18"/>
        <v>271592.82</v>
      </c>
      <c r="K62" s="94">
        <f t="shared" si="18"/>
        <v>261996.41</v>
      </c>
      <c r="L62" s="94">
        <f t="shared" si="18"/>
        <v>257054.26500000001</v>
      </c>
      <c r="M62" s="94">
        <f t="shared" si="18"/>
        <v>256665.12</v>
      </c>
      <c r="N62" s="94">
        <f t="shared" si="18"/>
        <v>256275.97500000001</v>
      </c>
      <c r="O62" s="94">
        <f t="shared" si="18"/>
        <v>255886.83000000002</v>
      </c>
      <c r="P62" s="94">
        <f t="shared" si="18"/>
        <v>255497.685</v>
      </c>
      <c r="Q62" s="94">
        <f t="shared" si="18"/>
        <v>255108.53999999998</v>
      </c>
      <c r="R62" s="94">
        <f t="shared" si="18"/>
        <v>254719.39499999999</v>
      </c>
    </row>
    <row r="63" spans="1:18" outlineLevel="1">
      <c r="A63" s="248" t="str">
        <f>A56</f>
        <v>Trailblazer</v>
      </c>
      <c r="B63" s="951"/>
      <c r="C63" s="951"/>
      <c r="D63" s="292"/>
      <c r="E63" s="952">
        <f t="shared" ref="E63:R63" si="19">E31+E40+E48-E56</f>
        <v>21969.921000000002</v>
      </c>
      <c r="F63" s="952">
        <f t="shared" si="19"/>
        <v>14011.18</v>
      </c>
      <c r="G63" s="952">
        <f t="shared" si="19"/>
        <v>15736.958000000002</v>
      </c>
      <c r="H63" s="953">
        <f t="shared" si="19"/>
        <v>14251.936079699206</v>
      </c>
      <c r="I63" s="953">
        <f t="shared" si="19"/>
        <v>14246.893059756987</v>
      </c>
      <c r="J63" s="953">
        <f t="shared" si="19"/>
        <v>14241.850039814768</v>
      </c>
      <c r="K63" s="953">
        <f t="shared" si="19"/>
        <v>14236.807019872549</v>
      </c>
      <c r="L63" s="953">
        <f t="shared" si="19"/>
        <v>14231.76399993033</v>
      </c>
      <c r="M63" s="953">
        <f t="shared" si="19"/>
        <v>14226.720979988109</v>
      </c>
      <c r="N63" s="953">
        <f t="shared" si="19"/>
        <v>14221.67796004589</v>
      </c>
      <c r="O63" s="953">
        <f t="shared" si="19"/>
        <v>14216.634940103671</v>
      </c>
      <c r="P63" s="953">
        <f t="shared" si="19"/>
        <v>14211.591920161452</v>
      </c>
      <c r="Q63" s="953">
        <f t="shared" si="19"/>
        <v>14206.548900219233</v>
      </c>
      <c r="R63" s="953">
        <f t="shared" si="19"/>
        <v>14201.505880277015</v>
      </c>
    </row>
    <row r="64" spans="1:18">
      <c r="A64" s="955" t="s">
        <v>539</v>
      </c>
      <c r="B64" s="33"/>
      <c r="C64" s="33"/>
      <c r="D64" s="33"/>
      <c r="E64" s="682">
        <f t="shared" ref="E64:R64" ca="1" si="20">E32+E41+E49-E57</f>
        <v>610089.92099999986</v>
      </c>
      <c r="F64" s="682">
        <f t="shared" ca="1" si="20"/>
        <v>599446.18000000017</v>
      </c>
      <c r="G64" s="682">
        <f t="shared" ca="1" si="20"/>
        <v>907137.95799999987</v>
      </c>
      <c r="H64" s="683">
        <f t="shared" si="20"/>
        <v>817689.59857969917</v>
      </c>
      <c r="I64" s="683">
        <f t="shared" si="20"/>
        <v>877956.81555975694</v>
      </c>
      <c r="J64" s="683">
        <f t="shared" si="20"/>
        <v>932757.77722512966</v>
      </c>
      <c r="K64" s="683">
        <f t="shared" si="20"/>
        <v>955879.38610518735</v>
      </c>
      <c r="L64" s="683">
        <f t="shared" si="20"/>
        <v>974270.97934724484</v>
      </c>
      <c r="M64" s="683">
        <f t="shared" si="20"/>
        <v>998163.34797700297</v>
      </c>
      <c r="N64" s="683">
        <f t="shared" si="20"/>
        <v>1007143.8920490223</v>
      </c>
      <c r="O64" s="683">
        <f t="shared" si="20"/>
        <v>1016440.0718353796</v>
      </c>
      <c r="P64" s="683">
        <f t="shared" si="20"/>
        <v>1026061.9232514872</v>
      </c>
      <c r="Q64" s="683">
        <f t="shared" si="20"/>
        <v>1033981.2375401325</v>
      </c>
      <c r="R64" s="683">
        <f t="shared" si="20"/>
        <v>1042145.5413924651</v>
      </c>
    </row>
    <row r="65" spans="1:18">
      <c r="A65" s="34"/>
      <c r="E65" s="209"/>
      <c r="F65" s="215"/>
      <c r="G65" s="215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</row>
    <row r="66" spans="1:18" hidden="1" outlineLevel="1">
      <c r="A66" s="54" t="str">
        <f>A59</f>
        <v>Northern Natural</v>
      </c>
      <c r="E66" s="213">
        <f ca="1">'Northern Natural DCF'!E26</f>
        <v>54094.04</v>
      </c>
      <c r="F66" s="213">
        <f ca="1">'Northern Natural DCF'!F26</f>
        <v>75014.17</v>
      </c>
      <c r="G66" s="213">
        <f ca="1">'Northern Natural DCF'!G26</f>
        <v>81197.27</v>
      </c>
      <c r="H66" s="29">
        <f>'Northern Natural DCF'!H26</f>
        <v>45069.582249999992</v>
      </c>
      <c r="I66" s="29">
        <f>'Northern Natural DCF'!I26</f>
        <v>44077.931974999992</v>
      </c>
      <c r="J66" s="29">
        <f>'Northern Natural DCF'!J26</f>
        <v>56019.038531346181</v>
      </c>
      <c r="K66" s="29">
        <f>'Northern Natural DCF'!K26</f>
        <v>58279.589978346165</v>
      </c>
      <c r="L66" s="29">
        <f>'Northern Natural DCF'!L26</f>
        <v>70866.130738986161</v>
      </c>
      <c r="M66" s="29">
        <f>'Northern Natural DCF'!M26</f>
        <v>73372.305436658964</v>
      </c>
      <c r="N66" s="29">
        <f>'Northern Natural DCF'!N26</f>
        <v>76025.992860995189</v>
      </c>
      <c r="O66" s="29">
        <f>'Northern Natural DCF'!O26</f>
        <v>78719.912192498188</v>
      </c>
      <c r="P66" s="29">
        <f>'Northern Natural DCF'!P26</f>
        <v>91984.177907858757</v>
      </c>
      <c r="Q66" s="29">
        <f>'Northern Natural DCF'!Q26</f>
        <v>94734.149919000876</v>
      </c>
      <c r="R66" s="29">
        <f>'Northern Natural DCF'!R26</f>
        <v>97576.010771604444</v>
      </c>
    </row>
    <row r="67" spans="1:18" hidden="1" outlineLevel="1">
      <c r="A67" s="54" t="str">
        <f>A60</f>
        <v>Transwestern</v>
      </c>
      <c r="E67" s="213">
        <f>'Transwestern DCF'!E26</f>
        <v>39819.202499999999</v>
      </c>
      <c r="F67" s="213">
        <f>'Transwestern DCF'!F26</f>
        <v>35273.5075</v>
      </c>
      <c r="G67" s="213">
        <f>'Transwestern DCF'!G26</f>
        <v>43617.227500000001</v>
      </c>
      <c r="H67" s="29">
        <f>'Transwestern DCF'!H26</f>
        <v>46477.509924999998</v>
      </c>
      <c r="I67" s="29">
        <f>'Transwestern DCF'!I26</f>
        <v>40385.466274999999</v>
      </c>
      <c r="J67" s="29">
        <f>'Transwestern DCF'!J26</f>
        <v>44313.609917500005</v>
      </c>
      <c r="K67" s="29">
        <f>'Transwestern DCF'!K26</f>
        <v>47303.75099450002</v>
      </c>
      <c r="L67" s="29">
        <f>'Transwestern DCF'!L26</f>
        <v>55200.591214230022</v>
      </c>
      <c r="M67" s="29">
        <f>'Transwestern DCF'!M26</f>
        <v>59532.758931191733</v>
      </c>
      <c r="N67" s="29">
        <f>'Transwestern DCF'!N26</f>
        <v>60026.727707760685</v>
      </c>
      <c r="O67" s="29">
        <f>'Transwestern DCF'!O26</f>
        <v>60463.069782183091</v>
      </c>
      <c r="P67" s="29">
        <f>'Transwestern DCF'!P26</f>
        <v>64614.442051201622</v>
      </c>
      <c r="Q67" s="29">
        <f>'Transwestern DCF'!Q26</f>
        <v>64165.326216365691</v>
      </c>
      <c r="R67" s="29">
        <f>'Transwestern DCF'!R26</f>
        <v>63717.14872208795</v>
      </c>
    </row>
    <row r="68" spans="1:18" hidden="1" outlineLevel="1">
      <c r="A68" s="54" t="str">
        <f>A61</f>
        <v>Northern Border Partners</v>
      </c>
      <c r="E68" s="213">
        <f>'NBP DCF'!C24</f>
        <v>0</v>
      </c>
      <c r="F68" s="213">
        <f>'NBP DCF'!D24</f>
        <v>0</v>
      </c>
      <c r="G68" s="213">
        <f>'NBP DCF'!E24</f>
        <v>113633.52</v>
      </c>
      <c r="H68" s="29">
        <f>'NBP DCF'!F24</f>
        <v>80906.683550000002</v>
      </c>
      <c r="I68" s="29">
        <f>'NBP DCF'!G24</f>
        <v>92655.287725000002</v>
      </c>
      <c r="J68" s="29">
        <f>'NBP DCF'!H24</f>
        <v>92470.22573250001</v>
      </c>
      <c r="K68" s="29">
        <f>'NBP DCF'!I24</f>
        <v>94256.87655999999</v>
      </c>
      <c r="L68" s="29">
        <f>'NBP DCF'!J24</f>
        <v>103357.86179949999</v>
      </c>
      <c r="M68" s="29">
        <f>'NBP DCF'!K24</f>
        <v>102317.00171</v>
      </c>
      <c r="N68" s="29">
        <f>'NBP DCF'!L24</f>
        <v>101717.68241250001</v>
      </c>
      <c r="O68" s="29">
        <f>'NBP DCF'!M24</f>
        <v>101126.97248500001</v>
      </c>
      <c r="P68" s="29">
        <f>'NBP DCF'!N24</f>
        <v>109916.72391700001</v>
      </c>
      <c r="Q68" s="29">
        <f>'NBP DCF'!O24</f>
        <v>109109.71490650001</v>
      </c>
      <c r="R68" s="29">
        <f>'NBP DCF'!P24</f>
        <v>108200.243844</v>
      </c>
    </row>
    <row r="69" spans="1:18" hidden="1" outlineLevel="1">
      <c r="A69" s="54" t="str">
        <f>A62</f>
        <v>Citrus</v>
      </c>
      <c r="E69" s="213">
        <f>'Citrus DCF'!D26</f>
        <v>48691.334999999999</v>
      </c>
      <c r="F69" s="213">
        <f>'Citrus DCF'!E26</f>
        <v>51154.950000000004</v>
      </c>
      <c r="G69" s="213">
        <f>'Citrus DCF'!F26</f>
        <v>60221.700000000004</v>
      </c>
      <c r="H69" s="29">
        <f>'Citrus DCF'!G26</f>
        <v>36381.267999999996</v>
      </c>
      <c r="I69" s="29">
        <f>'Citrus DCF'!H26</f>
        <v>42733.394549999983</v>
      </c>
      <c r="J69" s="29">
        <f>'Citrus DCF'!I26</f>
        <v>53480.498995000009</v>
      </c>
      <c r="K69" s="29">
        <f>'Citrus DCF'!J26</f>
        <v>45660.785362500006</v>
      </c>
      <c r="L69" s="29">
        <f>'Citrus DCF'!K26</f>
        <v>58449.453639499996</v>
      </c>
      <c r="M69" s="29">
        <f>'Citrus DCF'!L26</f>
        <v>59961.726401500004</v>
      </c>
      <c r="N69" s="29">
        <f>'Citrus DCF'!M26</f>
        <v>61048.971483499998</v>
      </c>
      <c r="O69" s="29">
        <f>'Citrus DCF'!N26</f>
        <v>61500.032132</v>
      </c>
      <c r="P69" s="29">
        <f>'Citrus DCF'!O26</f>
        <v>74808.378952999992</v>
      </c>
      <c r="Q69" s="29">
        <f>'Citrus DCF'!P26</f>
        <v>74257.367645999999</v>
      </c>
      <c r="R69" s="29">
        <f>'Citrus DCF'!Q26</f>
        <v>73655.987944000008</v>
      </c>
    </row>
    <row r="70" spans="1:18" ht="15" hidden="1" outlineLevel="1">
      <c r="A70" s="54" t="str">
        <f>A63</f>
        <v>Trailblazer</v>
      </c>
      <c r="E70" s="216">
        <f>'Trailblazer DCF'!E26</f>
        <v>1925.1447600000015</v>
      </c>
      <c r="F70" s="216">
        <f>'Trailblazer DCF'!F26</f>
        <v>-1140.1313000000005</v>
      </c>
      <c r="G70" s="216">
        <f>'Trailblazer DCF'!G26</f>
        <v>2143.5483300000014</v>
      </c>
      <c r="H70" s="5">
        <f>'Trailblazer DCF'!H26</f>
        <v>3955.8193850941943</v>
      </c>
      <c r="I70" s="5">
        <f>'Trailblazer DCF'!I26</f>
        <v>3950.2832027639797</v>
      </c>
      <c r="J70" s="5">
        <f>'Trailblazer DCF'!J26</f>
        <v>3945.7590988365719</v>
      </c>
      <c r="K70" s="5">
        <f>'Trailblazer DCF'!K26</f>
        <v>5034.7503820769052</v>
      </c>
      <c r="L70" s="5">
        <f>'Trailblazer DCF'!L26</f>
        <v>5031.0834767883753</v>
      </c>
      <c r="M70" s="5">
        <f>'Trailblazer DCF'!M26</f>
        <v>5027.7876791336985</v>
      </c>
      <c r="N70" s="5">
        <f>'Trailblazer DCF'!N26</f>
        <v>5024.6359320052516</v>
      </c>
      <c r="O70" s="5">
        <f>'Trailblazer DCF'!O26</f>
        <v>5021.4539265055982</v>
      </c>
      <c r="P70" s="5">
        <f>'Trailblazer DCF'!P26</f>
        <v>6111.3317427059446</v>
      </c>
      <c r="Q70" s="5">
        <f>'Trailblazer DCF'!Q26</f>
        <v>6108.1506541266308</v>
      </c>
      <c r="R70" s="5">
        <f>'Trailblazer DCF'!R26</f>
        <v>6104.9623384769784</v>
      </c>
    </row>
    <row r="71" spans="1:18" hidden="1" outlineLevel="1">
      <c r="A71" s="94" t="s">
        <v>3</v>
      </c>
      <c r="E71" s="213">
        <f ca="1">SUM(E66:E70)</f>
        <v>144529.72225999998</v>
      </c>
      <c r="F71" s="213">
        <f t="shared" ref="F71:R71" ca="1" si="21">SUM(F66:F70)</f>
        <v>160302.49619999999</v>
      </c>
      <c r="G71" s="21">
        <f t="shared" ca="1" si="21"/>
        <v>300813.26583000005</v>
      </c>
      <c r="H71" s="29">
        <f t="shared" si="21"/>
        <v>212790.86311009419</v>
      </c>
      <c r="I71" s="29">
        <f t="shared" si="21"/>
        <v>223802.36372776396</v>
      </c>
      <c r="J71" s="29">
        <f t="shared" si="21"/>
        <v>250229.13227518278</v>
      </c>
      <c r="K71" s="29">
        <f t="shared" si="21"/>
        <v>250535.75327742309</v>
      </c>
      <c r="L71" s="29">
        <f t="shared" si="21"/>
        <v>292905.12086900458</v>
      </c>
      <c r="M71" s="29">
        <f t="shared" si="21"/>
        <v>300211.5801584844</v>
      </c>
      <c r="N71" s="29">
        <f t="shared" si="21"/>
        <v>303844.01039676112</v>
      </c>
      <c r="O71" s="29">
        <f t="shared" si="21"/>
        <v>306831.44051818689</v>
      </c>
      <c r="P71" s="29">
        <f t="shared" si="21"/>
        <v>347435.05457176635</v>
      </c>
      <c r="Q71" s="29">
        <f t="shared" si="21"/>
        <v>348374.70934199321</v>
      </c>
      <c r="R71" s="29">
        <f t="shared" si="21"/>
        <v>349254.35362016934</v>
      </c>
    </row>
    <row r="72" spans="1:18" hidden="1" outlineLevel="1">
      <c r="A72" s="54" t="str">
        <f>A66</f>
        <v>Northern Natural</v>
      </c>
      <c r="E72" s="213">
        <f ca="1">E78-E66</f>
        <v>31317.055</v>
      </c>
      <c r="F72" s="213">
        <f t="shared" ref="F72:R72" ca="1" si="22">F78-F66</f>
        <v>15552.074999999997</v>
      </c>
      <c r="G72" s="21">
        <f t="shared" ca="1" si="22"/>
        <v>19516.035000000003</v>
      </c>
      <c r="H72" s="29">
        <f t="shared" si="22"/>
        <v>30403.892750000014</v>
      </c>
      <c r="I72" s="29">
        <f t="shared" si="22"/>
        <v>31292.748025000015</v>
      </c>
      <c r="J72" s="29">
        <f t="shared" si="22"/>
        <v>29122.080872500002</v>
      </c>
      <c r="K72" s="29">
        <f t="shared" si="22"/>
        <v>30986.574657499994</v>
      </c>
      <c r="L72" s="29">
        <f t="shared" si="22"/>
        <v>21380.736723499998</v>
      </c>
      <c r="M72" s="29">
        <f t="shared" si="22"/>
        <v>22185.052658999994</v>
      </c>
      <c r="N72" s="29">
        <f t="shared" si="22"/>
        <v>22927.094305499995</v>
      </c>
      <c r="O72" s="29">
        <f t="shared" si="22"/>
        <v>23716.235619999978</v>
      </c>
      <c r="P72" s="29">
        <f t="shared" si="22"/>
        <v>14024.516544499988</v>
      </c>
      <c r="Q72" s="29">
        <f t="shared" si="22"/>
        <v>14938.795063499987</v>
      </c>
      <c r="R72" s="29">
        <f t="shared" si="22"/>
        <v>15855.172294499993</v>
      </c>
    </row>
    <row r="73" spans="1:18" hidden="1" outlineLevel="1">
      <c r="A73" s="54" t="str">
        <f>A67</f>
        <v>Transwestern</v>
      </c>
      <c r="E73" s="213">
        <f t="shared" ref="E73:R73" si="23">E79-E67</f>
        <v>4453.8725000000049</v>
      </c>
      <c r="F73" s="213">
        <f t="shared" si="23"/>
        <v>4568.6025000000009</v>
      </c>
      <c r="G73" s="21">
        <f t="shared" si="23"/>
        <v>4698.3475000000035</v>
      </c>
      <c r="H73" s="29">
        <f t="shared" si="23"/>
        <v>2787.4750750000021</v>
      </c>
      <c r="I73" s="29">
        <f t="shared" si="23"/>
        <v>6221.1668750000026</v>
      </c>
      <c r="J73" s="29">
        <f t="shared" si="23"/>
        <v>8428.375532500002</v>
      </c>
      <c r="K73" s="29">
        <f t="shared" si="23"/>
        <v>9736.5423924999996</v>
      </c>
      <c r="L73" s="29">
        <f t="shared" si="23"/>
        <v>6325.1383195000017</v>
      </c>
      <c r="M73" s="29">
        <f t="shared" si="23"/>
        <v>8387.5249919999987</v>
      </c>
      <c r="N73" s="29">
        <f t="shared" si="23"/>
        <v>8461.8197125000006</v>
      </c>
      <c r="O73" s="29">
        <f t="shared" si="23"/>
        <v>8627.9293099999995</v>
      </c>
      <c r="P73" s="29">
        <f t="shared" si="23"/>
        <v>5114.9062965000048</v>
      </c>
      <c r="Q73" s="29">
        <f t="shared" si="23"/>
        <v>5455.1907024999964</v>
      </c>
      <c r="R73" s="29">
        <f t="shared" si="23"/>
        <v>5794.8701965000073</v>
      </c>
    </row>
    <row r="74" spans="1:18" hidden="1" outlineLevel="1">
      <c r="A74" s="54" t="str">
        <f>A68</f>
        <v>Northern Border Partners</v>
      </c>
      <c r="E74" s="213">
        <f t="shared" ref="E74:R74" si="24">E80-E68</f>
        <v>0</v>
      </c>
      <c r="F74" s="213">
        <f t="shared" si="24"/>
        <v>0</v>
      </c>
      <c r="G74" s="21">
        <f t="shared" si="24"/>
        <v>-23505.790000000008</v>
      </c>
      <c r="H74" s="29">
        <f t="shared" si="24"/>
        <v>16748.806112499995</v>
      </c>
      <c r="I74" s="29">
        <f t="shared" si="24"/>
        <v>17382.623912499999</v>
      </c>
      <c r="J74" s="29">
        <f t="shared" si="24"/>
        <v>18712.065679999985</v>
      </c>
      <c r="K74" s="29">
        <f t="shared" si="24"/>
        <v>21100.440515000024</v>
      </c>
      <c r="L74" s="29">
        <f t="shared" si="24"/>
        <v>13518.747088000004</v>
      </c>
      <c r="M74" s="29">
        <f t="shared" si="24"/>
        <v>14204.886465000003</v>
      </c>
      <c r="N74" s="29">
        <f t="shared" si="24"/>
        <v>14449.485050000003</v>
      </c>
      <c r="O74" s="29">
        <f t="shared" si="24"/>
        <v>14685.474264999997</v>
      </c>
      <c r="P74" s="29">
        <f t="shared" si="24"/>
        <v>5541.0021204999939</v>
      </c>
      <c r="Q74" s="29">
        <f t="shared" si="24"/>
        <v>5993.2904184999788</v>
      </c>
      <c r="R74" s="29">
        <f t="shared" si="24"/>
        <v>6548.04076850001</v>
      </c>
    </row>
    <row r="75" spans="1:18" hidden="1" outlineLevel="1">
      <c r="A75" s="54" t="str">
        <f>A69</f>
        <v>Citrus</v>
      </c>
      <c r="E75" s="213">
        <f t="shared" ref="E75:R76" ca="1" si="25">E81-E69</f>
        <v>0</v>
      </c>
      <c r="F75" s="213">
        <f t="shared" ca="1" si="25"/>
        <v>0</v>
      </c>
      <c r="G75" s="21">
        <f t="shared" ca="1" si="25"/>
        <v>0</v>
      </c>
      <c r="H75" s="29">
        <f t="shared" si="25"/>
        <v>50548.282400000011</v>
      </c>
      <c r="I75" s="29">
        <f t="shared" si="25"/>
        <v>57779.700825000022</v>
      </c>
      <c r="J75" s="29">
        <f t="shared" si="25"/>
        <v>51082.736704999996</v>
      </c>
      <c r="K75" s="29">
        <f t="shared" si="25"/>
        <v>55207.832487500003</v>
      </c>
      <c r="L75" s="29">
        <f t="shared" si="25"/>
        <v>40516.438385500012</v>
      </c>
      <c r="M75" s="29">
        <f t="shared" si="25"/>
        <v>38854.344798500002</v>
      </c>
      <c r="N75" s="29">
        <f t="shared" si="25"/>
        <v>37617.278891500006</v>
      </c>
      <c r="O75" s="29">
        <f t="shared" si="25"/>
        <v>37016.397418000015</v>
      </c>
      <c r="P75" s="29">
        <f t="shared" si="25"/>
        <v>23558.229772000006</v>
      </c>
      <c r="Q75" s="29">
        <f t="shared" si="25"/>
        <v>23959.420253999997</v>
      </c>
      <c r="R75" s="29">
        <f t="shared" si="25"/>
        <v>24410.979130999986</v>
      </c>
    </row>
    <row r="76" spans="1:18" ht="15" hidden="1" outlineLevel="1">
      <c r="A76" s="54" t="str">
        <f>A70</f>
        <v>Trailblazer</v>
      </c>
      <c r="E76" s="216">
        <f t="shared" si="25"/>
        <v>6533.2748250000004</v>
      </c>
      <c r="F76" s="216">
        <f t="shared" si="25"/>
        <v>6534.4356000000007</v>
      </c>
      <c r="G76" s="17">
        <f t="shared" si="25"/>
        <v>3915.1804999999995</v>
      </c>
      <c r="H76" s="5">
        <f t="shared" si="25"/>
        <v>1531.1760055900004</v>
      </c>
      <c r="I76" s="5">
        <f t="shared" si="25"/>
        <v>1534.7706252424605</v>
      </c>
      <c r="J76" s="5">
        <f t="shared" si="25"/>
        <v>1537.3531664921138</v>
      </c>
      <c r="K76" s="5">
        <f t="shared" si="25"/>
        <v>446.42032057402594</v>
      </c>
      <c r="L76" s="5">
        <f t="shared" si="25"/>
        <v>448.14566318480229</v>
      </c>
      <c r="M76" s="5">
        <f t="shared" si="25"/>
        <v>449.49989816172365</v>
      </c>
      <c r="N76" s="5">
        <f t="shared" si="25"/>
        <v>450.71008261241604</v>
      </c>
      <c r="O76" s="5">
        <f t="shared" si="25"/>
        <v>451.95052543431575</v>
      </c>
      <c r="P76" s="5">
        <f t="shared" si="25"/>
        <v>-639.86885344378516</v>
      </c>
      <c r="Q76" s="5">
        <f t="shared" si="25"/>
        <v>-638.62932754222584</v>
      </c>
      <c r="R76" s="5">
        <f t="shared" si="25"/>
        <v>-637.38257457032796</v>
      </c>
    </row>
    <row r="77" spans="1:18" hidden="1" outlineLevel="1">
      <c r="A77" s="49" t="s">
        <v>4</v>
      </c>
      <c r="E77" s="213">
        <f ca="1">SUM(E72:E76)</f>
        <v>42304.202325000006</v>
      </c>
      <c r="F77" s="213">
        <f t="shared" ref="F77:R77" ca="1" si="26">SUM(F72:F76)</f>
        <v>26655.113099999999</v>
      </c>
      <c r="G77" s="21">
        <f t="shared" ca="1" si="26"/>
        <v>4623.7729999999983</v>
      </c>
      <c r="H77" s="29">
        <f t="shared" si="26"/>
        <v>102019.63234309001</v>
      </c>
      <c r="I77" s="29">
        <f t="shared" si="26"/>
        <v>114211.01026274249</v>
      </c>
      <c r="J77" s="29">
        <f t="shared" si="26"/>
        <v>108882.61195649211</v>
      </c>
      <c r="K77" s="29">
        <f t="shared" si="26"/>
        <v>117477.81037307404</v>
      </c>
      <c r="L77" s="29">
        <f t="shared" si="26"/>
        <v>82189.206179684814</v>
      </c>
      <c r="M77" s="29">
        <f t="shared" si="26"/>
        <v>84081.308812661722</v>
      </c>
      <c r="N77" s="29">
        <f t="shared" si="26"/>
        <v>83906.388042112419</v>
      </c>
      <c r="O77" s="29">
        <f t="shared" si="26"/>
        <v>84497.987138434299</v>
      </c>
      <c r="P77" s="29">
        <f t="shared" si="26"/>
        <v>47598.78588005621</v>
      </c>
      <c r="Q77" s="29">
        <f t="shared" si="26"/>
        <v>49708.067110957731</v>
      </c>
      <c r="R77" s="29">
        <f t="shared" si="26"/>
        <v>51971.679815929667</v>
      </c>
    </row>
    <row r="78" spans="1:18" hidden="1" outlineLevel="1">
      <c r="A78" s="959" t="str">
        <f>A72</f>
        <v>Northern Natural</v>
      </c>
      <c r="E78" s="213">
        <f ca="1">'Northern Natural DCF'!E28</f>
        <v>85411.095000000001</v>
      </c>
      <c r="F78" s="213">
        <f ca="1">'Northern Natural DCF'!F28</f>
        <v>90566.244999999995</v>
      </c>
      <c r="G78" s="21">
        <f ca="1">'Northern Natural DCF'!G28</f>
        <v>100713.30500000001</v>
      </c>
      <c r="H78" s="29">
        <f>'Northern Natural DCF'!H28</f>
        <v>75473.475000000006</v>
      </c>
      <c r="I78" s="29">
        <f>'Northern Natural DCF'!I28</f>
        <v>75370.680000000008</v>
      </c>
      <c r="J78" s="29">
        <f>'Northern Natural DCF'!J28</f>
        <v>85141.119403846184</v>
      </c>
      <c r="K78" s="29">
        <f>'Northern Natural DCF'!K28</f>
        <v>89266.164635846158</v>
      </c>
      <c r="L78" s="29">
        <f>'Northern Natural DCF'!L28</f>
        <v>92246.86746248616</v>
      </c>
      <c r="M78" s="29">
        <f>'Northern Natural DCF'!M28</f>
        <v>95557.358095658958</v>
      </c>
      <c r="N78" s="29">
        <f>'Northern Natural DCF'!N28</f>
        <v>98953.087166495185</v>
      </c>
      <c r="O78" s="29">
        <f>'Northern Natural DCF'!O28</f>
        <v>102436.14781249817</v>
      </c>
      <c r="P78" s="29">
        <f>'Northern Natural DCF'!P28</f>
        <v>106008.69445235874</v>
      </c>
      <c r="Q78" s="29">
        <f>'Northern Natural DCF'!Q28</f>
        <v>109672.94498250086</v>
      </c>
      <c r="R78" s="29">
        <f>'Northern Natural DCF'!R28</f>
        <v>113431.18306610444</v>
      </c>
    </row>
    <row r="79" spans="1:18" hidden="1" outlineLevel="1">
      <c r="A79" s="959" t="str">
        <f>A73</f>
        <v>Transwestern</v>
      </c>
      <c r="E79" s="213">
        <f>'Transwestern DCF'!E28</f>
        <v>44273.075000000004</v>
      </c>
      <c r="F79" s="213">
        <f>'Transwestern DCF'!F28</f>
        <v>39842.11</v>
      </c>
      <c r="G79" s="21">
        <f>'Transwestern DCF'!G28</f>
        <v>48315.575000000004</v>
      </c>
      <c r="H79" s="29">
        <f>'Transwestern DCF'!H28</f>
        <v>49264.985000000001</v>
      </c>
      <c r="I79" s="29">
        <f>'Transwestern DCF'!I28</f>
        <v>46606.633150000001</v>
      </c>
      <c r="J79" s="29">
        <f>'Transwestern DCF'!J28</f>
        <v>52741.985450000007</v>
      </c>
      <c r="K79" s="29">
        <f>'Transwestern DCF'!K28</f>
        <v>57040.29338700002</v>
      </c>
      <c r="L79" s="29">
        <f>'Transwestern DCF'!L28</f>
        <v>61525.729533730024</v>
      </c>
      <c r="M79" s="29">
        <f>'Transwestern DCF'!M28</f>
        <v>67920.283923191731</v>
      </c>
      <c r="N79" s="29">
        <f>'Transwestern DCF'!N28</f>
        <v>68488.547420260686</v>
      </c>
      <c r="O79" s="29">
        <f>'Transwestern DCF'!O28</f>
        <v>69090.99909218309</v>
      </c>
      <c r="P79" s="29">
        <f>'Transwestern DCF'!P28</f>
        <v>69729.348347701627</v>
      </c>
      <c r="Q79" s="29">
        <f>'Transwestern DCF'!Q28</f>
        <v>69620.516918865687</v>
      </c>
      <c r="R79" s="29">
        <f>'Transwestern DCF'!R28</f>
        <v>69512.018918587957</v>
      </c>
    </row>
    <row r="80" spans="1:18" hidden="1" outlineLevel="1">
      <c r="A80" s="959" t="str">
        <f>A74</f>
        <v>Northern Border Partners</v>
      </c>
      <c r="E80" s="213">
        <f>'NBP DCF'!C26</f>
        <v>0</v>
      </c>
      <c r="F80" s="213">
        <f>'NBP DCF'!D26</f>
        <v>0</v>
      </c>
      <c r="G80" s="21">
        <f>'NBP DCF'!E26</f>
        <v>90127.73</v>
      </c>
      <c r="H80" s="29">
        <f>'NBP DCF'!F26</f>
        <v>97655.489662499996</v>
      </c>
      <c r="I80" s="29">
        <f>'NBP DCF'!G26</f>
        <v>110037.9116375</v>
      </c>
      <c r="J80" s="29">
        <f>'NBP DCF'!H26</f>
        <v>111182.2914125</v>
      </c>
      <c r="K80" s="29">
        <f>'NBP DCF'!I26</f>
        <v>115357.31707500001</v>
      </c>
      <c r="L80" s="29">
        <f>'NBP DCF'!J26</f>
        <v>116876.6088875</v>
      </c>
      <c r="M80" s="29">
        <f>'NBP DCF'!K26</f>
        <v>116521.888175</v>
      </c>
      <c r="N80" s="29">
        <f>'NBP DCF'!L26</f>
        <v>116167.16746250002</v>
      </c>
      <c r="O80" s="29">
        <f>'NBP DCF'!M26</f>
        <v>115812.44675</v>
      </c>
      <c r="P80" s="29">
        <f>'NBP DCF'!N26</f>
        <v>115457.7260375</v>
      </c>
      <c r="Q80" s="29">
        <f>'NBP DCF'!O26</f>
        <v>115103.00532499999</v>
      </c>
      <c r="R80" s="29">
        <f>'NBP DCF'!P26</f>
        <v>114748.28461250001</v>
      </c>
    </row>
    <row r="81" spans="1:20" hidden="1" outlineLevel="1">
      <c r="A81" s="959" t="str">
        <f>A75</f>
        <v>Citrus</v>
      </c>
      <c r="E81" s="213">
        <f ca="1">'Citrus DCF'!D28</f>
        <v>48691.334999999999</v>
      </c>
      <c r="F81" s="213">
        <f ca="1">'Citrus DCF'!E28</f>
        <v>51154.950000000004</v>
      </c>
      <c r="G81" s="21">
        <f ca="1">'Citrus DCF'!F28</f>
        <v>60221.700000000004</v>
      </c>
      <c r="H81" s="29">
        <f>'Citrus DCF'!G28</f>
        <v>86929.550400000007</v>
      </c>
      <c r="I81" s="29">
        <f>'Citrus DCF'!H28</f>
        <v>100513.095375</v>
      </c>
      <c r="J81" s="29">
        <f>'Citrus DCF'!I28</f>
        <v>104563.2357</v>
      </c>
      <c r="K81" s="29">
        <f>'Citrus DCF'!J28</f>
        <v>100868.61785000001</v>
      </c>
      <c r="L81" s="29">
        <f>'Citrus DCF'!K28</f>
        <v>98965.892025000008</v>
      </c>
      <c r="M81" s="29">
        <f>'Citrus DCF'!L28</f>
        <v>98816.071200000006</v>
      </c>
      <c r="N81" s="29">
        <f>'Citrus DCF'!M28</f>
        <v>98666.250375000003</v>
      </c>
      <c r="O81" s="29">
        <f>'Citrus DCF'!N28</f>
        <v>98516.429550000015</v>
      </c>
      <c r="P81" s="29">
        <f>'Citrus DCF'!O28</f>
        <v>98366.608724999998</v>
      </c>
      <c r="Q81" s="29">
        <f>'Citrus DCF'!P28</f>
        <v>98216.787899999996</v>
      </c>
      <c r="R81" s="29">
        <f>'Citrus DCF'!Q28</f>
        <v>98066.967074999993</v>
      </c>
    </row>
    <row r="82" spans="1:20" ht="15" hidden="1" outlineLevel="1">
      <c r="A82" s="959" t="str">
        <f>A76</f>
        <v>Trailblazer</v>
      </c>
      <c r="E82" s="216">
        <f>'Trailblazer DCF'!E28</f>
        <v>8458.4195850000015</v>
      </c>
      <c r="F82" s="216">
        <f>'Trailblazer DCF'!F28</f>
        <v>5394.3042999999998</v>
      </c>
      <c r="G82" s="17">
        <f>'Trailblazer DCF'!G28</f>
        <v>6058.7288300000009</v>
      </c>
      <c r="H82" s="5">
        <f>'Trailblazer DCF'!H28</f>
        <v>5486.9953906841947</v>
      </c>
      <c r="I82" s="5">
        <f>'Trailblazer DCF'!I28</f>
        <v>5485.0538280064402</v>
      </c>
      <c r="J82" s="5">
        <f>'Trailblazer DCF'!J28</f>
        <v>5483.1122653286857</v>
      </c>
      <c r="K82" s="5">
        <f>'Trailblazer DCF'!K28</f>
        <v>5481.1707026509312</v>
      </c>
      <c r="L82" s="5">
        <f>'Trailblazer DCF'!L28</f>
        <v>5479.2291399731776</v>
      </c>
      <c r="M82" s="5">
        <f>'Trailblazer DCF'!M28</f>
        <v>5477.2875772954221</v>
      </c>
      <c r="N82" s="5">
        <f>'Trailblazer DCF'!N28</f>
        <v>5475.3460146176676</v>
      </c>
      <c r="O82" s="5">
        <f>'Trailblazer DCF'!O28</f>
        <v>5473.404451939914</v>
      </c>
      <c r="P82" s="5">
        <f>'Trailblazer DCF'!P28</f>
        <v>5471.4628892621595</v>
      </c>
      <c r="Q82" s="5">
        <f>'Trailblazer DCF'!Q28</f>
        <v>5469.521326584405</v>
      </c>
      <c r="R82" s="5">
        <f>'Trailblazer DCF'!R28</f>
        <v>5467.5797639066504</v>
      </c>
    </row>
    <row r="83" spans="1:20" collapsed="1">
      <c r="A83" s="641" t="s">
        <v>297</v>
      </c>
      <c r="B83" s="84"/>
      <c r="C83" s="13"/>
      <c r="E83" s="211">
        <f ca="1">SUM(E78:E82)</f>
        <v>186833.924585</v>
      </c>
      <c r="F83" s="211">
        <f t="shared" ref="F83:R83" ca="1" si="27">SUM(F78:F82)</f>
        <v>186957.60929999998</v>
      </c>
      <c r="G83" s="211">
        <f t="shared" ca="1" si="27"/>
        <v>305437.03882999998</v>
      </c>
      <c r="H83" s="94">
        <f t="shared" si="27"/>
        <v>314810.49545318418</v>
      </c>
      <c r="I83" s="94">
        <f t="shared" si="27"/>
        <v>338013.37399050646</v>
      </c>
      <c r="J83" s="94">
        <f t="shared" si="27"/>
        <v>359111.74423167488</v>
      </c>
      <c r="K83" s="94">
        <f t="shared" si="27"/>
        <v>368013.56365049712</v>
      </c>
      <c r="L83" s="94">
        <f t="shared" si="27"/>
        <v>375094.32704868936</v>
      </c>
      <c r="M83" s="94">
        <f t="shared" si="27"/>
        <v>384292.88897114614</v>
      </c>
      <c r="N83" s="94">
        <f t="shared" si="27"/>
        <v>387750.39843887358</v>
      </c>
      <c r="O83" s="94">
        <f t="shared" si="27"/>
        <v>391329.42765662115</v>
      </c>
      <c r="P83" s="94">
        <f t="shared" si="27"/>
        <v>395033.84045182256</v>
      </c>
      <c r="Q83" s="94">
        <f t="shared" si="27"/>
        <v>398082.7764529509</v>
      </c>
      <c r="R83" s="94">
        <f t="shared" si="27"/>
        <v>401226.03343609907</v>
      </c>
    </row>
    <row r="84" spans="1:20">
      <c r="A84" s="959"/>
      <c r="B84" s="84"/>
      <c r="C84" s="13"/>
      <c r="E84" s="211"/>
      <c r="F84" s="211"/>
      <c r="G84" s="211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</row>
    <row r="85" spans="1:20">
      <c r="A85" s="960" t="str">
        <f>A72</f>
        <v>Northern Natural</v>
      </c>
      <c r="B85" s="84"/>
      <c r="C85" s="13"/>
      <c r="E85" s="211">
        <f ca="1">E59-E78</f>
        <v>136435.905</v>
      </c>
      <c r="F85" s="211">
        <f t="shared" ref="F85:R85" ca="1" si="28">F59-F78</f>
        <v>144670.755</v>
      </c>
      <c r="G85" s="211">
        <f t="shared" ca="1" si="28"/>
        <v>160879.69500000001</v>
      </c>
      <c r="H85" s="94">
        <f t="shared" si="28"/>
        <v>120561.52499999999</v>
      </c>
      <c r="I85" s="94">
        <f t="shared" si="28"/>
        <v>120397.31999999999</v>
      </c>
      <c r="J85" s="94">
        <f t="shared" si="28"/>
        <v>136004.64528146858</v>
      </c>
      <c r="K85" s="94">
        <f t="shared" si="28"/>
        <v>142594.00324946854</v>
      </c>
      <c r="L85" s="94">
        <f t="shared" si="28"/>
        <v>147355.38568682852</v>
      </c>
      <c r="M85" s="94">
        <f t="shared" si="28"/>
        <v>152643.57202293572</v>
      </c>
      <c r="N85" s="94">
        <f t="shared" si="28"/>
        <v>158067.91846076504</v>
      </c>
      <c r="O85" s="94">
        <f t="shared" si="28"/>
        <v>163631.76858360099</v>
      </c>
      <c r="P85" s="94">
        <f t="shared" si="28"/>
        <v>169338.56386545615</v>
      </c>
      <c r="Q85" s="94">
        <f t="shared" si="28"/>
        <v>175191.84717983904</v>
      </c>
      <c r="R85" s="94">
        <f t="shared" si="28"/>
        <v>181195.26645624475</v>
      </c>
    </row>
    <row r="86" spans="1:20">
      <c r="A86" s="960" t="str">
        <f>A73</f>
        <v>Transwestern</v>
      </c>
      <c r="B86" s="84"/>
      <c r="C86" s="13"/>
      <c r="E86" s="211">
        <f t="shared" ref="E86:R86" si="29">E60-E79</f>
        <v>70721.924999999988</v>
      </c>
      <c r="F86" s="211">
        <f t="shared" si="29"/>
        <v>63643.89</v>
      </c>
      <c r="G86" s="211">
        <f t="shared" si="29"/>
        <v>77179.424999999988</v>
      </c>
      <c r="H86" s="94">
        <f t="shared" si="29"/>
        <v>78696.014999999999</v>
      </c>
      <c r="I86" s="94">
        <f t="shared" si="29"/>
        <v>74449.556849999994</v>
      </c>
      <c r="J86" s="94">
        <f t="shared" si="29"/>
        <v>84250.184550000005</v>
      </c>
      <c r="K86" s="94">
        <f t="shared" si="29"/>
        <v>91116.312813000026</v>
      </c>
      <c r="L86" s="94">
        <f t="shared" si="29"/>
        <v>98281.360164270038</v>
      </c>
      <c r="M86" s="94">
        <f t="shared" si="29"/>
        <v>108496.03795522834</v>
      </c>
      <c r="N86" s="94">
        <f t="shared" si="29"/>
        <v>109403.78354145538</v>
      </c>
      <c r="O86" s="94">
        <f t="shared" si="29"/>
        <v>110366.14140699377</v>
      </c>
      <c r="P86" s="94">
        <f t="shared" si="29"/>
        <v>111385.8421658091</v>
      </c>
      <c r="Q86" s="94">
        <f t="shared" si="29"/>
        <v>111211.99455870753</v>
      </c>
      <c r="R86" s="94">
        <f t="shared" si="29"/>
        <v>111038.67957125088</v>
      </c>
    </row>
    <row r="87" spans="1:20">
      <c r="A87" s="960" t="str">
        <f>A74</f>
        <v>Northern Border Partners</v>
      </c>
      <c r="B87" s="84"/>
      <c r="C87" s="13"/>
      <c r="E87" s="211">
        <f t="shared" ref="E87:R87" si="30">E61-E80</f>
        <v>0</v>
      </c>
      <c r="F87" s="211">
        <f t="shared" si="30"/>
        <v>0</v>
      </c>
      <c r="G87" s="211">
        <f t="shared" si="30"/>
        <v>143970.27000000002</v>
      </c>
      <c r="H87" s="94">
        <f t="shared" si="30"/>
        <v>155995.13283750002</v>
      </c>
      <c r="I87" s="94">
        <f t="shared" si="30"/>
        <v>175774.84586250002</v>
      </c>
      <c r="J87" s="94">
        <f t="shared" si="30"/>
        <v>177602.88108749999</v>
      </c>
      <c r="K87" s="94">
        <f t="shared" si="30"/>
        <v>184272.07792499999</v>
      </c>
      <c r="L87" s="94">
        <f t="shared" si="30"/>
        <v>186698.99861249997</v>
      </c>
      <c r="M87" s="94">
        <f t="shared" si="30"/>
        <v>186132.366825</v>
      </c>
      <c r="N87" s="94">
        <f t="shared" si="30"/>
        <v>185565.73503750001</v>
      </c>
      <c r="O87" s="94">
        <f t="shared" si="30"/>
        <v>184999.10324999999</v>
      </c>
      <c r="P87" s="94">
        <f t="shared" si="30"/>
        <v>184432.47146249999</v>
      </c>
      <c r="Q87" s="94">
        <f t="shared" si="30"/>
        <v>183865.839675</v>
      </c>
      <c r="R87" s="94">
        <f t="shared" si="30"/>
        <v>183299.2078875</v>
      </c>
    </row>
    <row r="88" spans="1:20">
      <c r="A88" s="960" t="str">
        <f>A75</f>
        <v>Citrus</v>
      </c>
      <c r="E88" s="211">
        <f t="shared" ref="E88:R89" ca="1" si="31">E62-E81</f>
        <v>202586.66500000001</v>
      </c>
      <c r="F88" s="211">
        <f t="shared" ca="1" si="31"/>
        <v>195557.05</v>
      </c>
      <c r="G88" s="211">
        <f t="shared" ca="1" si="31"/>
        <v>209993.3</v>
      </c>
      <c r="H88" s="25">
        <f t="shared" si="31"/>
        <v>138861.4896</v>
      </c>
      <c r="I88" s="10">
        <f t="shared" si="31"/>
        <v>160559.879625</v>
      </c>
      <c r="J88" s="10">
        <f t="shared" si="31"/>
        <v>167029.58429999999</v>
      </c>
      <c r="K88" s="10">
        <f t="shared" si="31"/>
        <v>161127.79214999999</v>
      </c>
      <c r="L88" s="10">
        <f t="shared" si="31"/>
        <v>158088.37297500001</v>
      </c>
      <c r="M88" s="10">
        <f t="shared" si="31"/>
        <v>157849.04879999999</v>
      </c>
      <c r="N88" s="10">
        <f t="shared" si="31"/>
        <v>157609.724625</v>
      </c>
      <c r="O88" s="10">
        <f t="shared" si="31"/>
        <v>157370.40045000002</v>
      </c>
      <c r="P88" s="10">
        <f t="shared" si="31"/>
        <v>157131.076275</v>
      </c>
      <c r="Q88" s="10">
        <f t="shared" si="31"/>
        <v>156891.75209999998</v>
      </c>
      <c r="R88" s="10">
        <f t="shared" si="31"/>
        <v>156652.427925</v>
      </c>
    </row>
    <row r="89" spans="1:20">
      <c r="A89" s="960" t="str">
        <f>A82</f>
        <v>Trailblazer</v>
      </c>
      <c r="E89" s="211">
        <f t="shared" si="31"/>
        <v>13511.501415000001</v>
      </c>
      <c r="F89" s="211">
        <f t="shared" si="31"/>
        <v>8616.8757000000005</v>
      </c>
      <c r="G89" s="211">
        <f t="shared" si="31"/>
        <v>9678.2291700000023</v>
      </c>
      <c r="H89" s="25">
        <f t="shared" si="31"/>
        <v>8764.9406890150112</v>
      </c>
      <c r="I89" s="10">
        <f t="shared" si="31"/>
        <v>8761.8392317505459</v>
      </c>
      <c r="J89" s="10">
        <f t="shared" si="31"/>
        <v>8758.7377744860823</v>
      </c>
      <c r="K89" s="10">
        <f t="shared" si="31"/>
        <v>8755.6363172216188</v>
      </c>
      <c r="L89" s="10">
        <f t="shared" si="31"/>
        <v>8752.5348599571516</v>
      </c>
      <c r="M89" s="10">
        <f t="shared" si="31"/>
        <v>8749.4334026926881</v>
      </c>
      <c r="N89" s="10">
        <f t="shared" si="31"/>
        <v>8746.3319454282228</v>
      </c>
      <c r="O89" s="10">
        <f t="shared" si="31"/>
        <v>8743.2304881637574</v>
      </c>
      <c r="P89" s="10">
        <f t="shared" si="31"/>
        <v>8740.1290308992939</v>
      </c>
      <c r="Q89" s="10">
        <f t="shared" si="31"/>
        <v>8737.0275736348285</v>
      </c>
      <c r="R89" s="10">
        <f t="shared" si="31"/>
        <v>8733.9261163703632</v>
      </c>
    </row>
    <row r="90" spans="1:20">
      <c r="A90" s="961" t="s">
        <v>543</v>
      </c>
      <c r="B90" s="33"/>
      <c r="C90" s="33"/>
      <c r="D90" s="33"/>
      <c r="E90" s="682">
        <f ca="1">SUM(E85:E89)</f>
        <v>423255.996415</v>
      </c>
      <c r="F90" s="682">
        <f t="shared" ref="F90:R90" ca="1" si="32">SUM(F85:F89)</f>
        <v>412488.57069999998</v>
      </c>
      <c r="G90" s="682">
        <f t="shared" ca="1" si="32"/>
        <v>601700.91916999989</v>
      </c>
      <c r="H90" s="683">
        <f t="shared" si="32"/>
        <v>502879.10312651499</v>
      </c>
      <c r="I90" s="684">
        <f t="shared" si="32"/>
        <v>539943.44156925066</v>
      </c>
      <c r="J90" s="684">
        <f t="shared" si="32"/>
        <v>573646.0329934546</v>
      </c>
      <c r="K90" s="684">
        <f t="shared" si="32"/>
        <v>587865.82245469012</v>
      </c>
      <c r="L90" s="684">
        <f t="shared" si="32"/>
        <v>599176.65229855571</v>
      </c>
      <c r="M90" s="684">
        <f t="shared" si="32"/>
        <v>613870.45900585677</v>
      </c>
      <c r="N90" s="684">
        <f t="shared" si="32"/>
        <v>619393.49361014878</v>
      </c>
      <c r="O90" s="684">
        <f t="shared" si="32"/>
        <v>625110.64417875849</v>
      </c>
      <c r="P90" s="684">
        <f t="shared" si="32"/>
        <v>631028.08279966458</v>
      </c>
      <c r="Q90" s="684">
        <f t="shared" si="32"/>
        <v>635898.46108718147</v>
      </c>
      <c r="R90" s="684">
        <f t="shared" si="32"/>
        <v>640919.50795636594</v>
      </c>
    </row>
    <row r="91" spans="1:20">
      <c r="A91" s="49"/>
      <c r="E91" s="209"/>
      <c r="F91" s="215"/>
      <c r="G91" s="215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30"/>
      <c r="T91" s="24"/>
    </row>
    <row r="92" spans="1:20" hidden="1" outlineLevel="1">
      <c r="A92" s="959" t="str">
        <f>A85</f>
        <v>Northern Natural</v>
      </c>
      <c r="E92" s="213">
        <f t="shared" ref="E92:R92" ca="1" si="33">E85+E52+E72</f>
        <v>249095.96</v>
      </c>
      <c r="F92" s="213">
        <f t="shared" ca="1" si="33"/>
        <v>200617.83000000002</v>
      </c>
      <c r="G92" s="213">
        <f t="shared" ca="1" si="33"/>
        <v>231086.73</v>
      </c>
      <c r="H92" s="29">
        <f t="shared" si="33"/>
        <v>212544.41775000002</v>
      </c>
      <c r="I92" s="29">
        <f t="shared" si="33"/>
        <v>218463.06802500002</v>
      </c>
      <c r="J92" s="29">
        <f t="shared" si="33"/>
        <v>218469.75615396857</v>
      </c>
      <c r="K92" s="29">
        <f t="shared" si="33"/>
        <v>228386.10790696854</v>
      </c>
      <c r="L92" s="29">
        <f t="shared" si="33"/>
        <v>225004.1524103285</v>
      </c>
      <c r="M92" s="29">
        <f t="shared" si="33"/>
        <v>232559.15468193573</v>
      </c>
      <c r="N92" s="29">
        <f t="shared" si="33"/>
        <v>240188.04276626505</v>
      </c>
      <c r="O92" s="29">
        <f t="shared" si="33"/>
        <v>248003.53420360095</v>
      </c>
      <c r="P92" s="29">
        <f t="shared" si="33"/>
        <v>245481.11040995613</v>
      </c>
      <c r="Q92" s="29">
        <f t="shared" si="33"/>
        <v>253711.17224333901</v>
      </c>
      <c r="R92" s="29">
        <f t="shared" si="33"/>
        <v>262093.46875074474</v>
      </c>
      <c r="S92" s="30"/>
      <c r="T92" s="24"/>
    </row>
    <row r="93" spans="1:20" hidden="1" outlineLevel="1">
      <c r="A93" s="959" t="str">
        <f>A86</f>
        <v>Transwestern</v>
      </c>
      <c r="E93" s="213">
        <f t="shared" ref="E93:R93" si="34">E86+E53+E73</f>
        <v>98312.797499999986</v>
      </c>
      <c r="F93" s="213">
        <f t="shared" si="34"/>
        <v>91945.492499999993</v>
      </c>
      <c r="G93" s="213">
        <f t="shared" si="34"/>
        <v>106284.77249999999</v>
      </c>
      <c r="H93" s="29">
        <f t="shared" si="34"/>
        <v>110269.49007500001</v>
      </c>
      <c r="I93" s="29">
        <f t="shared" si="34"/>
        <v>110208.53372499999</v>
      </c>
      <c r="J93" s="29">
        <f t="shared" si="34"/>
        <v>122337.37008250001</v>
      </c>
      <c r="K93" s="29">
        <f t="shared" si="34"/>
        <v>129978.66520550003</v>
      </c>
      <c r="L93" s="29">
        <f t="shared" si="34"/>
        <v>133232.30848377003</v>
      </c>
      <c r="M93" s="29">
        <f t="shared" si="34"/>
        <v>140609.37294722834</v>
      </c>
      <c r="N93" s="29">
        <f t="shared" si="34"/>
        <v>141891.4132539554</v>
      </c>
      <c r="O93" s="29">
        <f t="shared" si="34"/>
        <v>143319.88071699379</v>
      </c>
      <c r="P93" s="29">
        <f t="shared" si="34"/>
        <v>141126.5584623091</v>
      </c>
      <c r="Q93" s="29">
        <f t="shared" si="34"/>
        <v>141592.99526120751</v>
      </c>
      <c r="R93" s="29">
        <f t="shared" si="34"/>
        <v>142059.35976775087</v>
      </c>
      <c r="S93" s="30"/>
      <c r="T93" s="24"/>
    </row>
    <row r="94" spans="1:20" hidden="1" outlineLevel="1">
      <c r="A94" s="959" t="str">
        <f>A87</f>
        <v>Northern Border Partners</v>
      </c>
      <c r="E94" s="213">
        <f t="shared" ref="E94:R94" si="35">E87+E54+E74</f>
        <v>0</v>
      </c>
      <c r="F94" s="213">
        <f t="shared" si="35"/>
        <v>0</v>
      </c>
      <c r="G94" s="213">
        <f t="shared" si="35"/>
        <v>181518.48</v>
      </c>
      <c r="H94" s="29">
        <f t="shared" si="35"/>
        <v>228423.31645000001</v>
      </c>
      <c r="I94" s="29">
        <f t="shared" si="35"/>
        <v>249457.712275</v>
      </c>
      <c r="J94" s="29">
        <f t="shared" si="35"/>
        <v>254577.77426749998</v>
      </c>
      <c r="K94" s="29">
        <f t="shared" si="35"/>
        <v>265851.12344</v>
      </c>
      <c r="L94" s="29">
        <f t="shared" si="35"/>
        <v>262038.13820049999</v>
      </c>
      <c r="M94" s="29">
        <f t="shared" si="35"/>
        <v>263078.99829000002</v>
      </c>
      <c r="N94" s="29">
        <f t="shared" si="35"/>
        <v>263678.31758750003</v>
      </c>
      <c r="O94" s="29">
        <f t="shared" si="35"/>
        <v>264269.02751499997</v>
      </c>
      <c r="P94" s="29">
        <f t="shared" si="35"/>
        <v>255479.27608299998</v>
      </c>
      <c r="Q94" s="29">
        <f t="shared" si="35"/>
        <v>256286.28509349999</v>
      </c>
      <c r="R94" s="29">
        <f t="shared" si="35"/>
        <v>257195.75615600002</v>
      </c>
      <c r="S94" s="30"/>
      <c r="T94" s="24"/>
    </row>
    <row r="95" spans="1:20" hidden="1" outlineLevel="1">
      <c r="A95" s="959" t="str">
        <f>A88</f>
        <v>Citrus</v>
      </c>
      <c r="E95" s="213">
        <f t="shared" ref="E95:R95" ca="1" si="36">E88+E55+E75</f>
        <v>254357.66500000001</v>
      </c>
      <c r="F95" s="213">
        <f t="shared" ca="1" si="36"/>
        <v>246791.05</v>
      </c>
      <c r="G95" s="213">
        <f t="shared" ca="1" si="36"/>
        <v>260432.3</v>
      </c>
      <c r="H95" s="29">
        <f t="shared" si="36"/>
        <v>245678.73200000002</v>
      </c>
      <c r="I95" s="29">
        <f t="shared" si="36"/>
        <v>277912.60545000003</v>
      </c>
      <c r="J95" s="29">
        <f t="shared" si="36"/>
        <v>282006.50100499997</v>
      </c>
      <c r="K95" s="29">
        <f t="shared" si="36"/>
        <v>281059.2146375</v>
      </c>
      <c r="L95" s="29">
        <f t="shared" si="36"/>
        <v>263717.54636049998</v>
      </c>
      <c r="M95" s="29">
        <f t="shared" si="36"/>
        <v>262205.2735985</v>
      </c>
      <c r="N95" s="29">
        <f t="shared" si="36"/>
        <v>261118.0285165</v>
      </c>
      <c r="O95" s="29">
        <f t="shared" si="36"/>
        <v>260666.96786800001</v>
      </c>
      <c r="P95" s="29">
        <f t="shared" si="36"/>
        <v>247358.62104699999</v>
      </c>
      <c r="Q95" s="29">
        <f t="shared" si="36"/>
        <v>247909.632354</v>
      </c>
      <c r="R95" s="29">
        <f t="shared" si="36"/>
        <v>248511.01205600001</v>
      </c>
      <c r="S95" s="30"/>
      <c r="T95" s="24"/>
    </row>
    <row r="96" spans="1:20" hidden="1" outlineLevel="1">
      <c r="A96" s="959" t="str">
        <f>A89</f>
        <v>Trailblazer</v>
      </c>
      <c r="E96" s="213">
        <f t="shared" ref="E96:R96" si="37">E89+E56+E76</f>
        <v>37014.321239999997</v>
      </c>
      <c r="F96" s="213">
        <f t="shared" si="37"/>
        <v>32123.871300000003</v>
      </c>
      <c r="G96" s="213">
        <f t="shared" si="37"/>
        <v>23762.70967</v>
      </c>
      <c r="H96" s="29">
        <f t="shared" si="37"/>
        <v>20522.895210605013</v>
      </c>
      <c r="I96" s="29">
        <f t="shared" si="37"/>
        <v>20528.431392935228</v>
      </c>
      <c r="J96" s="29">
        <f t="shared" si="37"/>
        <v>20532.955496862636</v>
      </c>
      <c r="K96" s="29">
        <f t="shared" si="37"/>
        <v>19443.964213622305</v>
      </c>
      <c r="L96" s="29">
        <f t="shared" si="37"/>
        <v>19447.631118910827</v>
      </c>
      <c r="M96" s="29">
        <f t="shared" si="37"/>
        <v>19450.92691656551</v>
      </c>
      <c r="N96" s="29">
        <f t="shared" si="37"/>
        <v>19454.078663693952</v>
      </c>
      <c r="O96" s="29">
        <f t="shared" si="37"/>
        <v>19457.260669193609</v>
      </c>
      <c r="P96" s="29">
        <f t="shared" si="37"/>
        <v>18367.382852993262</v>
      </c>
      <c r="Q96" s="29">
        <f t="shared" si="37"/>
        <v>18370.563941572578</v>
      </c>
      <c r="R96" s="29">
        <f t="shared" si="37"/>
        <v>18373.752257222226</v>
      </c>
      <c r="S96" s="30"/>
      <c r="T96" s="24"/>
    </row>
    <row r="97" spans="1:20" collapsed="1">
      <c r="A97" s="580" t="s">
        <v>541</v>
      </c>
      <c r="E97" s="21">
        <f t="shared" ref="E97:R97" ca="1" si="38">E90+E77+E57</f>
        <v>638780.74374000006</v>
      </c>
      <c r="F97" s="21">
        <f t="shared" ca="1" si="38"/>
        <v>571478.24380000005</v>
      </c>
      <c r="G97" s="21">
        <f t="shared" ca="1" si="38"/>
        <v>803084.99216999998</v>
      </c>
      <c r="H97" s="29">
        <f t="shared" si="38"/>
        <v>817438.85148560489</v>
      </c>
      <c r="I97" s="29">
        <f t="shared" si="38"/>
        <v>876570.35086793546</v>
      </c>
      <c r="J97" s="29">
        <f t="shared" si="38"/>
        <v>897924.35700583109</v>
      </c>
      <c r="K97" s="29">
        <f t="shared" si="38"/>
        <v>924719.0754035908</v>
      </c>
      <c r="L97" s="29">
        <f t="shared" si="38"/>
        <v>903439.77657400933</v>
      </c>
      <c r="M97" s="29">
        <f t="shared" si="38"/>
        <v>917903.72643422952</v>
      </c>
      <c r="N97" s="29">
        <f t="shared" si="38"/>
        <v>926329.88078791462</v>
      </c>
      <c r="O97" s="29">
        <f t="shared" si="38"/>
        <v>935716.67097278824</v>
      </c>
      <c r="P97" s="29">
        <f t="shared" si="38"/>
        <v>907812.94885525852</v>
      </c>
      <c r="Q97" s="29">
        <f t="shared" si="38"/>
        <v>917870.64889361919</v>
      </c>
      <c r="R97" s="29">
        <f t="shared" si="38"/>
        <v>928233.34898771776</v>
      </c>
      <c r="T97" s="12"/>
    </row>
    <row r="98" spans="1:20">
      <c r="A98" s="49"/>
      <c r="E98" s="209"/>
      <c r="F98" s="209"/>
      <c r="G98" s="209"/>
      <c r="H98" s="24"/>
      <c r="T98" s="12"/>
    </row>
    <row r="99" spans="1:20" hidden="1" outlineLevel="1">
      <c r="A99" s="959" t="str">
        <f>A19</f>
        <v>Northern Natural</v>
      </c>
      <c r="B99" s="91">
        <f>B44</f>
        <v>1</v>
      </c>
      <c r="E99" s="213">
        <f>'Northern Natural DCF'!E33*$B$99</f>
        <v>157057</v>
      </c>
      <c r="F99" s="213">
        <f>'Northern Natural DCF'!F33*$B$99</f>
        <v>111491</v>
      </c>
      <c r="G99" s="213">
        <f>'Northern Natural DCF'!G33*$B$99</f>
        <v>67137</v>
      </c>
      <c r="H99" s="57">
        <f>'Northern Natural DCF'!H33*$B$99</f>
        <v>89631</v>
      </c>
      <c r="I99" s="57">
        <f>'Northern Natural DCF'!I33*$B$99</f>
        <v>99500</v>
      </c>
      <c r="J99" s="57">
        <f>'Northern Natural DCF'!J33*$B$99</f>
        <v>65000</v>
      </c>
      <c r="K99" s="57">
        <f>'Northern Natural DCF'!K33*$B$99</f>
        <v>65000</v>
      </c>
      <c r="L99" s="57">
        <f>'Northern Natural DCF'!L33*$B$99</f>
        <v>65000</v>
      </c>
      <c r="M99" s="57">
        <f>'Northern Natural DCF'!M33*$B$99</f>
        <v>65000</v>
      </c>
      <c r="N99" s="57">
        <f>'Northern Natural DCF'!N33*$B$99</f>
        <v>65000</v>
      </c>
      <c r="O99" s="57">
        <f>'Northern Natural DCF'!O33*$B$99</f>
        <v>65000</v>
      </c>
      <c r="P99" s="57">
        <f>'Northern Natural DCF'!P33*$B$99</f>
        <v>65000</v>
      </c>
      <c r="Q99" s="57">
        <f>'Northern Natural DCF'!Q33*$B$99</f>
        <v>65000</v>
      </c>
      <c r="R99" s="57">
        <f>'Northern Natural DCF'!R33*$B$99</f>
        <v>65000</v>
      </c>
      <c r="S99" s="30"/>
      <c r="T99" s="12"/>
    </row>
    <row r="100" spans="1:20" hidden="1" outlineLevel="1">
      <c r="A100" s="959" t="str">
        <f>A20</f>
        <v>Transwestern</v>
      </c>
      <c r="B100" s="91">
        <f>B45</f>
        <v>1</v>
      </c>
      <c r="E100" s="213">
        <f>'Transwestern DCF'!E33*$B$100</f>
        <v>18700</v>
      </c>
      <c r="F100" s="213">
        <f>'Transwestern DCF'!F33*$B$100</f>
        <v>31294</v>
      </c>
      <c r="G100" s="213">
        <f>'Transwestern DCF'!G33*$B$100</f>
        <v>29549</v>
      </c>
      <c r="H100" s="57">
        <f>'Transwestern DCF'!H33*$B$100</f>
        <v>68105</v>
      </c>
      <c r="I100" s="57">
        <f>'Transwestern DCF'!I33*$B$100</f>
        <v>61400</v>
      </c>
      <c r="J100" s="57">
        <f>'Transwestern DCF'!J33*$B$100</f>
        <v>20000</v>
      </c>
      <c r="K100" s="57">
        <f>'Transwestern DCF'!K33*$B$100</f>
        <v>20000</v>
      </c>
      <c r="L100" s="57">
        <f>'Transwestern DCF'!L33*$B$100</f>
        <v>20000</v>
      </c>
      <c r="M100" s="57">
        <f>'Transwestern DCF'!M33*$B$100</f>
        <v>20000</v>
      </c>
      <c r="N100" s="57">
        <f>'Transwestern DCF'!N33*$B$100</f>
        <v>20000</v>
      </c>
      <c r="O100" s="57">
        <f>'Transwestern DCF'!O33*$B$100</f>
        <v>20000</v>
      </c>
      <c r="P100" s="57">
        <f>'Transwestern DCF'!P33*$B$100</f>
        <v>20000</v>
      </c>
      <c r="Q100" s="57">
        <f>'Transwestern DCF'!Q33*$B$100</f>
        <v>20000</v>
      </c>
      <c r="R100" s="57">
        <f>'Transwestern DCF'!R33*$B$100</f>
        <v>20000</v>
      </c>
      <c r="S100" s="545" t="s">
        <v>503</v>
      </c>
      <c r="T100" s="12"/>
    </row>
    <row r="101" spans="1:20" hidden="1" outlineLevel="1">
      <c r="A101" s="959" t="str">
        <f>A21</f>
        <v>Northern Border Partners</v>
      </c>
      <c r="B101" s="91">
        <f>B46</f>
        <v>1</v>
      </c>
      <c r="E101" s="213">
        <f>'NBP DCF'!C31*$B$101</f>
        <v>0</v>
      </c>
      <c r="F101" s="213">
        <f>'NBP DCF'!D31*$B$101</f>
        <v>0</v>
      </c>
      <c r="G101" s="213">
        <f>'NBP DCF'!E31*$B$101</f>
        <v>19721</v>
      </c>
      <c r="H101" s="57">
        <f>'NBP DCF'!F31*$B$101</f>
        <v>27594</v>
      </c>
      <c r="I101" s="57">
        <f>'NBP DCF'!G31*$B$101</f>
        <v>87226</v>
      </c>
      <c r="J101" s="57">
        <f>'NBP DCF'!H31*$B$101</f>
        <v>98479</v>
      </c>
      <c r="K101" s="57">
        <f>'NBP DCF'!I31*$B$101</f>
        <v>59635</v>
      </c>
      <c r="L101" s="57">
        <f>'NBP DCF'!J31*$B$101</f>
        <v>40949</v>
      </c>
      <c r="M101" s="57">
        <f>'NBP DCF'!K31*$B$101</f>
        <v>40949</v>
      </c>
      <c r="N101" s="57">
        <f>'NBP DCF'!L31*$B$101</f>
        <v>40949</v>
      </c>
      <c r="O101" s="57">
        <f>'NBP DCF'!M31*$B$101</f>
        <v>40949</v>
      </c>
      <c r="P101" s="57">
        <f>'NBP DCF'!N31*$B$101</f>
        <v>40949</v>
      </c>
      <c r="Q101" s="57">
        <f>'NBP DCF'!O31*$B$101</f>
        <v>40949</v>
      </c>
      <c r="R101" s="57">
        <f>'NBP DCF'!P31*$B$101</f>
        <v>40949</v>
      </c>
      <c r="S101" s="850">
        <f>Scenarios!C5</f>
        <v>9</v>
      </c>
      <c r="T101" s="12"/>
    </row>
    <row r="102" spans="1:20" hidden="1" outlineLevel="1">
      <c r="A102" s="959" t="str">
        <f>A22</f>
        <v>Citrus</v>
      </c>
      <c r="B102" s="91">
        <f>B47</f>
        <v>1</v>
      </c>
      <c r="E102" s="213">
        <f>'Citrus DCF'!D33*'Unlev. Consolid'!$B$102</f>
        <v>43398</v>
      </c>
      <c r="F102" s="213">
        <f>'Citrus DCF'!E33*'Unlev. Consolid'!$B$102</f>
        <v>78412</v>
      </c>
      <c r="G102" s="213">
        <f>'Citrus DCF'!F33*'Unlev. Consolid'!$B$102</f>
        <v>246076</v>
      </c>
      <c r="H102" s="57">
        <f>'Citrus DCF'!G33*'Unlev. Consolid'!$B$102</f>
        <v>220271</v>
      </c>
      <c r="I102" s="57">
        <f>'Citrus DCF'!H33*'Unlev. Consolid'!$B$102</f>
        <v>288077</v>
      </c>
      <c r="J102" s="57">
        <f>'Citrus DCF'!I33*'Unlev. Consolid'!$B$102</f>
        <v>55294</v>
      </c>
      <c r="K102" s="57">
        <f>'Citrus DCF'!J33*'Unlev. Consolid'!$B$102</f>
        <v>25943</v>
      </c>
      <c r="L102" s="57">
        <f>'Citrus DCF'!K33*'Unlev. Consolid'!$B$102</f>
        <v>25943</v>
      </c>
      <c r="M102" s="57">
        <f>'Citrus DCF'!L33*'Unlev. Consolid'!$B$102</f>
        <v>25943</v>
      </c>
      <c r="N102" s="57">
        <f>'Citrus DCF'!M33*'Unlev. Consolid'!$B$102</f>
        <v>25943</v>
      </c>
      <c r="O102" s="57">
        <f>'Citrus DCF'!N33*'Unlev. Consolid'!$B$102</f>
        <v>25943</v>
      </c>
      <c r="P102" s="57">
        <f>'Citrus DCF'!O33*'Unlev. Consolid'!$B$102</f>
        <v>25943</v>
      </c>
      <c r="Q102" s="57">
        <f>'Citrus DCF'!P33*'Unlev. Consolid'!$B$102</f>
        <v>25943</v>
      </c>
      <c r="R102" s="57">
        <f>'Citrus DCF'!Q33*'Unlev. Consolid'!$B$102</f>
        <v>25943</v>
      </c>
      <c r="S102" s="87"/>
      <c r="T102" s="12"/>
    </row>
    <row r="103" spans="1:20" hidden="1" outlineLevel="1">
      <c r="A103" s="959" t="str">
        <f>A96</f>
        <v>Trailblazer</v>
      </c>
      <c r="B103" s="91">
        <f>B48</f>
        <v>1</v>
      </c>
      <c r="E103" s="213">
        <f>'Trailblazer DCF'!E33</f>
        <v>103.386</v>
      </c>
      <c r="F103" s="213">
        <f>'Trailblazer DCF'!F33</f>
        <v>154</v>
      </c>
      <c r="G103" s="213">
        <f>'Trailblazer DCF'!G33</f>
        <v>163.9</v>
      </c>
      <c r="H103" s="57">
        <f>'Trailblazer DCF'!H33</f>
        <v>140.08388728386805</v>
      </c>
      <c r="I103" s="57">
        <f>'Trailblazer DCF'!I33</f>
        <v>140.08388728386805</v>
      </c>
      <c r="J103" s="57">
        <f>'Trailblazer DCF'!J33</f>
        <v>140.08388728386805</v>
      </c>
      <c r="K103" s="57">
        <f>'Trailblazer DCF'!K33</f>
        <v>140.08388728386805</v>
      </c>
      <c r="L103" s="57">
        <f>'Trailblazer DCF'!L33</f>
        <v>140.08388728386805</v>
      </c>
      <c r="M103" s="57">
        <f>'Trailblazer DCF'!M33</f>
        <v>140.08388728386805</v>
      </c>
      <c r="N103" s="57">
        <f>'Trailblazer DCF'!N33</f>
        <v>140.08388728386805</v>
      </c>
      <c r="O103" s="57">
        <f>'Trailblazer DCF'!O33</f>
        <v>140.08388728386805</v>
      </c>
      <c r="P103" s="57">
        <f>'Trailblazer DCF'!P33</f>
        <v>140.08388728386805</v>
      </c>
      <c r="Q103" s="57">
        <f>'Trailblazer DCF'!Q33</f>
        <v>140.08388728386805</v>
      </c>
      <c r="R103" s="57">
        <f>'Trailblazer DCF'!R33</f>
        <v>140.08388728386805</v>
      </c>
      <c r="S103" s="87"/>
      <c r="T103" s="12"/>
    </row>
    <row r="104" spans="1:20" collapsed="1">
      <c r="A104" s="641" t="s">
        <v>542</v>
      </c>
      <c r="B104" s="39" t="s">
        <v>57</v>
      </c>
      <c r="E104" s="863">
        <f>SUM(E99:E103)</f>
        <v>219258.386</v>
      </c>
      <c r="F104" s="863">
        <f>SUM(F99:F103)</f>
        <v>221351</v>
      </c>
      <c r="G104" s="863">
        <f>SUM(G99:G103)</f>
        <v>362646.9</v>
      </c>
      <c r="H104" s="856">
        <f t="shared" ref="H104:R104" si="39">SUM(H99:H103)</f>
        <v>405741.08388728386</v>
      </c>
      <c r="I104" s="856">
        <f t="shared" si="39"/>
        <v>536343.08388728392</v>
      </c>
      <c r="J104" s="856">
        <f t="shared" si="39"/>
        <v>238913.08388728386</v>
      </c>
      <c r="K104" s="856">
        <f t="shared" si="39"/>
        <v>170718.08388728386</v>
      </c>
      <c r="L104" s="856">
        <f t="shared" si="39"/>
        <v>152032.08388728386</v>
      </c>
      <c r="M104" s="856">
        <f t="shared" si="39"/>
        <v>152032.08388728386</v>
      </c>
      <c r="N104" s="856">
        <f t="shared" si="39"/>
        <v>152032.08388728386</v>
      </c>
      <c r="O104" s="856">
        <f t="shared" si="39"/>
        <v>152032.08388728386</v>
      </c>
      <c r="P104" s="856">
        <f t="shared" si="39"/>
        <v>152032.08388728386</v>
      </c>
      <c r="Q104" s="856">
        <f t="shared" si="39"/>
        <v>152032.08388728386</v>
      </c>
      <c r="R104" s="856">
        <f t="shared" si="39"/>
        <v>152032.08388728386</v>
      </c>
      <c r="T104" s="12"/>
    </row>
    <row r="105" spans="1:20">
      <c r="A105" s="580"/>
      <c r="B105" s="39"/>
      <c r="E105" s="213"/>
      <c r="F105" s="213"/>
      <c r="G105" s="863"/>
      <c r="H105" s="856"/>
      <c r="I105" s="856"/>
      <c r="J105" s="856"/>
      <c r="K105" s="856"/>
      <c r="L105" s="856"/>
      <c r="M105" s="856"/>
      <c r="N105" s="856"/>
      <c r="O105" s="856"/>
      <c r="P105" s="856"/>
      <c r="Q105" s="856"/>
      <c r="R105" s="856"/>
      <c r="T105" s="12"/>
    </row>
    <row r="106" spans="1:20">
      <c r="A106" s="960" t="str">
        <f>A99</f>
        <v>Northern Natural</v>
      </c>
      <c r="B106" s="39"/>
      <c r="E106" s="213">
        <f ca="1">E92-E99</f>
        <v>92038.959999999992</v>
      </c>
      <c r="F106" s="213">
        <f t="shared" ref="F106:R106" ca="1" si="40">F92-F99</f>
        <v>89126.830000000016</v>
      </c>
      <c r="G106" s="213">
        <f t="shared" ca="1" si="40"/>
        <v>163949.73000000001</v>
      </c>
      <c r="H106" s="57">
        <f t="shared" si="40"/>
        <v>122913.41775000002</v>
      </c>
      <c r="I106" s="57">
        <f t="shared" si="40"/>
        <v>118963.06802500002</v>
      </c>
      <c r="J106" s="57">
        <f t="shared" si="40"/>
        <v>153469.75615396857</v>
      </c>
      <c r="K106" s="57">
        <f t="shared" si="40"/>
        <v>163386.10790696854</v>
      </c>
      <c r="L106" s="57">
        <f t="shared" si="40"/>
        <v>160004.1524103285</v>
      </c>
      <c r="M106" s="57">
        <f t="shared" si="40"/>
        <v>167559.15468193573</v>
      </c>
      <c r="N106" s="57">
        <f t="shared" si="40"/>
        <v>175188.04276626505</v>
      </c>
      <c r="O106" s="57">
        <f t="shared" si="40"/>
        <v>183003.53420360095</v>
      </c>
      <c r="P106" s="57">
        <f t="shared" si="40"/>
        <v>180481.11040995613</v>
      </c>
      <c r="Q106" s="57">
        <f t="shared" si="40"/>
        <v>188711.17224333901</v>
      </c>
      <c r="R106" s="57">
        <f t="shared" si="40"/>
        <v>197093.46875074474</v>
      </c>
      <c r="T106" s="12"/>
    </row>
    <row r="107" spans="1:20">
      <c r="A107" s="960" t="str">
        <f>A100</f>
        <v>Transwestern</v>
      </c>
      <c r="B107" s="39"/>
      <c r="E107" s="213">
        <f t="shared" ref="E107:R107" si="41">E93-E100</f>
        <v>79612.797499999986</v>
      </c>
      <c r="F107" s="213">
        <f t="shared" si="41"/>
        <v>60651.492499999993</v>
      </c>
      <c r="G107" s="213">
        <f t="shared" si="41"/>
        <v>76735.772499999992</v>
      </c>
      <c r="H107" s="57">
        <f t="shared" si="41"/>
        <v>42164.490075000009</v>
      </c>
      <c r="I107" s="57">
        <f t="shared" si="41"/>
        <v>48808.533724999987</v>
      </c>
      <c r="J107" s="57">
        <f t="shared" si="41"/>
        <v>102337.37008250001</v>
      </c>
      <c r="K107" s="57">
        <f t="shared" si="41"/>
        <v>109978.66520550003</v>
      </c>
      <c r="L107" s="57">
        <f t="shared" si="41"/>
        <v>113232.30848377003</v>
      </c>
      <c r="M107" s="57">
        <f t="shared" si="41"/>
        <v>120609.37294722834</v>
      </c>
      <c r="N107" s="57">
        <f t="shared" si="41"/>
        <v>121891.4132539554</v>
      </c>
      <c r="O107" s="57">
        <f t="shared" si="41"/>
        <v>123319.88071699379</v>
      </c>
      <c r="P107" s="57">
        <f t="shared" si="41"/>
        <v>121126.5584623091</v>
      </c>
      <c r="Q107" s="57">
        <f t="shared" si="41"/>
        <v>121592.99526120751</v>
      </c>
      <c r="R107" s="57">
        <f t="shared" si="41"/>
        <v>122059.35976775087</v>
      </c>
      <c r="T107" s="12"/>
    </row>
    <row r="108" spans="1:20">
      <c r="A108" s="960" t="str">
        <f>A101</f>
        <v>Northern Border Partners</v>
      </c>
      <c r="B108" s="39"/>
      <c r="E108" s="213">
        <f t="shared" ref="E108:R108" si="42">E94-E101</f>
        <v>0</v>
      </c>
      <c r="F108" s="213">
        <f t="shared" si="42"/>
        <v>0</v>
      </c>
      <c r="G108" s="213">
        <f t="shared" si="42"/>
        <v>161797.48000000001</v>
      </c>
      <c r="H108" s="57">
        <f t="shared" si="42"/>
        <v>200829.31645000001</v>
      </c>
      <c r="I108" s="57">
        <f t="shared" si="42"/>
        <v>162231.712275</v>
      </c>
      <c r="J108" s="57">
        <f t="shared" si="42"/>
        <v>156098.77426749998</v>
      </c>
      <c r="K108" s="57">
        <f t="shared" si="42"/>
        <v>206216.12344</v>
      </c>
      <c r="L108" s="57">
        <f t="shared" si="42"/>
        <v>221089.13820049999</v>
      </c>
      <c r="M108" s="57">
        <f t="shared" si="42"/>
        <v>222129.99829000002</v>
      </c>
      <c r="N108" s="57">
        <f t="shared" si="42"/>
        <v>222729.31758750003</v>
      </c>
      <c r="O108" s="57">
        <f t="shared" si="42"/>
        <v>223320.02751499997</v>
      </c>
      <c r="P108" s="57">
        <f t="shared" si="42"/>
        <v>214530.27608299998</v>
      </c>
      <c r="Q108" s="57">
        <f t="shared" si="42"/>
        <v>215337.28509349999</v>
      </c>
      <c r="R108" s="57">
        <f t="shared" si="42"/>
        <v>216246.75615600002</v>
      </c>
      <c r="T108" s="12"/>
    </row>
    <row r="109" spans="1:20">
      <c r="A109" s="960" t="str">
        <f>A102</f>
        <v>Citrus</v>
      </c>
      <c r="B109" s="39"/>
      <c r="E109" s="213">
        <f t="shared" ref="E109:R110" ca="1" si="43">E95-E102</f>
        <v>210959.66500000001</v>
      </c>
      <c r="F109" s="213">
        <f t="shared" ca="1" si="43"/>
        <v>168379.05</v>
      </c>
      <c r="G109" s="213">
        <f t="shared" ca="1" si="43"/>
        <v>14356.299999999988</v>
      </c>
      <c r="H109" s="57">
        <f t="shared" si="43"/>
        <v>25407.732000000018</v>
      </c>
      <c r="I109" s="57">
        <f t="shared" si="43"/>
        <v>-10164.394549999968</v>
      </c>
      <c r="J109" s="57">
        <f t="shared" si="43"/>
        <v>226712.50100499997</v>
      </c>
      <c r="K109" s="57">
        <f t="shared" si="43"/>
        <v>255116.2146375</v>
      </c>
      <c r="L109" s="57">
        <f t="shared" si="43"/>
        <v>237774.54636049998</v>
      </c>
      <c r="M109" s="57">
        <f t="shared" si="43"/>
        <v>236262.2735985</v>
      </c>
      <c r="N109" s="57">
        <f t="shared" si="43"/>
        <v>235175.0285165</v>
      </c>
      <c r="O109" s="57">
        <f t="shared" si="43"/>
        <v>234723.96786800001</v>
      </c>
      <c r="P109" s="57">
        <f t="shared" si="43"/>
        <v>221415.62104699999</v>
      </c>
      <c r="Q109" s="57">
        <f t="shared" si="43"/>
        <v>221966.632354</v>
      </c>
      <c r="R109" s="57">
        <f t="shared" si="43"/>
        <v>222568.01205600001</v>
      </c>
      <c r="T109" s="12"/>
    </row>
    <row r="110" spans="1:20">
      <c r="A110" s="960" t="str">
        <f>A103</f>
        <v>Trailblazer</v>
      </c>
      <c r="B110" s="39"/>
      <c r="E110" s="213">
        <f t="shared" si="43"/>
        <v>36910.935239999999</v>
      </c>
      <c r="F110" s="213">
        <f t="shared" si="43"/>
        <v>31969.871300000003</v>
      </c>
      <c r="G110" s="213">
        <f t="shared" si="43"/>
        <v>23598.809669999999</v>
      </c>
      <c r="H110" s="57">
        <f t="shared" si="43"/>
        <v>20382.811323321144</v>
      </c>
      <c r="I110" s="57">
        <f t="shared" si="43"/>
        <v>20388.34750565136</v>
      </c>
      <c r="J110" s="57">
        <f t="shared" si="43"/>
        <v>20392.871609578768</v>
      </c>
      <c r="K110" s="57">
        <f t="shared" si="43"/>
        <v>19303.880326338436</v>
      </c>
      <c r="L110" s="57">
        <f t="shared" si="43"/>
        <v>19307.547231626959</v>
      </c>
      <c r="M110" s="57">
        <f t="shared" si="43"/>
        <v>19310.843029281641</v>
      </c>
      <c r="N110" s="57">
        <f t="shared" si="43"/>
        <v>19313.994776410083</v>
      </c>
      <c r="O110" s="57">
        <f t="shared" si="43"/>
        <v>19317.17678190974</v>
      </c>
      <c r="P110" s="57">
        <f t="shared" si="43"/>
        <v>18227.298965709393</v>
      </c>
      <c r="Q110" s="57">
        <f t="shared" si="43"/>
        <v>18230.48005428871</v>
      </c>
      <c r="R110" s="57">
        <f t="shared" si="43"/>
        <v>18233.668369938358</v>
      </c>
      <c r="T110" s="12"/>
    </row>
    <row r="111" spans="1:20">
      <c r="A111" s="961" t="s">
        <v>339</v>
      </c>
      <c r="B111" s="33"/>
      <c r="C111" s="33"/>
      <c r="D111" s="33"/>
      <c r="E111" s="679">
        <f ca="1">SUM(E106:E110)</f>
        <v>419522.35774000001</v>
      </c>
      <c r="F111" s="679">
        <f t="shared" ref="F111:Q111" ca="1" si="44">SUM(F106:F110)</f>
        <v>350127.2438</v>
      </c>
      <c r="G111" s="679">
        <f t="shared" ca="1" si="44"/>
        <v>440438.09217000002</v>
      </c>
      <c r="H111" s="680">
        <f t="shared" si="44"/>
        <v>411697.7675983212</v>
      </c>
      <c r="I111" s="680">
        <f t="shared" si="44"/>
        <v>340227.26698065136</v>
      </c>
      <c r="J111" s="680">
        <f t="shared" si="44"/>
        <v>659011.27311854728</v>
      </c>
      <c r="K111" s="680">
        <f t="shared" si="44"/>
        <v>754000.991516307</v>
      </c>
      <c r="L111" s="680">
        <f t="shared" si="44"/>
        <v>751407.69268672541</v>
      </c>
      <c r="M111" s="680">
        <f t="shared" si="44"/>
        <v>765871.64254694572</v>
      </c>
      <c r="N111" s="680">
        <f t="shared" si="44"/>
        <v>774297.79690063046</v>
      </c>
      <c r="O111" s="680">
        <f t="shared" si="44"/>
        <v>783684.58708550455</v>
      </c>
      <c r="P111" s="680">
        <f t="shared" si="44"/>
        <v>755780.86496797472</v>
      </c>
      <c r="Q111" s="680">
        <f t="shared" si="44"/>
        <v>765838.56500633527</v>
      </c>
      <c r="R111" s="680">
        <f>SUM(R106:R110)+S111</f>
        <v>11853385.08857142</v>
      </c>
      <c r="S111" s="851">
        <f>S101*R32</f>
        <v>11077183.823470986</v>
      </c>
      <c r="T111" s="27"/>
    </row>
    <row r="112" spans="1:20" ht="13.5" hidden="1" outlineLevel="1" thickBot="1">
      <c r="A112" s="221"/>
      <c r="B112" s="34"/>
      <c r="C112" s="34"/>
      <c r="D112" s="34"/>
      <c r="E112" s="186" t="s">
        <v>93</v>
      </c>
      <c r="F112" s="222" t="e">
        <f>IRR(H112:S112)</f>
        <v>#DIV/0!</v>
      </c>
      <c r="G112" s="57"/>
      <c r="H112" s="57">
        <v>0</v>
      </c>
      <c r="I112" s="57">
        <f t="shared" ref="I112:S112" si="45">I111</f>
        <v>340227.26698065136</v>
      </c>
      <c r="J112" s="57">
        <f t="shared" si="45"/>
        <v>659011.27311854728</v>
      </c>
      <c r="K112" s="57">
        <f t="shared" si="45"/>
        <v>754000.991516307</v>
      </c>
      <c r="L112" s="57">
        <f t="shared" si="45"/>
        <v>751407.69268672541</v>
      </c>
      <c r="M112" s="57">
        <f t="shared" si="45"/>
        <v>765871.64254694572</v>
      </c>
      <c r="N112" s="57">
        <f t="shared" si="45"/>
        <v>774297.79690063046</v>
      </c>
      <c r="O112" s="57">
        <f t="shared" si="45"/>
        <v>783684.58708550455</v>
      </c>
      <c r="P112" s="57">
        <f t="shared" si="45"/>
        <v>755780.86496797472</v>
      </c>
      <c r="Q112" s="57">
        <f t="shared" si="45"/>
        <v>765838.56500633527</v>
      </c>
      <c r="R112" s="57">
        <f t="shared" si="45"/>
        <v>11853385.08857142</v>
      </c>
      <c r="S112" s="57">
        <f t="shared" si="45"/>
        <v>11077183.823470986</v>
      </c>
      <c r="T112" s="27"/>
    </row>
    <row r="113" spans="1:18" collapsed="1"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</row>
    <row r="114" spans="1:18" ht="13.5" thickBot="1">
      <c r="O114" s="921"/>
    </row>
    <row r="115" spans="1:18" ht="15">
      <c r="K115" s="132" t="s">
        <v>10</v>
      </c>
      <c r="L115" s="133" t="str">
        <f>(Assumptions!D8-1&amp;" EBITDA")</f>
        <v>2001 EBITDA</v>
      </c>
      <c r="M115" s="134"/>
      <c r="N115" s="1019" t="s">
        <v>11</v>
      </c>
      <c r="O115" s="1020"/>
      <c r="P115" s="1021"/>
    </row>
    <row r="116" spans="1:18" ht="15">
      <c r="K116" s="135" t="s">
        <v>12</v>
      </c>
      <c r="L116" s="136" t="s">
        <v>18</v>
      </c>
      <c r="M116" s="137" t="s">
        <v>90</v>
      </c>
      <c r="N116" s="140">
        <f>CDRate-0.025</f>
        <v>4.9999999999999996E-2</v>
      </c>
      <c r="O116" s="138">
        <f>Scenarios!C6</f>
        <v>7.4999999999999997E-2</v>
      </c>
      <c r="P116" s="139">
        <f>CDRate+0.025</f>
        <v>0.1</v>
      </c>
    </row>
    <row r="117" spans="1:18" ht="13.5" thickBot="1">
      <c r="J117" s="93" t="s">
        <v>16</v>
      </c>
      <c r="K117" s="127"/>
      <c r="L117" s="125"/>
      <c r="M117" s="126"/>
      <c r="N117" s="127"/>
      <c r="O117" s="125"/>
      <c r="P117" s="128"/>
    </row>
    <row r="118" spans="1:18" ht="13.5" thickBot="1">
      <c r="J118" s="23">
        <f>IF(ABS(K118-O118)&lt;0.05,0,1)</f>
        <v>0</v>
      </c>
      <c r="K118" s="919">
        <v>10138316.611176684</v>
      </c>
      <c r="L118" s="920">
        <f>K118/H32</f>
        <v>10.51481845931454</v>
      </c>
      <c r="M118" s="179">
        <f>Assumptions!D7</f>
        <v>0</v>
      </c>
      <c r="N118" s="918">
        <f>NPV(N116,$I111:$R111)</f>
        <v>12208270.219595039</v>
      </c>
      <c r="O118" s="881">
        <f>NPV(O116,$I111:$R111)</f>
        <v>10138316.611176684</v>
      </c>
      <c r="P118" s="840">
        <f>NPV(P116,$I111:$R111)</f>
        <v>8495780.4033839796</v>
      </c>
    </row>
    <row r="119" spans="1:18">
      <c r="J119" s="97"/>
      <c r="K119" s="205"/>
      <c r="L119" s="130"/>
      <c r="M119" s="24"/>
      <c r="N119" s="917" t="s">
        <v>201</v>
      </c>
      <c r="O119" s="916">
        <f>'Valuation Summary'!E11</f>
        <v>3703148</v>
      </c>
      <c r="P119" s="131"/>
    </row>
    <row r="120" spans="1:18">
      <c r="G120" s="10"/>
      <c r="H120" s="10"/>
      <c r="I120" s="10"/>
      <c r="J120" s="10"/>
      <c r="K120" s="394"/>
      <c r="L120" s="692"/>
      <c r="M120" s="49"/>
      <c r="N120" s="11" t="s">
        <v>307</v>
      </c>
      <c r="O120" s="696">
        <f>CNPVPrice-O119</f>
        <v>6435168.6111766845</v>
      </c>
      <c r="P120" s="10"/>
      <c r="Q120" s="10"/>
      <c r="R120" s="10"/>
    </row>
    <row r="121" spans="1:18">
      <c r="A121" s="6"/>
      <c r="K121" s="693"/>
      <c r="L121" s="223"/>
      <c r="M121" s="34"/>
    </row>
    <row r="122" spans="1:18">
      <c r="K122" s="57"/>
      <c r="L122" s="694"/>
      <c r="M122" s="34"/>
    </row>
    <row r="124" spans="1:18">
      <c r="K124" s="34"/>
      <c r="L124" s="34"/>
      <c r="M124" s="49"/>
    </row>
    <row r="125" spans="1:18">
      <c r="K125" s="34"/>
      <c r="L125" s="34"/>
      <c r="M125" s="49"/>
    </row>
    <row r="126" spans="1:18">
      <c r="K126" s="34"/>
      <c r="L126" s="34"/>
      <c r="M126" s="49"/>
    </row>
  </sheetData>
  <mergeCells count="2">
    <mergeCell ref="N115:P115"/>
    <mergeCell ref="A2:C2"/>
  </mergeCells>
  <phoneticPr fontId="0" type="noConversion"/>
  <conditionalFormatting sqref="D25:D31">
    <cfRule type="cellIs" dxfId="6" priority="1" stopIfTrue="1" operator="notBetween">
      <formula>0.25</formula>
      <formula>-0.25</formula>
    </cfRule>
  </conditionalFormatting>
  <pageMargins left="0.5" right="0.17" top="0.5" bottom="0.5" header="0.5" footer="0.5"/>
  <pageSetup scale="58" orientation="landscape" horizontalDpi="300" verticalDpi="300" r:id="rId1"/>
  <headerFooter alignWithMargins="0">
    <oddFooter>&amp;R&amp;F
&amp;A
&amp;D, &amp;T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CF42"/>
  <sheetViews>
    <sheetView showGridLines="0" zoomScale="75" workbookViewId="0">
      <selection activeCell="G34" sqref="G34"/>
    </sheetView>
  </sheetViews>
  <sheetFormatPr defaultRowHeight="12.75" outlineLevelRow="1"/>
  <cols>
    <col min="1" max="1" width="28.140625" customWidth="1"/>
    <col min="2" max="2" width="13.140625" customWidth="1"/>
    <col min="3" max="3" width="13.28515625" customWidth="1"/>
    <col min="4" max="6" width="11.7109375" customWidth="1"/>
    <col min="7" max="7" width="12" customWidth="1"/>
    <col min="8" max="8" width="11.7109375" customWidth="1"/>
    <col min="9" max="11" width="11.85546875" customWidth="1"/>
    <col min="12" max="12" width="10.5703125" customWidth="1"/>
    <col min="13" max="13" width="11.42578125" customWidth="1"/>
    <col min="14" max="14" width="13.42578125" customWidth="1"/>
    <col min="15" max="15" width="13.28515625" customWidth="1"/>
  </cols>
  <sheetData>
    <row r="1" spans="1:14" ht="20.25">
      <c r="A1" s="714" t="str">
        <f>"Project "&amp;Assumptions!D6</f>
        <v>Project ETS</v>
      </c>
      <c r="B1" s="114"/>
      <c r="C1" s="115"/>
    </row>
    <row r="2" spans="1:14" ht="16.5" thickBot="1">
      <c r="A2" s="479" t="s">
        <v>529</v>
      </c>
      <c r="B2" s="120"/>
      <c r="C2" s="121"/>
    </row>
    <row r="3" spans="1:14" ht="13.5" thickBot="1"/>
    <row r="4" spans="1:14">
      <c r="A4" s="466" t="s">
        <v>30</v>
      </c>
      <c r="B4" s="450"/>
      <c r="C4" s="451" t="s">
        <v>22</v>
      </c>
      <c r="D4" s="452" t="s">
        <v>154</v>
      </c>
      <c r="F4" s="1025" t="s">
        <v>89</v>
      </c>
      <c r="G4" s="1026"/>
      <c r="H4" s="1027"/>
      <c r="J4" s="468" t="s">
        <v>148</v>
      </c>
      <c r="K4" s="469"/>
      <c r="L4" s="469"/>
      <c r="M4" s="470"/>
    </row>
    <row r="5" spans="1:14">
      <c r="A5" s="123" t="s">
        <v>226</v>
      </c>
      <c r="B5" s="34"/>
      <c r="C5" s="457">
        <f>CPurPrice</f>
        <v>10138316.611176684</v>
      </c>
      <c r="D5" s="472">
        <f>C5*(Assumptions!$D$13)</f>
        <v>0</v>
      </c>
      <c r="F5" s="118"/>
      <c r="G5" s="34"/>
      <c r="H5" s="117"/>
      <c r="J5" s="116"/>
      <c r="K5" s="34"/>
      <c r="L5" s="34"/>
      <c r="M5" s="117"/>
    </row>
    <row r="6" spans="1:14">
      <c r="A6" s="123"/>
      <c r="B6" s="34"/>
      <c r="C6" s="455"/>
      <c r="D6" s="117"/>
      <c r="F6" s="459">
        <f>G6-0.025</f>
        <v>4.9999999999999996E-2</v>
      </c>
      <c r="G6" s="460">
        <f>ConsDRate</f>
        <v>7.4999999999999997E-2</v>
      </c>
      <c r="H6" s="461">
        <f>G6+0.025</f>
        <v>0.1</v>
      </c>
      <c r="J6" s="116"/>
      <c r="K6" s="34"/>
      <c r="L6" s="34"/>
      <c r="M6" s="117"/>
    </row>
    <row r="7" spans="1:14" ht="13.5" thickBot="1">
      <c r="A7" s="453" t="s">
        <v>520</v>
      </c>
      <c r="B7" s="34"/>
      <c r="C7" s="458">
        <f>C5+D5</f>
        <v>10138316.611176684</v>
      </c>
      <c r="D7" s="117"/>
      <c r="F7" s="462">
        <f>NPV(F$6,E33:N33)</f>
        <v>0</v>
      </c>
      <c r="G7" s="463">
        <f>NPV(G$6,E33:N33)</f>
        <v>0</v>
      </c>
      <c r="H7" s="464">
        <f>NPV(H$6,E33:N33)</f>
        <v>0</v>
      </c>
      <c r="J7" s="116"/>
      <c r="K7" s="34"/>
      <c r="L7" s="34"/>
      <c r="M7" s="117"/>
    </row>
    <row r="8" spans="1:14">
      <c r="A8" s="118" t="s">
        <v>23</v>
      </c>
      <c r="B8" s="454">
        <f>Assumptions!D44</f>
        <v>0.36526261134097698</v>
      </c>
      <c r="C8" s="455">
        <f>C7*$B$8</f>
        <v>3703148</v>
      </c>
      <c r="D8" s="117"/>
      <c r="G8" s="26">
        <f>G7+C33</f>
        <v>3363259.1011168081</v>
      </c>
      <c r="J8" s="118"/>
      <c r="K8" s="34"/>
      <c r="L8" s="34"/>
      <c r="M8" s="117"/>
    </row>
    <row r="9" spans="1:14" ht="13.5" thickBot="1">
      <c r="A9" s="119" t="s">
        <v>24</v>
      </c>
      <c r="B9" s="493">
        <f>1-B8</f>
        <v>0.63473738865902307</v>
      </c>
      <c r="C9" s="456">
        <f>C7-C8</f>
        <v>6435168.6111766845</v>
      </c>
      <c r="D9" s="121"/>
      <c r="F9" s="704"/>
      <c r="G9" s="891"/>
      <c r="J9" s="118"/>
      <c r="K9" s="34"/>
      <c r="L9" s="34"/>
      <c r="M9" s="117"/>
    </row>
    <row r="10" spans="1:14" ht="13.5" thickBot="1">
      <c r="J10" s="119"/>
      <c r="K10" s="120"/>
      <c r="L10" s="120"/>
      <c r="M10" s="121"/>
    </row>
    <row r="12" spans="1:14">
      <c r="C12" s="326"/>
      <c r="E12" s="309" t="s">
        <v>203</v>
      </c>
      <c r="F12" s="323"/>
      <c r="G12" s="323"/>
      <c r="H12" s="246"/>
      <c r="I12" s="323"/>
      <c r="J12" s="246"/>
      <c r="K12" s="246"/>
      <c r="L12" s="246"/>
      <c r="M12" s="246"/>
      <c r="N12" s="292"/>
    </row>
    <row r="13" spans="1:14">
      <c r="C13" s="326"/>
      <c r="D13" s="395"/>
      <c r="E13" s="289">
        <v>2002</v>
      </c>
      <c r="F13" s="289">
        <v>2003</v>
      </c>
      <c r="G13" s="289">
        <v>2004</v>
      </c>
      <c r="H13" s="289">
        <v>2005</v>
      </c>
      <c r="I13" s="289">
        <v>2006</v>
      </c>
      <c r="J13" s="293">
        <v>2007</v>
      </c>
      <c r="K13" s="293">
        <v>2008</v>
      </c>
      <c r="L13" s="293">
        <v>2009</v>
      </c>
      <c r="M13" s="293">
        <v>2010</v>
      </c>
      <c r="N13" s="654">
        <v>2011</v>
      </c>
    </row>
    <row r="14" spans="1:14">
      <c r="C14" s="986" t="s">
        <v>546</v>
      </c>
      <c r="D14" s="256"/>
      <c r="E14" s="289">
        <v>1</v>
      </c>
      <c r="F14" s="289">
        <v>2</v>
      </c>
      <c r="G14" s="289">
        <v>3</v>
      </c>
      <c r="H14" s="289">
        <v>4</v>
      </c>
      <c r="I14" s="289">
        <v>5</v>
      </c>
      <c r="J14" s="289">
        <v>6</v>
      </c>
      <c r="K14" s="289">
        <v>7</v>
      </c>
      <c r="L14" s="289">
        <v>8</v>
      </c>
      <c r="M14" s="289">
        <v>9</v>
      </c>
      <c r="N14" s="289">
        <v>10</v>
      </c>
    </row>
    <row r="15" spans="1:14">
      <c r="A15" s="33" t="s">
        <v>1</v>
      </c>
      <c r="B15" s="33"/>
      <c r="C15" s="33"/>
      <c r="D15" s="44"/>
      <c r="E15" s="44">
        <f>'Unlev. Consolid'!I32</f>
        <v>1026986.2145956992</v>
      </c>
      <c r="F15" s="44">
        <f>'Unlev. Consolid'!J32</f>
        <v>1093100.9892810141</v>
      </c>
      <c r="G15" s="44">
        <f>'Unlev. Consolid'!K32</f>
        <v>1127798.328681014</v>
      </c>
      <c r="H15" s="44">
        <f>'Unlev. Consolid'!L32</f>
        <v>1149655.3974430137</v>
      </c>
      <c r="I15" s="44">
        <f>'Unlev. Consolid'!M32</f>
        <v>1171425.806592714</v>
      </c>
      <c r="J15" s="44">
        <f>'Unlev. Consolid'!N32</f>
        <v>1183484.3911846755</v>
      </c>
      <c r="K15" s="44">
        <f>'Unlev. Consolid'!O32</f>
        <v>1195858.6114909751</v>
      </c>
      <c r="L15" s="44">
        <f>'Unlev. Consolid'!P32</f>
        <v>1208558.5034270249</v>
      </c>
      <c r="M15" s="44">
        <f>'Unlev. Consolid'!Q32</f>
        <v>1219555.8582356125</v>
      </c>
      <c r="N15" s="44">
        <f>'Unlev. Consolid'!R32</f>
        <v>1230798.2026078873</v>
      </c>
    </row>
    <row r="16" spans="1:14">
      <c r="A16" t="s">
        <v>19</v>
      </c>
      <c r="D16" s="12">
        <v>0</v>
      </c>
      <c r="E16" s="12">
        <f>'Unlev. Consolid'!I57</f>
        <v>222415.89903594222</v>
      </c>
      <c r="F16" s="12">
        <f>'Unlev. Consolid'!J57</f>
        <v>215395.71205588442</v>
      </c>
      <c r="G16" s="12">
        <f>'Unlev. Consolid'!K57</f>
        <v>219375.44257582666</v>
      </c>
      <c r="H16" s="12">
        <f>'Unlev. Consolid'!L57</f>
        <v>222073.91809576884</v>
      </c>
      <c r="I16" s="12">
        <f>'Unlev. Consolid'!M57</f>
        <v>219951.9586157111</v>
      </c>
      <c r="J16" s="12">
        <f>'Unlev. Consolid'!N57</f>
        <v>223029.99913565331</v>
      </c>
      <c r="K16" s="12">
        <f>'Unlev. Consolid'!O57</f>
        <v>226108.03965559549</v>
      </c>
      <c r="L16" s="12">
        <f>'Unlev. Consolid'!P57</f>
        <v>229186.08017553773</v>
      </c>
      <c r="M16" s="12">
        <f>'Unlev. Consolid'!Q57</f>
        <v>232264.12069548</v>
      </c>
      <c r="N16" s="12">
        <f>'Unlev. Consolid'!R57</f>
        <v>235342.16121542221</v>
      </c>
    </row>
    <row r="17" spans="1:84">
      <c r="A17" t="s">
        <v>20</v>
      </c>
      <c r="D17" s="4">
        <v>0</v>
      </c>
      <c r="E17" s="4">
        <f>'Unlev. Consolid'!I41+'Unlev. Consolid'!I49</f>
        <v>73386.5</v>
      </c>
      <c r="F17" s="4">
        <f>'Unlev. Consolid'!J41+'Unlev. Consolid'!J49</f>
        <v>55052.5</v>
      </c>
      <c r="G17" s="4">
        <f>'Unlev. Consolid'!K41+'Unlev. Consolid'!K49</f>
        <v>47456.5</v>
      </c>
      <c r="H17" s="4">
        <f>'Unlev. Consolid'!L41+'Unlev. Consolid'!L49</f>
        <v>46689.5</v>
      </c>
      <c r="I17" s="4">
        <f>'Unlev. Consolid'!M41+'Unlev. Consolid'!M49</f>
        <v>46689.5</v>
      </c>
      <c r="J17" s="4">
        <f>'Unlev. Consolid'!N41+'Unlev. Consolid'!N49</f>
        <v>46689.5</v>
      </c>
      <c r="K17" s="4">
        <f>'Unlev. Consolid'!O41+'Unlev. Consolid'!O49</f>
        <v>46689.5</v>
      </c>
      <c r="L17" s="4">
        <f>'Unlev. Consolid'!P41+'Unlev. Consolid'!P49</f>
        <v>46689.5</v>
      </c>
      <c r="M17" s="4">
        <f>'Unlev. Consolid'!Q41+'Unlev. Consolid'!Q49</f>
        <v>46689.5</v>
      </c>
      <c r="N17" s="4">
        <f>'Unlev. Consolid'!R41+'Unlev. Consolid'!R49</f>
        <v>46689.5</v>
      </c>
    </row>
    <row r="18" spans="1:84">
      <c r="A18" s="33" t="s">
        <v>2</v>
      </c>
      <c r="B18" s="33"/>
      <c r="C18" s="33"/>
      <c r="D18" s="47">
        <v>0</v>
      </c>
      <c r="E18" s="47">
        <f t="shared" ref="E18:N18" si="0">E15-E16+E17</f>
        <v>877956.81555975694</v>
      </c>
      <c r="F18" s="47">
        <f t="shared" si="0"/>
        <v>932757.77722512966</v>
      </c>
      <c r="G18" s="47">
        <f t="shared" si="0"/>
        <v>955879.38610518735</v>
      </c>
      <c r="H18" s="47">
        <f t="shared" si="0"/>
        <v>974270.97934724484</v>
      </c>
      <c r="I18" s="47">
        <f t="shared" si="0"/>
        <v>998163.34797700297</v>
      </c>
      <c r="J18" s="47">
        <f t="shared" si="0"/>
        <v>1007143.8920490223</v>
      </c>
      <c r="K18" s="47">
        <f t="shared" si="0"/>
        <v>1016440.0718353796</v>
      </c>
      <c r="L18" s="47">
        <f t="shared" si="0"/>
        <v>1026061.9232514872</v>
      </c>
      <c r="M18" s="47">
        <f t="shared" si="0"/>
        <v>1033981.2375401325</v>
      </c>
      <c r="N18" s="47">
        <f t="shared" si="0"/>
        <v>1042145.5413924651</v>
      </c>
    </row>
    <row r="19" spans="1:84" ht="15">
      <c r="A19" t="s">
        <v>21</v>
      </c>
      <c r="B19" s="111">
        <f>Assumptions!D17</f>
        <v>7.4999999999999997E-2</v>
      </c>
      <c r="D19" s="4">
        <v>1</v>
      </c>
      <c r="E19" s="4">
        <f>Debt!E28</f>
        <v>271324.82346797979</v>
      </c>
      <c r="F19" s="4">
        <f>Debt!F28</f>
        <v>244192.34112118179</v>
      </c>
      <c r="G19" s="4">
        <f>Debt!G28</f>
        <v>217059.85877438384</v>
      </c>
      <c r="H19" s="4">
        <f>Debt!H28</f>
        <v>189927.37642758587</v>
      </c>
      <c r="I19" s="4">
        <f>Debt!I28</f>
        <v>162794.8940807879</v>
      </c>
      <c r="J19" s="4">
        <f>Debt!J28</f>
        <v>135662.41173398992</v>
      </c>
      <c r="K19" s="4">
        <f>Debt!K28</f>
        <v>108529.92938719197</v>
      </c>
      <c r="L19" s="4">
        <f>Debt!L28</f>
        <v>81397.447040394007</v>
      </c>
      <c r="M19" s="4">
        <f>Debt!M28</f>
        <v>54264.964693596026</v>
      </c>
      <c r="N19" s="4">
        <f>Debt!N28</f>
        <v>27132.482346798053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84">
      <c r="A20" s="33" t="s">
        <v>25</v>
      </c>
      <c r="B20" s="33"/>
      <c r="C20" s="33"/>
      <c r="D20" s="46">
        <v>0</v>
      </c>
      <c r="E20" s="46">
        <f t="shared" ref="E20:N20" si="1">E18-E19</f>
        <v>606631.99209177715</v>
      </c>
      <c r="F20" s="46">
        <f t="shared" si="1"/>
        <v>688565.43610394793</v>
      </c>
      <c r="G20" s="46">
        <f t="shared" si="1"/>
        <v>738819.52733080345</v>
      </c>
      <c r="H20" s="46">
        <f t="shared" si="1"/>
        <v>784343.602919659</v>
      </c>
      <c r="I20" s="46">
        <f t="shared" si="1"/>
        <v>835368.45389621507</v>
      </c>
      <c r="J20" s="46">
        <f t="shared" si="1"/>
        <v>871481.4803150323</v>
      </c>
      <c r="K20" s="46">
        <f t="shared" si="1"/>
        <v>907910.14244818757</v>
      </c>
      <c r="L20" s="46">
        <f t="shared" si="1"/>
        <v>944664.47621109313</v>
      </c>
      <c r="M20" s="46">
        <f t="shared" si="1"/>
        <v>979716.27284653648</v>
      </c>
      <c r="N20" s="46">
        <f t="shared" si="1"/>
        <v>1015013.0590456671</v>
      </c>
    </row>
    <row r="21" spans="1:84">
      <c r="A21" s="897" t="s">
        <v>3</v>
      </c>
      <c r="B21" s="34"/>
      <c r="C21" s="34"/>
      <c r="D21" s="102"/>
      <c r="E21" s="102">
        <f>'Unlev. Consolid'!I71</f>
        <v>223802.36372776396</v>
      </c>
      <c r="F21" s="102">
        <f>'Unlev. Consolid'!J71</f>
        <v>250229.13227518278</v>
      </c>
      <c r="G21" s="102">
        <f>'Unlev. Consolid'!K71</f>
        <v>250535.75327742309</v>
      </c>
      <c r="H21" s="102">
        <f>'Unlev. Consolid'!L71</f>
        <v>292905.12086900458</v>
      </c>
      <c r="I21" s="102">
        <f>'Unlev. Consolid'!M71</f>
        <v>300211.5801584844</v>
      </c>
      <c r="J21" s="102">
        <f>'Unlev. Consolid'!N71</f>
        <v>303844.01039676112</v>
      </c>
      <c r="K21" s="102">
        <f>'Unlev. Consolid'!O71</f>
        <v>306831.44051818689</v>
      </c>
      <c r="L21" s="102">
        <f>'Unlev. Consolid'!P71</f>
        <v>347435.05457176635</v>
      </c>
      <c r="M21" s="102">
        <f>'Unlev. Consolid'!Q71</f>
        <v>348374.70934199321</v>
      </c>
      <c r="N21" s="102">
        <f>'Unlev. Consolid'!R71</f>
        <v>349254.35362016934</v>
      </c>
    </row>
    <row r="22" spans="1:84" ht="15">
      <c r="A22" s="886" t="s">
        <v>4</v>
      </c>
      <c r="B22" s="34"/>
      <c r="C22" s="34"/>
      <c r="D22" s="40"/>
      <c r="E22" s="40">
        <f t="shared" ref="E22:N22" si="2">E23-E21</f>
        <v>9750.9532275702513</v>
      </c>
      <c r="F22" s="40">
        <f t="shared" si="2"/>
        <v>14868.560624837148</v>
      </c>
      <c r="G22" s="40">
        <f t="shared" si="2"/>
        <v>33909.764744936256</v>
      </c>
      <c r="H22" s="40">
        <f t="shared" si="2"/>
        <v>9067.166255064134</v>
      </c>
      <c r="I22" s="40">
        <f t="shared" si="2"/>
        <v>21405.27459155838</v>
      </c>
      <c r="J22" s="40">
        <f t="shared" si="2"/>
        <v>31676.359524526342</v>
      </c>
      <c r="K22" s="40">
        <f t="shared" si="2"/>
        <v>42713.964324365312</v>
      </c>
      <c r="L22" s="40">
        <f t="shared" si="2"/>
        <v>16260.768769504502</v>
      </c>
      <c r="M22" s="40">
        <f t="shared" si="2"/>
        <v>28816.055703923339</v>
      </c>
      <c r="N22" s="40">
        <f t="shared" si="2"/>
        <v>41525.674112412496</v>
      </c>
    </row>
    <row r="23" spans="1:84">
      <c r="A23" t="s">
        <v>519</v>
      </c>
      <c r="B23" s="110">
        <f>Assumptions!D10</f>
        <v>0.38500000000000001</v>
      </c>
      <c r="D23" s="29"/>
      <c r="E23" s="29">
        <f t="shared" ref="E23:N23" si="3">E20*$B$23</f>
        <v>233553.31695533422</v>
      </c>
      <c r="F23" s="29">
        <f t="shared" si="3"/>
        <v>265097.69290001993</v>
      </c>
      <c r="G23" s="29">
        <f t="shared" si="3"/>
        <v>284445.51802235935</v>
      </c>
      <c r="H23" s="29">
        <f t="shared" si="3"/>
        <v>301972.28712406871</v>
      </c>
      <c r="I23" s="29">
        <f t="shared" si="3"/>
        <v>321616.85475004278</v>
      </c>
      <c r="J23" s="29">
        <f t="shared" si="3"/>
        <v>335520.36992128746</v>
      </c>
      <c r="K23" s="29">
        <f t="shared" si="3"/>
        <v>349545.40484255221</v>
      </c>
      <c r="L23" s="29">
        <f t="shared" si="3"/>
        <v>363695.82334127085</v>
      </c>
      <c r="M23" s="29">
        <f t="shared" si="3"/>
        <v>377190.76504591655</v>
      </c>
      <c r="N23" s="57">
        <f t="shared" si="3"/>
        <v>390780.02773258183</v>
      </c>
    </row>
    <row r="24" spans="1:84">
      <c r="A24" s="105" t="s">
        <v>13</v>
      </c>
      <c r="B24" s="105"/>
      <c r="C24" s="105"/>
      <c r="D24" s="680"/>
      <c r="E24" s="680">
        <f t="shared" ref="E24:N24" si="4">E20-E23</f>
        <v>373078.67513644294</v>
      </c>
      <c r="F24" s="680">
        <f t="shared" si="4"/>
        <v>423467.743203928</v>
      </c>
      <c r="G24" s="680">
        <f t="shared" si="4"/>
        <v>454374.0093084441</v>
      </c>
      <c r="H24" s="680">
        <f t="shared" si="4"/>
        <v>482371.31579559029</v>
      </c>
      <c r="I24" s="680">
        <f t="shared" si="4"/>
        <v>513751.59914617229</v>
      </c>
      <c r="J24" s="680">
        <f t="shared" si="4"/>
        <v>535961.11039374489</v>
      </c>
      <c r="K24" s="680">
        <f t="shared" si="4"/>
        <v>558364.73760563531</v>
      </c>
      <c r="L24" s="680">
        <f t="shared" si="4"/>
        <v>580968.65286982222</v>
      </c>
      <c r="M24" s="680">
        <f t="shared" si="4"/>
        <v>602525.50780061993</v>
      </c>
      <c r="N24" s="680">
        <f t="shared" si="4"/>
        <v>624233.03131308523</v>
      </c>
    </row>
    <row r="25" spans="1:84">
      <c r="A25" s="386" t="s">
        <v>521</v>
      </c>
      <c r="B25" s="889">
        <f>B33</f>
        <v>0</v>
      </c>
      <c r="C25" s="105"/>
      <c r="D25" s="680"/>
      <c r="E25" s="680">
        <f>E24*$B$25</f>
        <v>0</v>
      </c>
      <c r="F25" s="680">
        <f t="shared" ref="F25:N25" si="5">F24*$B$25</f>
        <v>0</v>
      </c>
      <c r="G25" s="680">
        <f t="shared" si="5"/>
        <v>0</v>
      </c>
      <c r="H25" s="680">
        <f t="shared" si="5"/>
        <v>0</v>
      </c>
      <c r="I25" s="680">
        <f t="shared" si="5"/>
        <v>0</v>
      </c>
      <c r="J25" s="680">
        <f t="shared" si="5"/>
        <v>0</v>
      </c>
      <c r="K25" s="680">
        <f t="shared" si="5"/>
        <v>0</v>
      </c>
      <c r="L25" s="680">
        <f t="shared" si="5"/>
        <v>0</v>
      </c>
      <c r="M25" s="680">
        <f t="shared" si="5"/>
        <v>0</v>
      </c>
      <c r="N25" s="680">
        <f t="shared" si="5"/>
        <v>0</v>
      </c>
    </row>
    <row r="26" spans="1:84" hidden="1" outlineLevel="1">
      <c r="A26" s="33" t="s">
        <v>522</v>
      </c>
      <c r="B26" s="898">
        <f>'Valuation Summary'!E24</f>
        <v>0.57855013116922815</v>
      </c>
      <c r="C26" s="902"/>
      <c r="D26" s="44"/>
      <c r="E26" s="44">
        <f>E24*$B$26</f>
        <v>215844.71643663093</v>
      </c>
      <c r="F26" s="44">
        <f t="shared" ref="F26:N26" si="6">F24*$B$26</f>
        <v>244997.31837656957</v>
      </c>
      <c r="G26" s="44">
        <f t="shared" si="6"/>
        <v>262878.14268528845</v>
      </c>
      <c r="H26" s="44">
        <f t="shared" si="6"/>
        <v>279075.98802581191</v>
      </c>
      <c r="I26" s="44">
        <f t="shared" si="6"/>
        <v>297231.05507441872</v>
      </c>
      <c r="J26" s="44">
        <f t="shared" si="6"/>
        <v>310080.37071990629</v>
      </c>
      <c r="K26" s="44">
        <f t="shared" si="6"/>
        <v>323041.99218201195</v>
      </c>
      <c r="L26" s="44">
        <f t="shared" si="6"/>
        <v>336119.49032304541</v>
      </c>
      <c r="M26" s="44">
        <f t="shared" si="6"/>
        <v>348591.21157085447</v>
      </c>
      <c r="N26" s="44">
        <f t="shared" si="6"/>
        <v>361150.10214635037</v>
      </c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</row>
    <row r="27" spans="1:84" collapsed="1"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</row>
    <row r="28" spans="1:84">
      <c r="A28" s="24" t="s">
        <v>502</v>
      </c>
      <c r="D28" s="12"/>
      <c r="E28" s="12">
        <f t="shared" ref="E28:N28" si="7">E22</f>
        <v>9750.9532275702513</v>
      </c>
      <c r="F28" s="12">
        <f t="shared" si="7"/>
        <v>14868.560624837148</v>
      </c>
      <c r="G28" s="12">
        <f t="shared" si="7"/>
        <v>33909.764744936256</v>
      </c>
      <c r="H28" s="12">
        <f t="shared" si="7"/>
        <v>9067.166255064134</v>
      </c>
      <c r="I28" s="12">
        <f t="shared" si="7"/>
        <v>21405.27459155838</v>
      </c>
      <c r="J28" s="12">
        <f t="shared" si="7"/>
        <v>31676.359524526342</v>
      </c>
      <c r="K28" s="12">
        <f t="shared" si="7"/>
        <v>42713.964324365312</v>
      </c>
      <c r="L28" s="12">
        <f t="shared" si="7"/>
        <v>16260.768769504502</v>
      </c>
      <c r="M28" s="12">
        <f t="shared" si="7"/>
        <v>28816.055703923339</v>
      </c>
      <c r="N28" s="12">
        <f t="shared" si="7"/>
        <v>41525.674112412496</v>
      </c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1:84">
      <c r="A29" s="23" t="s">
        <v>231</v>
      </c>
      <c r="D29" s="12"/>
      <c r="E29" s="12">
        <f t="shared" ref="E29:N29" si="8">E24+E16+E28</f>
        <v>605245.52739995543</v>
      </c>
      <c r="F29" s="12">
        <f t="shared" si="8"/>
        <v>653732.01588464959</v>
      </c>
      <c r="G29" s="12">
        <f t="shared" si="8"/>
        <v>707659.21662920702</v>
      </c>
      <c r="H29" s="12">
        <f t="shared" si="8"/>
        <v>713512.40014642314</v>
      </c>
      <c r="I29" s="12">
        <f t="shared" si="8"/>
        <v>755108.83235344174</v>
      </c>
      <c r="J29" s="12">
        <f t="shared" si="8"/>
        <v>790667.46905392455</v>
      </c>
      <c r="K29" s="12">
        <f t="shared" si="8"/>
        <v>827186.74158559623</v>
      </c>
      <c r="L29" s="12">
        <f t="shared" si="8"/>
        <v>826415.50181486446</v>
      </c>
      <c r="M29" s="12">
        <f t="shared" si="8"/>
        <v>863605.6842000233</v>
      </c>
      <c r="N29" s="12">
        <f t="shared" si="8"/>
        <v>901100.86664091994</v>
      </c>
      <c r="O29" s="12">
        <f>'Unlev. Consolid'!S111</f>
        <v>11077183.823470986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</row>
    <row r="30" spans="1:84">
      <c r="A30" t="s">
        <v>17</v>
      </c>
      <c r="D30" s="12"/>
      <c r="E30" s="12">
        <f>'Unlev. Consolid'!I104</f>
        <v>536343.08388728392</v>
      </c>
      <c r="F30" s="12">
        <f>'Unlev. Consolid'!J104</f>
        <v>238913.08388728386</v>
      </c>
      <c r="G30" s="12">
        <f>'Unlev. Consolid'!K104</f>
        <v>170718.08388728386</v>
      </c>
      <c r="H30" s="12">
        <f>'Unlev. Consolid'!L104</f>
        <v>152032.08388728386</v>
      </c>
      <c r="I30" s="12">
        <f>'Unlev. Consolid'!M104</f>
        <v>152032.08388728386</v>
      </c>
      <c r="J30" s="12">
        <f>'Unlev. Consolid'!N104</f>
        <v>152032.08388728386</v>
      </c>
      <c r="K30" s="12">
        <f>'Unlev. Consolid'!O104</f>
        <v>152032.08388728386</v>
      </c>
      <c r="L30" s="12">
        <f>'Unlev. Consolid'!P104</f>
        <v>152032.08388728386</v>
      </c>
      <c r="M30" s="12">
        <f>'Unlev. Consolid'!Q104</f>
        <v>152032.08388728386</v>
      </c>
      <c r="N30" s="12">
        <f>'Unlev. Consolid'!R104</f>
        <v>152032.08388728386</v>
      </c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</row>
    <row r="31" spans="1:84">
      <c r="A31" t="s">
        <v>27</v>
      </c>
      <c r="B31" s="109"/>
      <c r="D31" s="1"/>
      <c r="E31" s="1">
        <f>Debt!E25+Debt!E26</f>
        <v>361766.43129063968</v>
      </c>
      <c r="F31" s="1">
        <f>Debt!F25+Debt!F26</f>
        <v>361766.43129063968</v>
      </c>
      <c r="G31" s="1">
        <f>Debt!G25+Debt!G26</f>
        <v>361766.43129063968</v>
      </c>
      <c r="H31" s="1">
        <f>Debt!H25+Debt!H26</f>
        <v>361766.43129063968</v>
      </c>
      <c r="I31" s="1">
        <f>Debt!I25+Debt!I26</f>
        <v>361766.43129063968</v>
      </c>
      <c r="J31" s="1">
        <f>Debt!J25+Debt!J26</f>
        <v>361766.43129063968</v>
      </c>
      <c r="K31" s="1">
        <f>Debt!K25+Debt!K26</f>
        <v>361766.43129063968</v>
      </c>
      <c r="L31" s="1">
        <f>Debt!L25+Debt!L26</f>
        <v>361766.43129063968</v>
      </c>
      <c r="M31" s="1">
        <f>Debt!M25+Debt!M26</f>
        <v>361766.43129063968</v>
      </c>
      <c r="N31" s="1">
        <f>Debt!N25+Debt!N26</f>
        <v>361766.43129064073</v>
      </c>
      <c r="O31" s="1">
        <f>Debt!P25+Debt!P26</f>
        <v>0</v>
      </c>
    </row>
    <row r="32" spans="1:84" s="34" customFormat="1">
      <c r="A32" s="105" t="s">
        <v>26</v>
      </c>
      <c r="B32" s="888"/>
      <c r="C32" s="105"/>
      <c r="D32" s="849"/>
      <c r="E32" s="849">
        <f t="shared" ref="E32:O32" si="9">(E29-E30-E31)</f>
        <v>-292863.98777796817</v>
      </c>
      <c r="F32" s="849">
        <f t="shared" si="9"/>
        <v>53052.500706726045</v>
      </c>
      <c r="G32" s="849">
        <f t="shared" si="9"/>
        <v>175174.70145128353</v>
      </c>
      <c r="H32" s="849">
        <f t="shared" si="9"/>
        <v>199713.88496849954</v>
      </c>
      <c r="I32" s="849">
        <f t="shared" si="9"/>
        <v>241310.31717551814</v>
      </c>
      <c r="J32" s="849">
        <f t="shared" si="9"/>
        <v>276868.95387600095</v>
      </c>
      <c r="K32" s="849">
        <f t="shared" si="9"/>
        <v>313388.22640767263</v>
      </c>
      <c r="L32" s="849">
        <f t="shared" si="9"/>
        <v>312616.98663694097</v>
      </c>
      <c r="M32" s="849">
        <f t="shared" si="9"/>
        <v>349807.1690220997</v>
      </c>
      <c r="N32" s="849">
        <f t="shared" si="9"/>
        <v>387302.3514629954</v>
      </c>
      <c r="O32" s="46">
        <f t="shared" si="9"/>
        <v>11077183.823470986</v>
      </c>
    </row>
    <row r="33" spans="1:21">
      <c r="A33" s="105" t="s">
        <v>87</v>
      </c>
      <c r="B33" s="890">
        <f>'Valuation Summary'!G11*(1-'Valuation Summary'!E23)</f>
        <v>0</v>
      </c>
      <c r="C33" s="684">
        <f>'Valuation Summary'!M21</f>
        <v>3363259.1011168081</v>
      </c>
      <c r="D33" s="684"/>
      <c r="E33" s="684">
        <f t="shared" ref="E33:O33" si="10">$B$33*E32</f>
        <v>0</v>
      </c>
      <c r="F33" s="684">
        <f t="shared" si="10"/>
        <v>0</v>
      </c>
      <c r="G33" s="684">
        <f t="shared" si="10"/>
        <v>0</v>
      </c>
      <c r="H33" s="684">
        <f t="shared" si="10"/>
        <v>0</v>
      </c>
      <c r="I33" s="684">
        <f t="shared" si="10"/>
        <v>0</v>
      </c>
      <c r="J33" s="684">
        <f t="shared" si="10"/>
        <v>0</v>
      </c>
      <c r="K33" s="684">
        <f t="shared" si="10"/>
        <v>0</v>
      </c>
      <c r="L33" s="684">
        <f t="shared" si="10"/>
        <v>0</v>
      </c>
      <c r="M33" s="684">
        <f t="shared" si="10"/>
        <v>0</v>
      </c>
      <c r="N33" s="684">
        <f>$B$33*N32+O33</f>
        <v>0</v>
      </c>
      <c r="O33" s="477">
        <f t="shared" si="10"/>
        <v>0</v>
      </c>
    </row>
    <row r="34" spans="1:21" outlineLevel="1">
      <c r="A34" s="292" t="s">
        <v>523</v>
      </c>
      <c r="B34" s="899">
        <f>B26</f>
        <v>0.57855013116922815</v>
      </c>
      <c r="C34" s="900">
        <f>NPV(G6,E34:N34)</f>
        <v>3772524.2424732032</v>
      </c>
      <c r="D34" s="901"/>
      <c r="E34" s="690">
        <f>$B$34*E32</f>
        <v>-169436.49854368673</v>
      </c>
      <c r="F34" s="690">
        <f t="shared" ref="F34:O34" si="11">$B$34*F32</f>
        <v>30693.531242731922</v>
      </c>
      <c r="G34" s="690">
        <f t="shared" si="11"/>
        <v>101347.34650217046</v>
      </c>
      <c r="H34" s="690">
        <f t="shared" si="11"/>
        <v>115544.49434484154</v>
      </c>
      <c r="I34" s="690">
        <f t="shared" si="11"/>
        <v>139610.11565438408</v>
      </c>
      <c r="J34" s="690">
        <f t="shared" si="11"/>
        <v>160182.56958164732</v>
      </c>
      <c r="K34" s="690">
        <f t="shared" si="11"/>
        <v>181310.79949505077</v>
      </c>
      <c r="L34" s="690">
        <f t="shared" si="11"/>
        <v>180864.59862453103</v>
      </c>
      <c r="M34" s="690">
        <f t="shared" si="11"/>
        <v>202380.98352167214</v>
      </c>
      <c r="N34" s="690">
        <f>$B$34*N32+O34</f>
        <v>6632779.9802958574</v>
      </c>
      <c r="O34" s="690">
        <f t="shared" si="11"/>
        <v>6408706.1540547907</v>
      </c>
    </row>
    <row r="35" spans="1:21">
      <c r="B35" s="78"/>
      <c r="C35" s="26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1:21" ht="15">
      <c r="A36" s="471" t="s">
        <v>227</v>
      </c>
      <c r="C36" s="26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"/>
      <c r="Q36" s="1"/>
      <c r="R36" s="1"/>
      <c r="S36" s="1"/>
      <c r="T36" s="1"/>
      <c r="U36" s="1"/>
    </row>
    <row r="37" spans="1:21">
      <c r="A37" t="s">
        <v>228</v>
      </c>
      <c r="B37" s="26"/>
      <c r="D37" s="108"/>
      <c r="E37" s="108">
        <f t="shared" ref="E37:N37" si="12">E15/E19</f>
        <v>3.7850801908543334</v>
      </c>
      <c r="F37" s="108">
        <f t="shared" si="12"/>
        <v>4.4763934211128955</v>
      </c>
      <c r="G37" s="108">
        <f t="shared" si="12"/>
        <v>5.1957940774911728</v>
      </c>
      <c r="H37" s="108">
        <f t="shared" si="12"/>
        <v>6.0531315656926692</v>
      </c>
      <c r="I37" s="108">
        <f t="shared" si="12"/>
        <v>7.1957158927317906</v>
      </c>
      <c r="J37" s="108">
        <f t="shared" si="12"/>
        <v>8.7237457749555549</v>
      </c>
      <c r="K37" s="108">
        <f t="shared" si="12"/>
        <v>11.018698880975251</v>
      </c>
      <c r="L37" s="108">
        <f t="shared" si="12"/>
        <v>14.847621729797865</v>
      </c>
      <c r="M37" s="108">
        <f t="shared" si="12"/>
        <v>22.474092909149832</v>
      </c>
      <c r="N37" s="108">
        <f t="shared" si="12"/>
        <v>45.362535829794275</v>
      </c>
      <c r="O37" s="12"/>
      <c r="P37" s="1"/>
      <c r="Q37" s="1"/>
      <c r="R37" s="1"/>
      <c r="S37" s="1"/>
      <c r="T37" s="1"/>
      <c r="U37" s="1"/>
    </row>
    <row r="38" spans="1:21" s="34" customFormat="1">
      <c r="A38" s="23" t="s">
        <v>230</v>
      </c>
      <c r="B38" s="26"/>
      <c r="C38"/>
      <c r="D38" s="108"/>
      <c r="E38" s="108">
        <f t="shared" ref="E38:N38" si="13">E15/(E19+E31)</f>
        <v>1.6221772246518571</v>
      </c>
      <c r="F38" s="108">
        <f t="shared" si="13"/>
        <v>1.8039197368663908</v>
      </c>
      <c r="G38" s="108">
        <f t="shared" si="13"/>
        <v>1.9484227790591899</v>
      </c>
      <c r="H38" s="108">
        <f t="shared" si="13"/>
        <v>2.08386496523846</v>
      </c>
      <c r="I38" s="108">
        <f t="shared" si="13"/>
        <v>2.2331532080891767</v>
      </c>
      <c r="J38" s="108">
        <f t="shared" si="13"/>
        <v>2.3792033931696972</v>
      </c>
      <c r="K38" s="108">
        <f t="shared" si="13"/>
        <v>2.542776664840444</v>
      </c>
      <c r="L38" s="108">
        <f t="shared" si="13"/>
        <v>2.7271141952689977</v>
      </c>
      <c r="M38" s="108">
        <f t="shared" si="13"/>
        <v>2.9314034229325907</v>
      </c>
      <c r="N38" s="108">
        <f t="shared" si="13"/>
        <v>3.1648280811484377</v>
      </c>
      <c r="O38" s="102"/>
    </row>
    <row r="39" spans="1:21" s="34" customFormat="1">
      <c r="A39" s="23" t="s">
        <v>229</v>
      </c>
      <c r="B39" s="26"/>
      <c r="C39"/>
      <c r="D39" s="108"/>
      <c r="E39" s="108">
        <f t="shared" ref="E39:N39" si="14">(E15-E30)/(E31+E19+E23)</f>
        <v>0.566141122580478</v>
      </c>
      <c r="F39" s="108">
        <f t="shared" si="14"/>
        <v>0.98063436689827888</v>
      </c>
      <c r="G39" s="108">
        <f t="shared" si="14"/>
        <v>1.1086661649639455</v>
      </c>
      <c r="H39" s="108">
        <f t="shared" si="14"/>
        <v>1.1686341059849989</v>
      </c>
      <c r="I39" s="108">
        <f t="shared" si="14"/>
        <v>1.2047033906725111</v>
      </c>
      <c r="J39" s="108">
        <f t="shared" si="14"/>
        <v>1.2383135625393322</v>
      </c>
      <c r="K39" s="108">
        <f t="shared" si="14"/>
        <v>1.273204868918987</v>
      </c>
      <c r="L39" s="108">
        <f t="shared" si="14"/>
        <v>1.3094301491944325</v>
      </c>
      <c r="M39" s="108">
        <f t="shared" si="14"/>
        <v>1.3458067951126613</v>
      </c>
      <c r="N39" s="108">
        <f t="shared" si="14"/>
        <v>1.3836029953881257</v>
      </c>
      <c r="O39" s="102"/>
    </row>
    <row r="40" spans="1:21" s="34" customFormat="1">
      <c r="A40" s="23"/>
      <c r="B40" s="26"/>
      <c r="C40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2"/>
    </row>
    <row r="41" spans="1:21" s="34" customFormat="1">
      <c r="A41"/>
      <c r="B41" s="26"/>
      <c r="C41"/>
      <c r="I41" s="474"/>
      <c r="J41" s="474"/>
      <c r="K41" s="474"/>
      <c r="L41" s="474"/>
      <c r="M41" s="474"/>
      <c r="N41" s="473"/>
      <c r="O41" s="473"/>
      <c r="P41" s="473"/>
      <c r="Q41" s="473"/>
      <c r="R41" s="473"/>
      <c r="S41" s="473"/>
    </row>
    <row r="42" spans="1:21" s="34" customFormat="1">
      <c r="A42"/>
      <c r="B42" s="26"/>
      <c r="C42"/>
      <c r="I42" s="474"/>
      <c r="J42" s="474"/>
      <c r="K42" s="474"/>
      <c r="L42" s="474"/>
      <c r="M42" s="474"/>
      <c r="N42" s="473"/>
      <c r="O42" s="473"/>
      <c r="P42" s="473"/>
      <c r="Q42" s="473"/>
      <c r="R42" s="473"/>
      <c r="S42" s="473"/>
    </row>
  </sheetData>
  <mergeCells count="1">
    <mergeCell ref="F4:H4"/>
  </mergeCells>
  <phoneticPr fontId="0" type="noConversion"/>
  <pageMargins left="0.17" right="0.17" top="0.8" bottom="0.77" header="0.5" footer="0.5"/>
  <pageSetup scale="69" fitToHeight="2" orientation="landscape" r:id="rId1"/>
  <headerFooter alignWithMargins="0">
    <oddFooter>&amp;R&amp;F
&amp;A
&amp;D&amp;T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1">
    <pageSetUpPr fitToPage="1"/>
  </sheetPr>
  <dimension ref="A1:Y163"/>
  <sheetViews>
    <sheetView showGridLines="0" topLeftCell="A7" zoomScale="75" zoomScaleNormal="75" zoomScaleSheetLayoutView="75" workbookViewId="0">
      <pane xSplit="1" ySplit="4" topLeftCell="E37" activePane="bottomRight" state="frozen"/>
      <selection activeCell="A7" sqref="A7"/>
      <selection pane="topRight" activeCell="B7" sqref="B7"/>
      <selection pane="bottomLeft" activeCell="A11" sqref="A11"/>
      <selection pane="bottomRight" activeCell="H43" sqref="H43"/>
    </sheetView>
  </sheetViews>
  <sheetFormatPr defaultRowHeight="12.75" outlineLevelRow="1" outlineLevelCol="1"/>
  <cols>
    <col min="1" max="1" width="38.85546875" customWidth="1"/>
    <col min="2" max="2" width="15.85546875" customWidth="1" outlineLevel="1"/>
    <col min="3" max="3" width="12.85546875" customWidth="1" outlineLevel="1"/>
    <col min="4" max="4" width="13.85546875" customWidth="1" outlineLevel="1"/>
    <col min="5" max="6" width="15.5703125" style="24" bestFit="1" customWidth="1"/>
    <col min="7" max="7" width="15.85546875" style="24" bestFit="1" customWidth="1"/>
    <col min="8" max="8" width="16.85546875" customWidth="1"/>
    <col min="9" max="9" width="15.7109375" bestFit="1" customWidth="1"/>
    <col min="10" max="11" width="15.5703125" bestFit="1" customWidth="1"/>
    <col min="12" max="13" width="14" customWidth="1"/>
    <col min="14" max="14" width="15.85546875" customWidth="1"/>
    <col min="15" max="15" width="14.42578125" customWidth="1"/>
    <col min="16" max="16" width="15.140625" customWidth="1"/>
    <col min="17" max="17" width="14" customWidth="1"/>
    <col min="18" max="18" width="16" customWidth="1"/>
    <col min="19" max="19" width="13.42578125" customWidth="1"/>
  </cols>
  <sheetData>
    <row r="1" spans="1:20" ht="20.25">
      <c r="A1" s="714" t="str">
        <f>"Project "&amp;Assumptions!D6</f>
        <v>Project ETS</v>
      </c>
      <c r="B1" s="114"/>
      <c r="C1" s="115"/>
      <c r="D1" s="34"/>
      <c r="E1" s="56"/>
      <c r="F1" s="56"/>
      <c r="G1" s="468" t="s">
        <v>103</v>
      </c>
      <c r="H1" s="481"/>
      <c r="I1" s="467"/>
    </row>
    <row r="2" spans="1:20" ht="15.75">
      <c r="A2" s="715" t="s">
        <v>498</v>
      </c>
      <c r="B2" s="141"/>
      <c r="C2" s="117"/>
      <c r="D2" s="34"/>
      <c r="E2" s="45"/>
      <c r="F2" s="45"/>
      <c r="G2" s="482"/>
      <c r="H2" s="54"/>
      <c r="I2" s="156"/>
      <c r="J2" s="54"/>
      <c r="S2" s="24"/>
    </row>
    <row r="3" spans="1:20" ht="16.5" thickBot="1">
      <c r="A3" s="639" t="s">
        <v>346</v>
      </c>
      <c r="B3" s="640"/>
      <c r="C3" s="121"/>
      <c r="D3" s="34"/>
      <c r="E3" s="45"/>
      <c r="F3" s="45"/>
      <c r="G3" s="482"/>
      <c r="H3" s="34"/>
      <c r="I3" s="156"/>
      <c r="J3" s="54"/>
      <c r="S3" s="24"/>
    </row>
    <row r="4" spans="1:20" ht="13.5" thickBot="1">
      <c r="A4" s="142"/>
      <c r="B4" s="141"/>
      <c r="E4" s="45"/>
      <c r="F4" s="45"/>
      <c r="G4" s="157"/>
      <c r="H4" s="158"/>
      <c r="I4" s="159"/>
      <c r="J4" s="54"/>
      <c r="S4" s="24"/>
    </row>
    <row r="5" spans="1:20">
      <c r="A5" s="142"/>
      <c r="B5" s="141"/>
      <c r="E5" s="45"/>
      <c r="F5" s="45"/>
      <c r="G5" s="43"/>
      <c r="H5" s="54"/>
      <c r="I5" s="54"/>
      <c r="J5" s="54"/>
      <c r="S5" s="24"/>
    </row>
    <row r="6" spans="1:20" ht="15.75">
      <c r="A6" s="483" t="s">
        <v>54</v>
      </c>
      <c r="B6" s="484"/>
      <c r="C6" s="412"/>
      <c r="D6" s="412"/>
      <c r="E6" s="485"/>
      <c r="F6" s="485"/>
      <c r="G6" s="412"/>
      <c r="H6" s="486"/>
      <c r="I6" s="486"/>
      <c r="J6" s="486"/>
      <c r="K6" s="412"/>
      <c r="L6" s="412"/>
      <c r="M6" s="412"/>
      <c r="N6" s="412"/>
      <c r="O6" s="412"/>
      <c r="P6" s="412"/>
      <c r="Q6" s="412"/>
      <c r="R6" s="412"/>
      <c r="S6" s="662"/>
    </row>
    <row r="7" spans="1:20">
      <c r="E7" s="480"/>
      <c r="F7" s="480"/>
      <c r="G7" s="323"/>
      <c r="H7" s="309" t="s">
        <v>203</v>
      </c>
      <c r="I7" s="328"/>
      <c r="J7" s="323"/>
      <c r="K7" s="323"/>
      <c r="L7" s="246"/>
      <c r="M7" s="323"/>
      <c r="N7" s="246"/>
      <c r="O7" s="246"/>
      <c r="P7" s="246"/>
      <c r="Q7" s="246"/>
      <c r="R7" s="292"/>
      <c r="S7" s="31"/>
      <c r="T7" s="31"/>
    </row>
    <row r="8" spans="1:20">
      <c r="D8" s="387">
        <v>1997</v>
      </c>
      <c r="E8" s="256">
        <v>1998</v>
      </c>
      <c r="F8" s="256">
        <v>1999</v>
      </c>
      <c r="G8" s="256">
        <v>2000</v>
      </c>
      <c r="H8" s="256">
        <v>2001</v>
      </c>
      <c r="I8" s="289">
        <v>2002</v>
      </c>
      <c r="J8" s="289">
        <v>2003</v>
      </c>
      <c r="K8" s="289">
        <v>2004</v>
      </c>
      <c r="L8" s="289">
        <v>2005</v>
      </c>
      <c r="M8" s="289">
        <v>2006</v>
      </c>
      <c r="N8" s="293">
        <v>2007</v>
      </c>
      <c r="O8" s="293">
        <v>2008</v>
      </c>
      <c r="P8" s="293">
        <v>2009</v>
      </c>
      <c r="Q8" s="293">
        <v>2010</v>
      </c>
      <c r="R8" s="465">
        <v>2011</v>
      </c>
      <c r="S8" s="1"/>
      <c r="T8" s="1"/>
    </row>
    <row r="9" spans="1:20">
      <c r="G9" s="348" t="s">
        <v>213</v>
      </c>
      <c r="H9" s="256">
        <v>1</v>
      </c>
      <c r="I9" s="289">
        <v>2</v>
      </c>
      <c r="J9" s="289">
        <v>3</v>
      </c>
      <c r="K9" s="289">
        <v>4</v>
      </c>
      <c r="L9" s="289">
        <v>5</v>
      </c>
      <c r="M9" s="289">
        <v>6</v>
      </c>
      <c r="N9" s="289">
        <v>7</v>
      </c>
      <c r="O9" s="289">
        <v>8</v>
      </c>
      <c r="P9" s="289">
        <v>9</v>
      </c>
      <c r="Q9" s="289">
        <v>10</v>
      </c>
      <c r="R9" s="389">
        <v>11</v>
      </c>
      <c r="S9" s="1"/>
      <c r="T9" s="1"/>
    </row>
    <row r="10" spans="1:20">
      <c r="E10" s="45"/>
      <c r="F10" s="45"/>
      <c r="G10" s="12"/>
      <c r="H10" s="58"/>
      <c r="I10" s="1"/>
      <c r="J10" s="1"/>
      <c r="K10" s="12"/>
      <c r="L10" s="12"/>
      <c r="M10" s="1"/>
      <c r="N10" s="1"/>
      <c r="O10" s="1"/>
      <c r="P10" s="1"/>
      <c r="Q10" s="1"/>
      <c r="R10" s="1"/>
      <c r="S10" s="24"/>
    </row>
    <row r="11" spans="1:20">
      <c r="A11" s="559" t="s">
        <v>294</v>
      </c>
      <c r="B11" s="80"/>
      <c r="C11" s="76"/>
      <c r="D11" s="547">
        <f>D59</f>
        <v>507639</v>
      </c>
      <c r="E11" s="547">
        <f>E59</f>
        <v>489917</v>
      </c>
      <c r="F11" s="547">
        <f t="shared" ref="F11:R11" si="0">F59</f>
        <v>491300</v>
      </c>
      <c r="G11" s="547">
        <f t="shared" si="0"/>
        <v>505521</v>
      </c>
      <c r="H11" s="548">
        <f t="shared" si="0"/>
        <v>495151</v>
      </c>
      <c r="I11" s="548">
        <f t="shared" si="0"/>
        <v>489091</v>
      </c>
      <c r="J11" s="548">
        <f t="shared" si="0"/>
        <v>497938.16000000003</v>
      </c>
      <c r="K11" s="548">
        <f t="shared" si="0"/>
        <v>506962.26320000004</v>
      </c>
      <c r="L11" s="548">
        <f t="shared" si="0"/>
        <v>516166.84846400004</v>
      </c>
      <c r="M11" s="548">
        <f t="shared" si="0"/>
        <v>526228.02543328004</v>
      </c>
      <c r="N11" s="548">
        <f t="shared" si="0"/>
        <v>536510.60094194557</v>
      </c>
      <c r="O11" s="548">
        <f t="shared" si="0"/>
        <v>547020.01171078451</v>
      </c>
      <c r="P11" s="548">
        <f t="shared" si="0"/>
        <v>557761.85363250028</v>
      </c>
      <c r="Q11" s="548">
        <f t="shared" si="0"/>
        <v>568741.88747702527</v>
      </c>
      <c r="R11" s="548">
        <f t="shared" si="0"/>
        <v>579966.04483703454</v>
      </c>
      <c r="S11" s="24"/>
    </row>
    <row r="12" spans="1:20">
      <c r="D12" s="207"/>
      <c r="E12" s="207"/>
      <c r="F12" s="207"/>
      <c r="G12" s="18"/>
      <c r="H12" s="59"/>
      <c r="I12" s="12"/>
      <c r="J12" s="12"/>
      <c r="K12" s="12"/>
      <c r="L12" s="12"/>
      <c r="M12" s="1"/>
      <c r="N12" s="1"/>
      <c r="O12" s="1"/>
      <c r="P12" s="1"/>
      <c r="Q12" s="1"/>
      <c r="R12" s="1"/>
      <c r="S12" s="24"/>
    </row>
    <row r="13" spans="1:20">
      <c r="A13" s="106" t="s">
        <v>295</v>
      </c>
      <c r="B13" s="79"/>
      <c r="C13" s="34"/>
      <c r="D13" s="547">
        <f>D83</f>
        <v>216663</v>
      </c>
      <c r="E13" s="547">
        <f>E83</f>
        <v>207470</v>
      </c>
      <c r="F13" s="547">
        <f t="shared" ref="F13:R13" si="1">F83</f>
        <v>239590</v>
      </c>
      <c r="G13" s="547">
        <f t="shared" si="1"/>
        <v>240367</v>
      </c>
      <c r="H13" s="548">
        <f t="shared" si="1"/>
        <v>257891</v>
      </c>
      <c r="I13" s="548">
        <f t="shared" si="1"/>
        <v>258496</v>
      </c>
      <c r="J13" s="548">
        <f t="shared" si="1"/>
        <v>255395.3653146853</v>
      </c>
      <c r="K13" s="548">
        <f t="shared" si="1"/>
        <v>252242.56531468531</v>
      </c>
      <c r="L13" s="548">
        <f t="shared" si="1"/>
        <v>252242.56531468531</v>
      </c>
      <c r="M13" s="548">
        <f t="shared" si="1"/>
        <v>252242.56531468531</v>
      </c>
      <c r="N13" s="548">
        <f t="shared" si="1"/>
        <v>252242.56531468531</v>
      </c>
      <c r="O13" s="548">
        <f t="shared" si="1"/>
        <v>252242.56531468531</v>
      </c>
      <c r="P13" s="548">
        <f t="shared" si="1"/>
        <v>252242.56531468531</v>
      </c>
      <c r="Q13" s="548">
        <f t="shared" si="1"/>
        <v>252242.56531468531</v>
      </c>
      <c r="R13" s="548">
        <f t="shared" si="1"/>
        <v>252242.56531468531</v>
      </c>
      <c r="S13" s="24"/>
    </row>
    <row r="14" spans="1:20">
      <c r="A14" s="106"/>
      <c r="B14" s="79"/>
      <c r="C14" s="34"/>
      <c r="D14" s="567"/>
      <c r="E14" s="567"/>
      <c r="F14" s="567"/>
      <c r="G14" s="567"/>
      <c r="H14" s="568"/>
      <c r="I14" s="568"/>
      <c r="J14" s="568"/>
      <c r="K14" s="568"/>
      <c r="L14" s="568"/>
      <c r="M14" s="568"/>
      <c r="N14" s="568"/>
      <c r="O14" s="568"/>
      <c r="P14" s="568"/>
      <c r="Q14" s="568"/>
      <c r="R14" s="568"/>
      <c r="S14" s="24"/>
    </row>
    <row r="15" spans="1:20">
      <c r="A15" s="106" t="s">
        <v>1</v>
      </c>
      <c r="B15" s="34"/>
      <c r="C15" s="34"/>
      <c r="D15" s="547">
        <f t="shared" ref="D15:R15" si="2">(D11-D13)</f>
        <v>290976</v>
      </c>
      <c r="E15" s="547">
        <f t="shared" si="2"/>
        <v>282447</v>
      </c>
      <c r="F15" s="547">
        <f t="shared" si="2"/>
        <v>251710</v>
      </c>
      <c r="G15" s="547">
        <f t="shared" si="2"/>
        <v>265154</v>
      </c>
      <c r="H15" s="548">
        <f t="shared" si="2"/>
        <v>237260</v>
      </c>
      <c r="I15" s="548">
        <f t="shared" si="2"/>
        <v>230595</v>
      </c>
      <c r="J15" s="548">
        <f t="shared" si="2"/>
        <v>242542.79468531473</v>
      </c>
      <c r="K15" s="548">
        <f t="shared" si="2"/>
        <v>254719.69788531473</v>
      </c>
      <c r="L15" s="548">
        <f t="shared" si="2"/>
        <v>263924.2831493147</v>
      </c>
      <c r="M15" s="548">
        <f t="shared" si="2"/>
        <v>273985.4601185947</v>
      </c>
      <c r="N15" s="548">
        <f t="shared" si="2"/>
        <v>284268.03562726022</v>
      </c>
      <c r="O15" s="548">
        <f t="shared" si="2"/>
        <v>294777.44639609917</v>
      </c>
      <c r="P15" s="548">
        <f t="shared" si="2"/>
        <v>305519.28831781493</v>
      </c>
      <c r="Q15" s="548">
        <f t="shared" si="2"/>
        <v>316499.32216233993</v>
      </c>
      <c r="R15" s="548">
        <f t="shared" si="2"/>
        <v>327723.4795223492</v>
      </c>
      <c r="S15" s="24"/>
    </row>
    <row r="16" spans="1:20">
      <c r="A16" s="586" t="s">
        <v>280</v>
      </c>
      <c r="B16" s="7"/>
      <c r="C16" s="7"/>
      <c r="D16" s="587">
        <f t="shared" ref="D16:R16" si="3">D11/D13</f>
        <v>2.3429888813502999</v>
      </c>
      <c r="E16" s="587">
        <f t="shared" si="3"/>
        <v>2.3613871885091822</v>
      </c>
      <c r="F16" s="587">
        <f t="shared" si="3"/>
        <v>2.0505864184648774</v>
      </c>
      <c r="G16" s="587">
        <f t="shared" si="3"/>
        <v>2.1031214767418156</v>
      </c>
      <c r="H16" s="588">
        <f t="shared" si="3"/>
        <v>1.9200010857300178</v>
      </c>
      <c r="I16" s="588">
        <f t="shared" si="3"/>
        <v>1.8920640938351077</v>
      </c>
      <c r="J16" s="588">
        <f t="shared" si="3"/>
        <v>1.9496757875244357</v>
      </c>
      <c r="K16" s="588">
        <f t="shared" si="3"/>
        <v>2.0098204383845331</v>
      </c>
      <c r="L16" s="588">
        <f t="shared" si="3"/>
        <v>2.0463114455724627</v>
      </c>
      <c r="M16" s="588">
        <f t="shared" si="3"/>
        <v>2.0861983574294212</v>
      </c>
      <c r="N16" s="588">
        <f t="shared" si="3"/>
        <v>2.126962990059277</v>
      </c>
      <c r="O16" s="588">
        <f t="shared" si="3"/>
        <v>2.1686268970042764</v>
      </c>
      <c r="P16" s="588">
        <f t="shared" si="3"/>
        <v>2.2112122628338491</v>
      </c>
      <c r="Q16" s="588">
        <f t="shared" si="3"/>
        <v>2.2547419257629699</v>
      </c>
      <c r="R16" s="588">
        <f t="shared" si="3"/>
        <v>2.2992394012227781</v>
      </c>
      <c r="S16" s="24"/>
    </row>
    <row r="17" spans="1:19">
      <c r="A17" s="586" t="s">
        <v>281</v>
      </c>
      <c r="B17" s="7"/>
      <c r="C17" s="7"/>
      <c r="D17" s="589">
        <f>(D11-D13)/D11</f>
        <v>0.57319473090129014</v>
      </c>
      <c r="E17" s="589">
        <f>(E11-E13)/E11</f>
        <v>0.57652010442585178</v>
      </c>
      <c r="F17" s="589">
        <f t="shared" ref="F17:R17" si="4">(F11-F13)/F11</f>
        <v>0.51233462243028705</v>
      </c>
      <c r="G17" s="589">
        <f t="shared" si="4"/>
        <v>0.52451629111352449</v>
      </c>
      <c r="H17" s="590">
        <f t="shared" si="4"/>
        <v>0.47916696118961688</v>
      </c>
      <c r="I17" s="590">
        <f t="shared" si="4"/>
        <v>0.4714766781641862</v>
      </c>
      <c r="J17" s="590">
        <f t="shared" si="4"/>
        <v>0.48709421002261549</v>
      </c>
      <c r="K17" s="590">
        <f t="shared" si="4"/>
        <v>0.50244311337395553</v>
      </c>
      <c r="L17" s="590">
        <f t="shared" si="4"/>
        <v>0.51131583505352152</v>
      </c>
      <c r="M17" s="590">
        <f t="shared" si="4"/>
        <v>0.52065919501912394</v>
      </c>
      <c r="N17" s="590">
        <f t="shared" si="4"/>
        <v>0.52984607410957785</v>
      </c>
      <c r="O17" s="590">
        <f t="shared" si="4"/>
        <v>0.53887872488283162</v>
      </c>
      <c r="P17" s="590">
        <f t="shared" si="4"/>
        <v>0.54775938212353326</v>
      </c>
      <c r="Q17" s="590">
        <f t="shared" si="4"/>
        <v>0.55649026233385201</v>
      </c>
      <c r="R17" s="590">
        <f t="shared" si="4"/>
        <v>0.56507356325392577</v>
      </c>
      <c r="S17" s="24"/>
    </row>
    <row r="18" spans="1:19">
      <c r="D18" s="16"/>
      <c r="E18" s="16"/>
      <c r="F18" s="16"/>
      <c r="G18" s="16"/>
      <c r="H18" s="24"/>
      <c r="S18" s="24"/>
    </row>
    <row r="19" spans="1:19">
      <c r="A19" s="6" t="s">
        <v>222</v>
      </c>
      <c r="D19" s="573">
        <f>9396+7377</f>
        <v>16773</v>
      </c>
      <c r="E19" s="573">
        <f>9042+11701</f>
        <v>20743</v>
      </c>
      <c r="F19" s="573">
        <f>15627+8295</f>
        <v>23922</v>
      </c>
      <c r="G19" s="574">
        <f>23427+23703</f>
        <v>47130</v>
      </c>
      <c r="H19" s="217">
        <f>4777+15066+511</f>
        <v>20354</v>
      </c>
      <c r="I19" s="217">
        <f>19025+12500+421</f>
        <v>31946</v>
      </c>
      <c r="J19" s="217">
        <f t="shared" ref="J19:R19" si="5">I19</f>
        <v>31946</v>
      </c>
      <c r="K19" s="217">
        <f t="shared" si="5"/>
        <v>31946</v>
      </c>
      <c r="L19" s="217">
        <f t="shared" si="5"/>
        <v>31946</v>
      </c>
      <c r="M19" s="217">
        <f t="shared" si="5"/>
        <v>31946</v>
      </c>
      <c r="N19" s="217">
        <f t="shared" si="5"/>
        <v>31946</v>
      </c>
      <c r="O19" s="217">
        <f t="shared" si="5"/>
        <v>31946</v>
      </c>
      <c r="P19" s="217">
        <f t="shared" si="5"/>
        <v>31946</v>
      </c>
      <c r="Q19" s="217">
        <f t="shared" si="5"/>
        <v>31946</v>
      </c>
      <c r="R19" s="217">
        <f t="shared" si="5"/>
        <v>31946</v>
      </c>
      <c r="S19" s="24"/>
    </row>
    <row r="20" spans="1:19">
      <c r="A20" s="6" t="s">
        <v>223</v>
      </c>
      <c r="D20" s="573"/>
      <c r="E20" s="573">
        <v>0</v>
      </c>
      <c r="F20" s="573">
        <v>0</v>
      </c>
      <c r="G20" s="574">
        <v>0</v>
      </c>
      <c r="H20" s="217">
        <v>0</v>
      </c>
      <c r="I20" s="539">
        <f>H20</f>
        <v>0</v>
      </c>
      <c r="J20" s="539">
        <f>I20*Curves!F35</f>
        <v>0</v>
      </c>
      <c r="K20" s="539">
        <f>J20*Curves!G35</f>
        <v>0</v>
      </c>
      <c r="L20" s="539">
        <f>K20*Curves!H35</f>
        <v>0</v>
      </c>
      <c r="M20" s="539">
        <f>L20*Curves!I35</f>
        <v>0</v>
      </c>
      <c r="N20" s="539">
        <f>M20*Curves!J35</f>
        <v>0</v>
      </c>
      <c r="O20" s="539">
        <f>N20*Curves!K35</f>
        <v>0</v>
      </c>
      <c r="P20" s="539">
        <f>O20*Curves!L35</f>
        <v>0</v>
      </c>
      <c r="Q20" s="539">
        <f>P20*Curves!M35</f>
        <v>0</v>
      </c>
      <c r="R20" s="539">
        <f>Q20*Curves!N35</f>
        <v>0</v>
      </c>
      <c r="S20" s="24"/>
    </row>
    <row r="21" spans="1:19">
      <c r="A21" s="6" t="s">
        <v>338</v>
      </c>
      <c r="B21" s="15"/>
      <c r="D21" s="785">
        <f ca="1">D128</f>
        <v>88563</v>
      </c>
      <c r="E21" s="785">
        <f ca="1">E128</f>
        <v>81343</v>
      </c>
      <c r="F21" s="785">
        <f ca="1">F128</f>
        <v>40395</v>
      </c>
      <c r="G21" s="995">
        <f ca="1">G128</f>
        <v>50691</v>
      </c>
      <c r="H21" s="572">
        <f>H128+14002</f>
        <v>61579</v>
      </c>
      <c r="I21" s="572">
        <f>49279+17494</f>
        <v>66773</v>
      </c>
      <c r="J21" s="572">
        <f t="shared" ref="J21:R21" si="6">J128</f>
        <v>53343.03</v>
      </c>
      <c r="K21" s="572">
        <f t="shared" si="6"/>
        <v>54805.53</v>
      </c>
      <c r="L21" s="572">
        <f t="shared" si="6"/>
        <v>56268.03</v>
      </c>
      <c r="M21" s="572">
        <f t="shared" si="6"/>
        <v>57730.53</v>
      </c>
      <c r="N21" s="572">
        <f t="shared" si="6"/>
        <v>59193.03</v>
      </c>
      <c r="O21" s="572">
        <f t="shared" si="6"/>
        <v>60655.53</v>
      </c>
      <c r="P21" s="572">
        <f t="shared" si="6"/>
        <v>62118.03</v>
      </c>
      <c r="Q21" s="572">
        <f t="shared" si="6"/>
        <v>63580.53</v>
      </c>
      <c r="R21" s="572">
        <f t="shared" si="6"/>
        <v>65043.03</v>
      </c>
      <c r="S21" s="24"/>
    </row>
    <row r="22" spans="1:19">
      <c r="D22" s="575"/>
      <c r="E22" s="575"/>
      <c r="F22" s="575"/>
      <c r="G22" s="537"/>
      <c r="H22" s="576"/>
      <c r="I22" s="538"/>
      <c r="J22" s="538"/>
      <c r="K22" s="576"/>
      <c r="L22" s="576"/>
      <c r="M22" s="538"/>
      <c r="N22" s="538"/>
      <c r="O22" s="538"/>
      <c r="P22" s="538"/>
      <c r="Q22" s="538"/>
      <c r="R22" s="538"/>
      <c r="S22" s="24"/>
    </row>
    <row r="23" spans="1:19">
      <c r="A23" s="106" t="s">
        <v>2</v>
      </c>
      <c r="B23" s="34"/>
      <c r="C23" s="34"/>
      <c r="D23" s="547">
        <f ca="1">D15+D19+D20-D21</f>
        <v>219186</v>
      </c>
      <c r="E23" s="547">
        <f ca="1">E15+E19+E20-E21</f>
        <v>221847</v>
      </c>
      <c r="F23" s="547">
        <f t="shared" ref="F23:R23" ca="1" si="7">F15+F19+F20-F21</f>
        <v>235237</v>
      </c>
      <c r="G23" s="547">
        <f t="shared" ca="1" si="7"/>
        <v>261593</v>
      </c>
      <c r="H23" s="548">
        <f t="shared" si="7"/>
        <v>196035</v>
      </c>
      <c r="I23" s="548">
        <f t="shared" si="7"/>
        <v>195768</v>
      </c>
      <c r="J23" s="548">
        <f t="shared" si="7"/>
        <v>221145.76468531476</v>
      </c>
      <c r="K23" s="548">
        <f t="shared" si="7"/>
        <v>231860.1678853147</v>
      </c>
      <c r="L23" s="548">
        <f t="shared" si="7"/>
        <v>239602.2531493147</v>
      </c>
      <c r="M23" s="548">
        <f t="shared" si="7"/>
        <v>248200.9301185947</v>
      </c>
      <c r="N23" s="548">
        <f t="shared" si="7"/>
        <v>257021.00562726022</v>
      </c>
      <c r="O23" s="548">
        <f t="shared" si="7"/>
        <v>266067.91639609914</v>
      </c>
      <c r="P23" s="548">
        <f t="shared" si="7"/>
        <v>275347.25831781491</v>
      </c>
      <c r="Q23" s="548">
        <f t="shared" si="7"/>
        <v>284864.7921623399</v>
      </c>
      <c r="R23" s="548">
        <f t="shared" si="7"/>
        <v>294626.44952234917</v>
      </c>
      <c r="S23" s="24"/>
    </row>
    <row r="24" spans="1:19">
      <c r="D24" s="206"/>
      <c r="E24" s="206"/>
      <c r="F24" s="206"/>
      <c r="G24" s="18"/>
      <c r="H24" s="12"/>
      <c r="I24" s="1">
        <f>+I23-195768</f>
        <v>0</v>
      </c>
      <c r="J24" s="1"/>
      <c r="K24" s="12"/>
      <c r="L24" s="12"/>
      <c r="M24" s="1"/>
      <c r="N24" s="1"/>
      <c r="O24" s="1"/>
      <c r="P24" s="1"/>
      <c r="Q24" s="1"/>
      <c r="R24" s="1"/>
      <c r="S24" s="24"/>
    </row>
    <row r="25" spans="1:19">
      <c r="A25" s="284" t="s">
        <v>296</v>
      </c>
      <c r="D25" s="206"/>
      <c r="E25" s="206"/>
      <c r="F25" s="206"/>
      <c r="G25" s="18"/>
      <c r="H25" s="12"/>
      <c r="I25" s="1"/>
      <c r="J25" s="1"/>
      <c r="K25" s="12"/>
      <c r="L25" s="12"/>
      <c r="M25" s="1"/>
      <c r="N25" s="1"/>
      <c r="O25" s="1"/>
      <c r="P25" s="1"/>
      <c r="Q25" s="1"/>
      <c r="R25" s="1"/>
      <c r="S25" s="24"/>
    </row>
    <row r="26" spans="1:19">
      <c r="A26" s="793" t="s">
        <v>3</v>
      </c>
      <c r="D26" s="785">
        <f ca="1">$B$28*(D15+D19+D20-D134)</f>
        <v>50289.855000000003</v>
      </c>
      <c r="E26" s="785">
        <f ca="1">$B$28*(E15+E19+E20-E134)</f>
        <v>54094.04</v>
      </c>
      <c r="F26" s="785">
        <f ca="1">$B$28*(F15+F19+F20-F134)</f>
        <v>75014.17</v>
      </c>
      <c r="G26" s="785">
        <f ca="1">$B$28*(G15+G19+G20-G134)</f>
        <v>81197.27</v>
      </c>
      <c r="H26" s="786">
        <f>$B$28*(H15+H19+H20-H134)</f>
        <v>45069.582249999992</v>
      </c>
      <c r="I26" s="786">
        <f t="shared" ref="I26:R26" si="8">$B$28*(I15+I19+I20-I134)</f>
        <v>44077.931974999992</v>
      </c>
      <c r="J26" s="786">
        <f t="shared" si="8"/>
        <v>56019.038531346181</v>
      </c>
      <c r="K26" s="786">
        <f t="shared" si="8"/>
        <v>58279.589978346165</v>
      </c>
      <c r="L26" s="786">
        <f t="shared" si="8"/>
        <v>70866.130738986161</v>
      </c>
      <c r="M26" s="786">
        <f t="shared" si="8"/>
        <v>73372.305436658964</v>
      </c>
      <c r="N26" s="786">
        <f t="shared" si="8"/>
        <v>76025.992860995189</v>
      </c>
      <c r="O26" s="786">
        <f t="shared" si="8"/>
        <v>78719.912192498188</v>
      </c>
      <c r="P26" s="786">
        <f t="shared" si="8"/>
        <v>91984.177907858757</v>
      </c>
      <c r="Q26" s="786">
        <f t="shared" si="8"/>
        <v>94734.149919000876</v>
      </c>
      <c r="R26" s="786">
        <f t="shared" si="8"/>
        <v>97576.010771604444</v>
      </c>
      <c r="S26" s="24"/>
    </row>
    <row r="27" spans="1:19">
      <c r="A27" s="579" t="s">
        <v>4</v>
      </c>
      <c r="D27" s="668">
        <f ca="1">D28-D26</f>
        <v>34096.754999999997</v>
      </c>
      <c r="E27" s="668">
        <f ca="1">E28-E26</f>
        <v>31317.055</v>
      </c>
      <c r="F27" s="668">
        <f t="shared" ref="F27:R27" ca="1" si="9">F28-F26</f>
        <v>15552.074999999997</v>
      </c>
      <c r="G27" s="668">
        <f t="shared" ca="1" si="9"/>
        <v>19516.035000000003</v>
      </c>
      <c r="H27" s="434">
        <f t="shared" si="9"/>
        <v>30403.892750000014</v>
      </c>
      <c r="I27" s="434">
        <f t="shared" si="9"/>
        <v>31292.748025000015</v>
      </c>
      <c r="J27" s="434">
        <f t="shared" si="9"/>
        <v>29122.080872500002</v>
      </c>
      <c r="K27" s="434">
        <f t="shared" si="9"/>
        <v>30986.574657499994</v>
      </c>
      <c r="L27" s="434">
        <f t="shared" si="9"/>
        <v>21380.736723499998</v>
      </c>
      <c r="M27" s="434">
        <f t="shared" si="9"/>
        <v>22185.052658999994</v>
      </c>
      <c r="N27" s="434">
        <f t="shared" si="9"/>
        <v>22927.094305499995</v>
      </c>
      <c r="O27" s="434">
        <f t="shared" si="9"/>
        <v>23716.235619999978</v>
      </c>
      <c r="P27" s="434">
        <f t="shared" si="9"/>
        <v>14024.516544499988</v>
      </c>
      <c r="Q27" s="434">
        <f t="shared" si="9"/>
        <v>14938.795063499987</v>
      </c>
      <c r="R27" s="434">
        <f t="shared" si="9"/>
        <v>15855.172294499993</v>
      </c>
      <c r="S27" s="24"/>
    </row>
    <row r="28" spans="1:19">
      <c r="A28" s="67" t="s">
        <v>297</v>
      </c>
      <c r="B28" s="664">
        <f>Assumptions!D10</f>
        <v>0.38500000000000001</v>
      </c>
      <c r="D28" s="565">
        <f t="shared" ref="D28:I28" ca="1" si="10">D23*$B$28</f>
        <v>84386.61</v>
      </c>
      <c r="E28" s="565">
        <f t="shared" ca="1" si="10"/>
        <v>85411.095000000001</v>
      </c>
      <c r="F28" s="565">
        <f t="shared" ca="1" si="10"/>
        <v>90566.244999999995</v>
      </c>
      <c r="G28" s="565">
        <f t="shared" ca="1" si="10"/>
        <v>100713.30500000001</v>
      </c>
      <c r="H28" s="566">
        <f t="shared" si="10"/>
        <v>75473.475000000006</v>
      </c>
      <c r="I28" s="615">
        <f t="shared" si="10"/>
        <v>75370.680000000008</v>
      </c>
      <c r="J28" s="615">
        <f t="shared" ref="J28:R28" si="11">J23*$B$28</f>
        <v>85141.119403846184</v>
      </c>
      <c r="K28" s="615">
        <f t="shared" si="11"/>
        <v>89266.164635846158</v>
      </c>
      <c r="L28" s="615">
        <f t="shared" si="11"/>
        <v>92246.86746248616</v>
      </c>
      <c r="M28" s="615">
        <f t="shared" si="11"/>
        <v>95557.358095658958</v>
      </c>
      <c r="N28" s="615">
        <f t="shared" si="11"/>
        <v>98953.087166495185</v>
      </c>
      <c r="O28" s="615">
        <f t="shared" si="11"/>
        <v>102436.14781249817</v>
      </c>
      <c r="P28" s="615">
        <f t="shared" si="11"/>
        <v>106008.69445235874</v>
      </c>
      <c r="Q28" s="615">
        <f t="shared" si="11"/>
        <v>109672.94498250086</v>
      </c>
      <c r="R28" s="615">
        <f t="shared" si="11"/>
        <v>113431.18306610444</v>
      </c>
      <c r="S28" s="24"/>
    </row>
    <row r="29" spans="1:19">
      <c r="A29" s="1"/>
      <c r="B29" s="23"/>
      <c r="D29" s="575"/>
      <c r="E29" s="575"/>
      <c r="F29" s="575"/>
      <c r="G29" s="537"/>
      <c r="H29" s="576"/>
      <c r="I29" s="538"/>
      <c r="J29" s="538"/>
      <c r="K29" s="576"/>
      <c r="L29" s="576"/>
      <c r="M29" s="538"/>
      <c r="N29" s="538"/>
      <c r="O29" s="538"/>
      <c r="P29" s="538"/>
      <c r="Q29" s="538"/>
      <c r="R29" s="538"/>
      <c r="S29" s="24"/>
    </row>
    <row r="30" spans="1:19">
      <c r="A30" s="580" t="s">
        <v>13</v>
      </c>
      <c r="B30" s="227"/>
      <c r="C30" s="34"/>
      <c r="D30" s="547">
        <f t="shared" ref="D30:R30" ca="1" si="12">D23-D28</f>
        <v>134799.39000000001</v>
      </c>
      <c r="E30" s="547">
        <f t="shared" ca="1" si="12"/>
        <v>136435.905</v>
      </c>
      <c r="F30" s="547">
        <f t="shared" ca="1" si="12"/>
        <v>144670.755</v>
      </c>
      <c r="G30" s="547">
        <f t="shared" ca="1" si="12"/>
        <v>160879.69500000001</v>
      </c>
      <c r="H30" s="548">
        <f t="shared" si="12"/>
        <v>120561.52499999999</v>
      </c>
      <c r="I30" s="548">
        <f t="shared" si="12"/>
        <v>120397.31999999999</v>
      </c>
      <c r="J30" s="548">
        <f t="shared" si="12"/>
        <v>136004.64528146858</v>
      </c>
      <c r="K30" s="548">
        <f t="shared" si="12"/>
        <v>142594.00324946854</v>
      </c>
      <c r="L30" s="548">
        <f t="shared" si="12"/>
        <v>147355.38568682852</v>
      </c>
      <c r="M30" s="548">
        <f t="shared" si="12"/>
        <v>152643.57202293572</v>
      </c>
      <c r="N30" s="548">
        <f t="shared" si="12"/>
        <v>158067.91846076504</v>
      </c>
      <c r="O30" s="548">
        <f t="shared" si="12"/>
        <v>163631.76858360099</v>
      </c>
      <c r="P30" s="548">
        <f t="shared" si="12"/>
        <v>169338.56386545615</v>
      </c>
      <c r="Q30" s="548">
        <f t="shared" si="12"/>
        <v>175191.84717983904</v>
      </c>
      <c r="R30" s="548">
        <f t="shared" si="12"/>
        <v>181195.26645624475</v>
      </c>
      <c r="S30" s="19" t="s">
        <v>1</v>
      </c>
    </row>
    <row r="31" spans="1:19">
      <c r="A31" s="2"/>
      <c r="B31" s="23"/>
      <c r="D31" s="206"/>
      <c r="E31" s="206"/>
      <c r="F31" s="206"/>
      <c r="G31" s="18"/>
      <c r="H31" s="12"/>
      <c r="I31" s="1"/>
      <c r="J31" s="1"/>
      <c r="K31" s="12"/>
      <c r="L31" s="12"/>
      <c r="M31" s="1"/>
      <c r="N31" s="1"/>
      <c r="O31" s="1"/>
      <c r="P31" s="1"/>
      <c r="Q31" s="1"/>
      <c r="R31" s="1"/>
      <c r="S31" s="19" t="s">
        <v>42</v>
      </c>
    </row>
    <row r="32" spans="1:19">
      <c r="A32" s="69" t="s">
        <v>298</v>
      </c>
      <c r="B32" s="23"/>
      <c r="D32" s="581">
        <f t="shared" ref="D32:R32" ca="1" si="13">D30+D27+D21</f>
        <v>257459.14500000002</v>
      </c>
      <c r="E32" s="581">
        <f t="shared" ca="1" si="13"/>
        <v>249095.96</v>
      </c>
      <c r="F32" s="581">
        <f t="shared" ca="1" si="13"/>
        <v>200617.83000000002</v>
      </c>
      <c r="G32" s="581">
        <f t="shared" ca="1" si="13"/>
        <v>231086.73</v>
      </c>
      <c r="H32" s="217">
        <f t="shared" si="13"/>
        <v>212544.41775000002</v>
      </c>
      <c r="I32" s="539">
        <f t="shared" si="13"/>
        <v>218463.06802500002</v>
      </c>
      <c r="J32" s="539">
        <f t="shared" si="13"/>
        <v>218469.75615396857</v>
      </c>
      <c r="K32" s="217">
        <f t="shared" si="13"/>
        <v>228386.10790696854</v>
      </c>
      <c r="L32" s="217">
        <f t="shared" si="13"/>
        <v>225004.15241032853</v>
      </c>
      <c r="M32" s="539">
        <f t="shared" si="13"/>
        <v>232559.1546819357</v>
      </c>
      <c r="N32" s="539">
        <f t="shared" si="13"/>
        <v>240188.04276626502</v>
      </c>
      <c r="O32" s="539">
        <f t="shared" si="13"/>
        <v>248003.53420360098</v>
      </c>
      <c r="P32" s="539">
        <f t="shared" si="13"/>
        <v>245481.11040995613</v>
      </c>
      <c r="Q32" s="539">
        <f t="shared" si="13"/>
        <v>253711.17224333904</v>
      </c>
      <c r="R32" s="539">
        <f t="shared" si="13"/>
        <v>262093.46875074474</v>
      </c>
      <c r="S32" s="19" t="s">
        <v>43</v>
      </c>
    </row>
    <row r="33" spans="1:19">
      <c r="A33" s="69" t="s">
        <v>17</v>
      </c>
      <c r="B33" s="101"/>
      <c r="D33" s="18">
        <f>D107</f>
        <v>197477</v>
      </c>
      <c r="E33" s="18">
        <f>E107</f>
        <v>157057</v>
      </c>
      <c r="F33" s="18">
        <f>F107</f>
        <v>111491</v>
      </c>
      <c r="G33" s="18">
        <f>G107</f>
        <v>67137</v>
      </c>
      <c r="H33" s="217">
        <f>H107</f>
        <v>89631</v>
      </c>
      <c r="I33" s="217">
        <f t="shared" ref="I33:R33" si="14">I107</f>
        <v>99500</v>
      </c>
      <c r="J33" s="217">
        <f t="shared" si="14"/>
        <v>65000</v>
      </c>
      <c r="K33" s="217">
        <f t="shared" si="14"/>
        <v>65000</v>
      </c>
      <c r="L33" s="217">
        <f t="shared" si="14"/>
        <v>65000</v>
      </c>
      <c r="M33" s="217">
        <f t="shared" si="14"/>
        <v>65000</v>
      </c>
      <c r="N33" s="217">
        <f t="shared" si="14"/>
        <v>65000</v>
      </c>
      <c r="O33" s="217">
        <f t="shared" si="14"/>
        <v>65000</v>
      </c>
      <c r="P33" s="217">
        <f t="shared" si="14"/>
        <v>65000</v>
      </c>
      <c r="Q33" s="217">
        <f t="shared" si="14"/>
        <v>65000</v>
      </c>
      <c r="R33" s="217">
        <f t="shared" si="14"/>
        <v>65000</v>
      </c>
      <c r="S33" s="583"/>
    </row>
    <row r="34" spans="1:19">
      <c r="A34" s="2"/>
      <c r="B34" s="101"/>
      <c r="D34" s="18"/>
      <c r="E34" s="18"/>
      <c r="F34" s="18"/>
      <c r="G34" s="18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03"/>
    </row>
    <row r="35" spans="1:19" ht="27.75" customHeight="1" thickBot="1">
      <c r="A35" s="661" t="s">
        <v>333</v>
      </c>
      <c r="B35" s="582"/>
      <c r="C35" s="582"/>
      <c r="D35" s="584">
        <f ca="1">D32-D33</f>
        <v>59982.145000000019</v>
      </c>
      <c r="E35" s="584">
        <f ca="1">E32-E33</f>
        <v>92038.959999999992</v>
      </c>
      <c r="F35" s="584">
        <f ca="1">F32-F33</f>
        <v>89126.830000000016</v>
      </c>
      <c r="G35" s="584">
        <f t="shared" ref="G35:Q35" ca="1" si="15">G32-G33</f>
        <v>163949.73000000001</v>
      </c>
      <c r="H35" s="585">
        <f t="shared" si="15"/>
        <v>122913.41775000002</v>
      </c>
      <c r="I35" s="585">
        <f t="shared" si="15"/>
        <v>118963.06802500002</v>
      </c>
      <c r="J35" s="585">
        <f t="shared" si="15"/>
        <v>153469.75615396857</v>
      </c>
      <c r="K35" s="585">
        <f t="shared" si="15"/>
        <v>163386.10790696854</v>
      </c>
      <c r="L35" s="585">
        <f t="shared" si="15"/>
        <v>160004.15241032853</v>
      </c>
      <c r="M35" s="585">
        <f t="shared" si="15"/>
        <v>167559.1546819357</v>
      </c>
      <c r="N35" s="585">
        <f t="shared" si="15"/>
        <v>175188.04276626502</v>
      </c>
      <c r="O35" s="585">
        <f t="shared" si="15"/>
        <v>183003.53420360098</v>
      </c>
      <c r="P35" s="585">
        <f t="shared" si="15"/>
        <v>180481.11040995613</v>
      </c>
      <c r="Q35" s="585">
        <f t="shared" si="15"/>
        <v>188711.17224333904</v>
      </c>
      <c r="R35" s="585">
        <f>R32-R33+S35</f>
        <v>3146604.7844518875</v>
      </c>
      <c r="S35" s="857">
        <f>R15*S37</f>
        <v>2949511.3157011429</v>
      </c>
    </row>
    <row r="36" spans="1:19" ht="13.5" thickTop="1">
      <c r="A36" s="641"/>
      <c r="B36" s="34"/>
      <c r="C36" s="34"/>
      <c r="D36" s="34"/>
      <c r="E36" s="548"/>
      <c r="F36" s="548"/>
      <c r="G36" s="548"/>
      <c r="H36" s="548"/>
      <c r="I36" s="548"/>
      <c r="J36" s="548"/>
      <c r="K36" s="548"/>
      <c r="L36" s="548"/>
      <c r="M36" s="548"/>
      <c r="N36" s="548"/>
      <c r="O36" s="548"/>
      <c r="P36" s="548"/>
      <c r="Q36" s="548"/>
      <c r="R36" s="548"/>
      <c r="S36" s="195"/>
    </row>
    <row r="37" spans="1:19">
      <c r="A37" s="641"/>
      <c r="B37" s="34"/>
      <c r="C37" s="34"/>
      <c r="D37" s="34"/>
      <c r="E37" s="548"/>
      <c r="F37" s="548"/>
      <c r="G37" s="548"/>
      <c r="H37" s="548"/>
      <c r="I37" s="548"/>
      <c r="J37" s="548"/>
      <c r="K37" s="548"/>
      <c r="L37" s="548"/>
      <c r="M37" s="548"/>
      <c r="N37" s="548"/>
      <c r="O37" s="548"/>
      <c r="P37" s="548"/>
      <c r="Q37" s="548"/>
      <c r="R37" s="548"/>
      <c r="S37" s="592">
        <f>Scenarios!C5</f>
        <v>9</v>
      </c>
    </row>
    <row r="38" spans="1:19">
      <c r="A38" s="641"/>
      <c r="B38" s="34"/>
      <c r="C38" s="34"/>
      <c r="D38" s="34"/>
      <c r="E38" s="548"/>
      <c r="F38" s="548"/>
      <c r="G38" s="548"/>
      <c r="H38" s="548"/>
      <c r="I38" s="548"/>
      <c r="J38" s="548"/>
      <c r="K38" s="548"/>
      <c r="L38" s="548"/>
      <c r="M38" s="548"/>
      <c r="N38" s="548"/>
      <c r="O38" s="548"/>
      <c r="P38" s="548"/>
      <c r="Q38" s="548"/>
      <c r="R38" s="548"/>
      <c r="S38" s="591" t="s">
        <v>302</v>
      </c>
    </row>
    <row r="39" spans="1:19" ht="13.5" thickBot="1">
      <c r="M39" s="48"/>
    </row>
    <row r="40" spans="1:19" ht="15">
      <c r="G40"/>
      <c r="H40" s="145" t="s">
        <v>10</v>
      </c>
      <c r="I40" s="146" t="str">
        <f>(Assumptions!D8-1&amp;" EBITDA")</f>
        <v>2001 EBITDA</v>
      </c>
      <c r="J40" s="146" t="s">
        <v>44</v>
      </c>
      <c r="K40" s="147"/>
      <c r="L40" s="1028" t="s">
        <v>11</v>
      </c>
      <c r="M40" s="1028"/>
      <c r="N40" s="1029"/>
      <c r="Q40" s="1"/>
      <c r="R40" s="1"/>
    </row>
    <row r="41" spans="1:19" ht="15">
      <c r="G41"/>
      <c r="H41" s="148" t="s">
        <v>12</v>
      </c>
      <c r="I41" s="149" t="s">
        <v>18</v>
      </c>
      <c r="J41" s="149" t="s">
        <v>45</v>
      </c>
      <c r="K41" s="150"/>
      <c r="L41" s="151">
        <f>Asset3Drate-0.025</f>
        <v>4.9999999999999996E-2</v>
      </c>
      <c r="M41" s="599">
        <f>Scenarios!C6</f>
        <v>7.4999999999999997E-2</v>
      </c>
      <c r="N41" s="152">
        <f>Asset3Drate+0.025</f>
        <v>0.1</v>
      </c>
      <c r="Q41" s="1"/>
      <c r="R41" s="1"/>
    </row>
    <row r="42" spans="1:19">
      <c r="G42" s="8" t="s">
        <v>16</v>
      </c>
      <c r="H42" s="153"/>
      <c r="I42" s="154"/>
      <c r="J42" s="154"/>
      <c r="K42" s="143"/>
      <c r="L42" s="143"/>
      <c r="M42" s="143"/>
      <c r="N42" s="155"/>
      <c r="Q42" s="1"/>
      <c r="R42" s="1"/>
    </row>
    <row r="43" spans="1:19" ht="13.5" thickBot="1">
      <c r="G43">
        <f>IF(ABS(H43-M43)&lt;0.05,0,1)</f>
        <v>0</v>
      </c>
      <c r="H43" s="181">
        <v>2561670.7620694125</v>
      </c>
      <c r="I43" s="182">
        <f>H43/H15</f>
        <v>10.796892700284129</v>
      </c>
      <c r="J43" s="183"/>
      <c r="K43" s="184"/>
      <c r="L43" s="676">
        <f>NPV(L41,$I$35:$R$35)</f>
        <v>3092890.8248855765</v>
      </c>
      <c r="M43" s="676">
        <f>NPV(M41,$I$35:$R$35)</f>
        <v>2561670.7620694125</v>
      </c>
      <c r="N43" s="180">
        <f>NPV(N41,$I$35:$R$35)</f>
        <v>2141242.1151116192</v>
      </c>
      <c r="Q43" s="1"/>
      <c r="R43" s="1"/>
      <c r="S43" s="1"/>
    </row>
    <row r="44" spans="1:19">
      <c r="G44"/>
      <c r="H44" s="12"/>
      <c r="I44" s="144"/>
      <c r="J44" s="144"/>
      <c r="K44" s="12"/>
      <c r="L44" s="674"/>
      <c r="M44" s="675"/>
      <c r="N44" s="70"/>
      <c r="Q44" s="1"/>
      <c r="R44" s="1"/>
      <c r="S44" s="1"/>
    </row>
    <row r="45" spans="1:19">
      <c r="G45" s="12"/>
      <c r="H45" s="1"/>
      <c r="I45" s="1"/>
      <c r="J45" s="1"/>
      <c r="K45" s="1"/>
      <c r="L45" s="674"/>
      <c r="M45" s="70"/>
      <c r="O45" s="1"/>
      <c r="P45" s="1"/>
      <c r="Q45" s="1"/>
      <c r="R45" s="1"/>
    </row>
    <row r="46" spans="1:19">
      <c r="E46" s="12"/>
      <c r="F46" s="12"/>
      <c r="G46" s="12"/>
      <c r="H46" s="12"/>
      <c r="I46" s="12"/>
      <c r="J46" s="24"/>
      <c r="K46" s="24"/>
      <c r="L46" s="24"/>
      <c r="M46" s="24"/>
      <c r="N46" s="24"/>
      <c r="O46" s="24"/>
      <c r="P46" s="24"/>
      <c r="Q46" s="24"/>
      <c r="R46" s="24"/>
    </row>
    <row r="47" spans="1:19" ht="15.75">
      <c r="A47" s="483" t="s">
        <v>47</v>
      </c>
      <c r="B47" s="379"/>
      <c r="C47" s="379"/>
      <c r="D47" s="379"/>
      <c r="E47" s="379"/>
      <c r="F47" s="379"/>
      <c r="G47" s="379"/>
      <c r="H47" s="379"/>
      <c r="I47" s="379"/>
      <c r="J47" s="379"/>
      <c r="K47" s="379"/>
      <c r="L47" s="379"/>
      <c r="M47" s="379"/>
      <c r="N47" s="379"/>
      <c r="O47" s="379"/>
      <c r="P47" s="379"/>
      <c r="Q47" s="379"/>
      <c r="R47" s="379"/>
      <c r="S47" s="24"/>
    </row>
    <row r="48" spans="1:19">
      <c r="E48" s="480"/>
      <c r="F48" s="480"/>
      <c r="G48" s="323"/>
      <c r="H48" s="309" t="s">
        <v>203</v>
      </c>
      <c r="I48" s="328"/>
      <c r="J48" s="323"/>
      <c r="K48" s="323"/>
      <c r="L48" s="246"/>
      <c r="M48" s="323"/>
      <c r="N48" s="246"/>
      <c r="O48" s="246"/>
      <c r="P48" s="246"/>
      <c r="Q48" s="246"/>
      <c r="R48" s="292"/>
      <c r="S48" s="24"/>
    </row>
    <row r="49" spans="1:19">
      <c r="D49" s="387">
        <v>1997</v>
      </c>
      <c r="E49" s="256">
        <v>1998</v>
      </c>
      <c r="F49" s="256">
        <v>1999</v>
      </c>
      <c r="G49" s="256">
        <v>2000</v>
      </c>
      <c r="H49" s="256">
        <v>2001</v>
      </c>
      <c r="I49" s="289">
        <v>2002</v>
      </c>
      <c r="J49" s="289">
        <v>2003</v>
      </c>
      <c r="K49" s="289">
        <v>2004</v>
      </c>
      <c r="L49" s="289">
        <v>2005</v>
      </c>
      <c r="M49" s="289">
        <v>2006</v>
      </c>
      <c r="N49" s="293">
        <v>2007</v>
      </c>
      <c r="O49" s="293">
        <v>2008</v>
      </c>
      <c r="P49" s="293">
        <v>2009</v>
      </c>
      <c r="Q49" s="293">
        <v>2010</v>
      </c>
      <c r="R49" s="654">
        <v>2011</v>
      </c>
      <c r="S49" s="24"/>
    </row>
    <row r="50" spans="1:19">
      <c r="B50" s="39" t="s">
        <v>57</v>
      </c>
      <c r="C50" s="310"/>
      <c r="D50" s="31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4"/>
    </row>
    <row r="51" spans="1:19">
      <c r="A51" s="6" t="s">
        <v>321</v>
      </c>
      <c r="B51" s="671">
        <v>0</v>
      </c>
      <c r="C51" s="310"/>
      <c r="D51" s="540"/>
      <c r="E51" s="540">
        <f>$B$51*2606</f>
        <v>0</v>
      </c>
      <c r="F51" s="540">
        <f>$B$51*2667</f>
        <v>0</v>
      </c>
      <c r="G51" s="540">
        <f>$B$51*2676</f>
        <v>0</v>
      </c>
      <c r="H51" s="781">
        <f>$B$51*2*1289</f>
        <v>0</v>
      </c>
      <c r="I51" s="669">
        <f t="shared" ref="I51:R51" si="16">H51*I62</f>
        <v>0</v>
      </c>
      <c r="J51" s="669">
        <f t="shared" si="16"/>
        <v>0</v>
      </c>
      <c r="K51" s="669">
        <f t="shared" si="16"/>
        <v>0</v>
      </c>
      <c r="L51" s="669">
        <f t="shared" si="16"/>
        <v>0</v>
      </c>
      <c r="M51" s="669">
        <f t="shared" si="16"/>
        <v>0</v>
      </c>
      <c r="N51" s="669">
        <f t="shared" si="16"/>
        <v>0</v>
      </c>
      <c r="O51" s="669">
        <f t="shared" si="16"/>
        <v>0</v>
      </c>
      <c r="P51" s="669">
        <f t="shared" si="16"/>
        <v>0</v>
      </c>
      <c r="Q51" s="669">
        <f t="shared" si="16"/>
        <v>0</v>
      </c>
      <c r="R51" s="669">
        <f t="shared" si="16"/>
        <v>0</v>
      </c>
      <c r="S51" s="24"/>
    </row>
    <row r="52" spans="1:19">
      <c r="A52" s="636" t="s">
        <v>322</v>
      </c>
      <c r="B52" s="671">
        <v>0</v>
      </c>
      <c r="C52" s="310"/>
      <c r="D52" s="540"/>
      <c r="E52" s="540">
        <f>$B$52*1051</f>
        <v>0</v>
      </c>
      <c r="F52" s="540">
        <f>$B$52*1156</f>
        <v>0</v>
      </c>
      <c r="G52" s="540">
        <f>$B$52*1196</f>
        <v>0</v>
      </c>
      <c r="H52" s="781">
        <f>$B$52*2*779</f>
        <v>0</v>
      </c>
      <c r="I52" s="669">
        <f t="shared" ref="I52:R58" si="17">H52*I63</f>
        <v>0</v>
      </c>
      <c r="J52" s="669">
        <f t="shared" si="17"/>
        <v>0</v>
      </c>
      <c r="K52" s="669">
        <f t="shared" si="17"/>
        <v>0</v>
      </c>
      <c r="L52" s="669">
        <f t="shared" si="17"/>
        <v>0</v>
      </c>
      <c r="M52" s="669">
        <f t="shared" si="17"/>
        <v>0</v>
      </c>
      <c r="N52" s="669">
        <f t="shared" si="17"/>
        <v>0</v>
      </c>
      <c r="O52" s="669">
        <f t="shared" si="17"/>
        <v>0</v>
      </c>
      <c r="P52" s="669">
        <f t="shared" si="17"/>
        <v>0</v>
      </c>
      <c r="Q52" s="669">
        <f t="shared" si="17"/>
        <v>0</v>
      </c>
      <c r="R52" s="669">
        <f t="shared" si="17"/>
        <v>0</v>
      </c>
      <c r="S52" s="24"/>
    </row>
    <row r="53" spans="1:19">
      <c r="A53" s="636" t="s">
        <v>323</v>
      </c>
      <c r="B53" s="671">
        <v>1</v>
      </c>
      <c r="C53" s="310"/>
      <c r="D53" s="646">
        <v>495308</v>
      </c>
      <c r="E53" s="646">
        <v>480386</v>
      </c>
      <c r="F53" s="646">
        <v>449413</v>
      </c>
      <c r="G53" s="646">
        <v>445491</v>
      </c>
      <c r="H53" s="669">
        <v>453439</v>
      </c>
      <c r="I53" s="669">
        <v>442358</v>
      </c>
      <c r="J53" s="669">
        <f t="shared" si="17"/>
        <v>451205.16000000003</v>
      </c>
      <c r="K53" s="669">
        <f t="shared" si="17"/>
        <v>460229.26320000004</v>
      </c>
      <c r="L53" s="669">
        <f t="shared" si="17"/>
        <v>469433.84846400004</v>
      </c>
      <c r="M53" s="669">
        <f t="shared" si="17"/>
        <v>478822.52543328004</v>
      </c>
      <c r="N53" s="669">
        <f t="shared" si="17"/>
        <v>488398.97594194562</v>
      </c>
      <c r="O53" s="669">
        <f t="shared" si="17"/>
        <v>498166.95546078455</v>
      </c>
      <c r="P53" s="669">
        <f t="shared" si="17"/>
        <v>508130.29457000026</v>
      </c>
      <c r="Q53" s="669">
        <f t="shared" si="17"/>
        <v>518292.90046140028</v>
      </c>
      <c r="R53" s="669">
        <f t="shared" si="17"/>
        <v>528658.75847062829</v>
      </c>
      <c r="S53" s="24"/>
    </row>
    <row r="54" spans="1:19">
      <c r="A54" s="6" t="s">
        <v>324</v>
      </c>
      <c r="B54" s="671">
        <v>0</v>
      </c>
      <c r="C54" s="310"/>
      <c r="D54" s="540"/>
      <c r="E54" s="540">
        <f>$B$54*277</f>
        <v>0</v>
      </c>
      <c r="F54" s="540">
        <f>$B$54*390</f>
        <v>0</v>
      </c>
      <c r="G54" s="540">
        <f>$B$54*500</f>
        <v>0</v>
      </c>
      <c r="H54" s="781">
        <f>$B$54*2*216</f>
        <v>0</v>
      </c>
      <c r="I54" s="669">
        <f t="shared" si="17"/>
        <v>0</v>
      </c>
      <c r="J54" s="669">
        <f t="shared" si="17"/>
        <v>0</v>
      </c>
      <c r="K54" s="669">
        <f t="shared" si="17"/>
        <v>0</v>
      </c>
      <c r="L54" s="669">
        <f t="shared" si="17"/>
        <v>0</v>
      </c>
      <c r="M54" s="669">
        <f t="shared" si="17"/>
        <v>0</v>
      </c>
      <c r="N54" s="669">
        <f t="shared" si="17"/>
        <v>0</v>
      </c>
      <c r="O54" s="669">
        <f t="shared" si="17"/>
        <v>0</v>
      </c>
      <c r="P54" s="669">
        <f t="shared" si="17"/>
        <v>0</v>
      </c>
      <c r="Q54" s="669">
        <f t="shared" si="17"/>
        <v>0</v>
      </c>
      <c r="R54" s="669">
        <f t="shared" si="17"/>
        <v>0</v>
      </c>
      <c r="S54" s="24"/>
    </row>
    <row r="55" spans="1:19">
      <c r="A55" s="6" t="s">
        <v>334</v>
      </c>
      <c r="B55" s="671">
        <v>0</v>
      </c>
      <c r="C55" s="310"/>
      <c r="D55" s="540"/>
      <c r="E55" s="540">
        <f>$B$55*63</f>
        <v>0</v>
      </c>
      <c r="F55" s="540">
        <f>$B$55*98</f>
        <v>0</v>
      </c>
      <c r="G55" s="540">
        <f>$B$55*131</f>
        <v>0</v>
      </c>
      <c r="H55" s="781">
        <f>$B$55*2*96</f>
        <v>0</v>
      </c>
      <c r="I55" s="669">
        <f t="shared" si="17"/>
        <v>0</v>
      </c>
      <c r="J55" s="669">
        <f t="shared" si="17"/>
        <v>0</v>
      </c>
      <c r="K55" s="669">
        <f t="shared" si="17"/>
        <v>0</v>
      </c>
      <c r="L55" s="669">
        <f t="shared" si="17"/>
        <v>0</v>
      </c>
      <c r="M55" s="669">
        <f t="shared" si="17"/>
        <v>0</v>
      </c>
      <c r="N55" s="669">
        <f t="shared" si="17"/>
        <v>0</v>
      </c>
      <c r="O55" s="669">
        <f t="shared" si="17"/>
        <v>0</v>
      </c>
      <c r="P55" s="669">
        <f t="shared" si="17"/>
        <v>0</v>
      </c>
      <c r="Q55" s="669">
        <f t="shared" si="17"/>
        <v>0</v>
      </c>
      <c r="R55" s="669">
        <f t="shared" si="17"/>
        <v>0</v>
      </c>
      <c r="S55" s="24"/>
    </row>
    <row r="56" spans="1:19">
      <c r="A56" s="636" t="s">
        <v>466</v>
      </c>
      <c r="B56" s="671">
        <v>1</v>
      </c>
      <c r="C56" s="310"/>
      <c r="D56" s="540">
        <v>6453</v>
      </c>
      <c r="E56" s="540">
        <v>6658</v>
      </c>
      <c r="F56" s="540">
        <v>38611</v>
      </c>
      <c r="G56" s="540">
        <v>55877</v>
      </c>
      <c r="H56" s="669">
        <v>33283</v>
      </c>
      <c r="I56" s="669">
        <f>+H56</f>
        <v>33283</v>
      </c>
      <c r="J56" s="669">
        <f t="shared" si="17"/>
        <v>33283</v>
      </c>
      <c r="K56" s="669">
        <f t="shared" si="17"/>
        <v>33283</v>
      </c>
      <c r="L56" s="669">
        <f t="shared" si="17"/>
        <v>33283</v>
      </c>
      <c r="M56" s="669">
        <f t="shared" si="17"/>
        <v>33283</v>
      </c>
      <c r="N56" s="669">
        <f t="shared" si="17"/>
        <v>33283</v>
      </c>
      <c r="O56" s="669">
        <f t="shared" si="17"/>
        <v>33283</v>
      </c>
      <c r="P56" s="669">
        <f t="shared" si="17"/>
        <v>33283</v>
      </c>
      <c r="Q56" s="669">
        <f t="shared" si="17"/>
        <v>33283</v>
      </c>
      <c r="R56" s="669">
        <f t="shared" si="17"/>
        <v>33283</v>
      </c>
      <c r="S56" s="24"/>
    </row>
    <row r="57" spans="1:19">
      <c r="A57" s="636" t="s">
        <v>326</v>
      </c>
      <c r="B57" s="671">
        <v>0</v>
      </c>
      <c r="C57" s="310"/>
      <c r="D57" s="540"/>
      <c r="E57" s="540">
        <f>$B$57*30</f>
        <v>0</v>
      </c>
      <c r="F57" s="540">
        <f>$B$57*177</f>
        <v>0</v>
      </c>
      <c r="G57" s="540">
        <f>$B$57*265</f>
        <v>0</v>
      </c>
      <c r="H57" s="781">
        <f>$B$57*2*72</f>
        <v>0</v>
      </c>
      <c r="I57" s="669">
        <f t="shared" si="17"/>
        <v>0</v>
      </c>
      <c r="J57" s="669">
        <f t="shared" si="17"/>
        <v>0</v>
      </c>
      <c r="K57" s="669">
        <f t="shared" si="17"/>
        <v>0</v>
      </c>
      <c r="L57" s="669">
        <f t="shared" si="17"/>
        <v>0</v>
      </c>
      <c r="M57" s="669">
        <f t="shared" si="17"/>
        <v>0</v>
      </c>
      <c r="N57" s="669">
        <f t="shared" si="17"/>
        <v>0</v>
      </c>
      <c r="O57" s="669">
        <f t="shared" si="17"/>
        <v>0</v>
      </c>
      <c r="P57" s="669">
        <f t="shared" si="17"/>
        <v>0</v>
      </c>
      <c r="Q57" s="669">
        <f t="shared" si="17"/>
        <v>0</v>
      </c>
      <c r="R57" s="669">
        <f t="shared" si="17"/>
        <v>0</v>
      </c>
      <c r="S57" s="24"/>
    </row>
    <row r="58" spans="1:19">
      <c r="A58" s="645" t="s">
        <v>58</v>
      </c>
      <c r="B58" s="672">
        <v>1</v>
      </c>
      <c r="C58" s="652"/>
      <c r="D58" s="546">
        <v>5878</v>
      </c>
      <c r="E58" s="546">
        <v>2873</v>
      </c>
      <c r="F58" s="546">
        <v>3276</v>
      </c>
      <c r="G58" s="546">
        <v>4153</v>
      </c>
      <c r="H58" s="670">
        <v>8429</v>
      </c>
      <c r="I58" s="670">
        <v>13450</v>
      </c>
      <c r="J58" s="670">
        <f t="shared" si="17"/>
        <v>13450</v>
      </c>
      <c r="K58" s="670">
        <f t="shared" si="17"/>
        <v>13450</v>
      </c>
      <c r="L58" s="670">
        <f t="shared" si="17"/>
        <v>13450</v>
      </c>
      <c r="M58" s="670">
        <f t="shared" si="17"/>
        <v>14122.5</v>
      </c>
      <c r="N58" s="670">
        <f t="shared" si="17"/>
        <v>14828.625</v>
      </c>
      <c r="O58" s="670">
        <f t="shared" si="17"/>
        <v>15570.056250000001</v>
      </c>
      <c r="P58" s="670">
        <f t="shared" si="17"/>
        <v>16348.559062500002</v>
      </c>
      <c r="Q58" s="670">
        <f t="shared" si="17"/>
        <v>17165.987015625004</v>
      </c>
      <c r="R58" s="670">
        <f t="shared" si="17"/>
        <v>18024.286366406253</v>
      </c>
      <c r="S58" s="24"/>
    </row>
    <row r="59" spans="1:19">
      <c r="A59" s="551" t="s">
        <v>268</v>
      </c>
      <c r="B59" s="550"/>
      <c r="C59" s="310"/>
      <c r="D59" s="547">
        <f t="shared" ref="D59:R59" si="18">SUM(D51:D58)</f>
        <v>507639</v>
      </c>
      <c r="E59" s="547">
        <f t="shared" si="18"/>
        <v>489917</v>
      </c>
      <c r="F59" s="547">
        <f t="shared" si="18"/>
        <v>491300</v>
      </c>
      <c r="G59" s="547">
        <f t="shared" si="18"/>
        <v>505521</v>
      </c>
      <c r="H59" s="548">
        <f t="shared" si="18"/>
        <v>495151</v>
      </c>
      <c r="I59" s="548">
        <f t="shared" si="18"/>
        <v>489091</v>
      </c>
      <c r="J59" s="548">
        <f t="shared" si="18"/>
        <v>497938.16000000003</v>
      </c>
      <c r="K59" s="548">
        <f t="shared" si="18"/>
        <v>506962.26320000004</v>
      </c>
      <c r="L59" s="548">
        <f t="shared" si="18"/>
        <v>516166.84846400004</v>
      </c>
      <c r="M59" s="548">
        <f t="shared" si="18"/>
        <v>526228.02543328004</v>
      </c>
      <c r="N59" s="548">
        <f t="shared" si="18"/>
        <v>536510.60094194557</v>
      </c>
      <c r="O59" s="548">
        <f t="shared" si="18"/>
        <v>547020.01171078451</v>
      </c>
      <c r="P59" s="548">
        <f t="shared" si="18"/>
        <v>557761.85363250028</v>
      </c>
      <c r="Q59" s="548">
        <f t="shared" si="18"/>
        <v>568741.88747702527</v>
      </c>
      <c r="R59" s="548">
        <f t="shared" si="18"/>
        <v>579966.04483703454</v>
      </c>
      <c r="S59" s="24"/>
    </row>
    <row r="60" spans="1:19">
      <c r="C60" s="310"/>
      <c r="D60" s="310"/>
      <c r="E60" s="549"/>
      <c r="H60" s="72"/>
      <c r="I60" s="72"/>
      <c r="J60" s="72"/>
      <c r="K60" s="78"/>
      <c r="L60" s="78"/>
      <c r="M60" s="72"/>
      <c r="N60" s="72"/>
      <c r="O60" s="72"/>
      <c r="P60" s="72"/>
      <c r="Q60" s="72"/>
      <c r="R60" s="72"/>
      <c r="S60" s="24"/>
    </row>
    <row r="61" spans="1:19" ht="15.75" hidden="1" outlineLevel="1">
      <c r="A61" s="651" t="s">
        <v>327</v>
      </c>
      <c r="B61" s="412"/>
      <c r="C61" s="647"/>
      <c r="D61" s="647"/>
      <c r="E61" s="648"/>
      <c r="F61" s="412"/>
      <c r="G61" s="649"/>
      <c r="H61" s="650"/>
      <c r="I61" s="650"/>
      <c r="J61" s="650"/>
      <c r="K61" s="650"/>
      <c r="L61" s="650"/>
      <c r="M61" s="650"/>
      <c r="N61" s="650"/>
      <c r="O61" s="650"/>
      <c r="P61" s="650"/>
      <c r="Q61" s="650"/>
      <c r="R61" s="650"/>
      <c r="S61" s="662"/>
    </row>
    <row r="62" spans="1:19" hidden="1" outlineLevel="1">
      <c r="A62" s="6" t="s">
        <v>321</v>
      </c>
      <c r="C62" s="310"/>
      <c r="D62" s="310"/>
      <c r="E62" s="549"/>
      <c r="H62" s="642">
        <v>1.01</v>
      </c>
      <c r="I62" s="642">
        <v>1.01</v>
      </c>
      <c r="J62" s="642">
        <v>1.01</v>
      </c>
      <c r="K62" s="642">
        <v>1.01</v>
      </c>
      <c r="L62" s="642">
        <v>1.01</v>
      </c>
      <c r="M62" s="642">
        <v>1.01</v>
      </c>
      <c r="N62" s="642">
        <v>1.01</v>
      </c>
      <c r="O62" s="642">
        <v>1.01</v>
      </c>
      <c r="P62" s="642">
        <v>1.01</v>
      </c>
      <c r="Q62" s="642">
        <v>1.01</v>
      </c>
      <c r="R62" s="642">
        <v>1.01</v>
      </c>
      <c r="S62" s="24"/>
    </row>
    <row r="63" spans="1:19" hidden="1" outlineLevel="1">
      <c r="A63" s="636" t="s">
        <v>322</v>
      </c>
      <c r="C63" s="310"/>
      <c r="D63" s="310"/>
      <c r="E63" s="113"/>
      <c r="F63" s="113"/>
      <c r="G63" s="113"/>
      <c r="H63" s="642">
        <v>1.02</v>
      </c>
      <c r="I63" s="642">
        <v>1.02</v>
      </c>
      <c r="J63" s="642">
        <v>1.02</v>
      </c>
      <c r="K63" s="642">
        <v>1.02</v>
      </c>
      <c r="L63" s="642">
        <v>1.02</v>
      </c>
      <c r="M63" s="642">
        <v>1.02</v>
      </c>
      <c r="N63" s="642">
        <v>1.02</v>
      </c>
      <c r="O63" s="642">
        <v>1.02</v>
      </c>
      <c r="P63" s="642">
        <v>1.02</v>
      </c>
      <c r="Q63" s="642">
        <v>1.02</v>
      </c>
      <c r="R63" s="642">
        <v>1.02</v>
      </c>
      <c r="S63" s="24"/>
    </row>
    <row r="64" spans="1:19" hidden="1" outlineLevel="1">
      <c r="A64" s="636" t="s">
        <v>558</v>
      </c>
      <c r="C64" s="310"/>
      <c r="D64" s="784"/>
      <c r="E64" s="113">
        <f>E53/D53</f>
        <v>0.96987329096239105</v>
      </c>
      <c r="F64" s="113">
        <f>F53/E53</f>
        <v>0.93552476550107622</v>
      </c>
      <c r="G64" s="113">
        <f>G53/F53</f>
        <v>0.99127306063687526</v>
      </c>
      <c r="H64" s="643">
        <f>AVERAGE(E64:G64)</f>
        <v>0.96555703903344747</v>
      </c>
      <c r="I64" s="642">
        <v>1.02</v>
      </c>
      <c r="J64" s="642">
        <v>1.02</v>
      </c>
      <c r="K64" s="642">
        <f>+J64</f>
        <v>1.02</v>
      </c>
      <c r="L64" s="642">
        <f t="shared" ref="L64:R64" si="19">+K64</f>
        <v>1.02</v>
      </c>
      <c r="M64" s="642">
        <f t="shared" si="19"/>
        <v>1.02</v>
      </c>
      <c r="N64" s="642">
        <f t="shared" si="19"/>
        <v>1.02</v>
      </c>
      <c r="O64" s="642">
        <f t="shared" si="19"/>
        <v>1.02</v>
      </c>
      <c r="P64" s="642">
        <f t="shared" si="19"/>
        <v>1.02</v>
      </c>
      <c r="Q64" s="642">
        <f t="shared" si="19"/>
        <v>1.02</v>
      </c>
      <c r="R64" s="642">
        <f t="shared" si="19"/>
        <v>1.02</v>
      </c>
      <c r="S64" s="24"/>
    </row>
    <row r="65" spans="1:19" hidden="1" outlineLevel="1">
      <c r="A65" s="6" t="s">
        <v>324</v>
      </c>
      <c r="C65" s="310"/>
      <c r="D65" s="310"/>
      <c r="E65" s="113"/>
      <c r="F65" s="113"/>
      <c r="G65" s="113"/>
      <c r="H65" s="642">
        <v>1.02</v>
      </c>
      <c r="I65" s="642">
        <v>1.02</v>
      </c>
      <c r="J65" s="642">
        <v>1.02</v>
      </c>
      <c r="K65" s="642">
        <v>1.02</v>
      </c>
      <c r="L65" s="642">
        <v>1.02</v>
      </c>
      <c r="M65" s="642">
        <v>1.02</v>
      </c>
      <c r="N65" s="642">
        <v>1.02</v>
      </c>
      <c r="O65" s="642">
        <v>1.02</v>
      </c>
      <c r="P65" s="642">
        <v>1.02</v>
      </c>
      <c r="Q65" s="642">
        <v>1.02</v>
      </c>
      <c r="R65" s="642">
        <v>1.02</v>
      </c>
      <c r="S65" s="24"/>
    </row>
    <row r="66" spans="1:19" hidden="1" outlineLevel="1">
      <c r="A66" s="6" t="s">
        <v>325</v>
      </c>
      <c r="C66" s="310"/>
      <c r="D66" s="310"/>
      <c r="E66" s="113"/>
      <c r="F66" s="113"/>
      <c r="G66" s="113"/>
      <c r="H66" s="642">
        <v>1.03</v>
      </c>
      <c r="I66" s="642">
        <v>1.03</v>
      </c>
      <c r="J66" s="642">
        <v>1.03</v>
      </c>
      <c r="K66" s="642">
        <v>1.03</v>
      </c>
      <c r="L66" s="642">
        <v>1.03</v>
      </c>
      <c r="M66" s="642">
        <v>1.03</v>
      </c>
      <c r="N66" s="642">
        <v>1.03</v>
      </c>
      <c r="O66" s="642">
        <v>1.03</v>
      </c>
      <c r="P66" s="642">
        <v>1.03</v>
      </c>
      <c r="Q66" s="642">
        <v>1.03</v>
      </c>
      <c r="R66" s="642">
        <v>1.03</v>
      </c>
      <c r="S66" s="24"/>
    </row>
    <row r="67" spans="1:19" hidden="1" outlineLevel="1">
      <c r="A67" s="636" t="str">
        <f>A56</f>
        <v>Gas and Liquids Sold</v>
      </c>
      <c r="C67" s="310"/>
      <c r="D67" s="310"/>
      <c r="E67" s="113">
        <f>E56/D56</f>
        <v>1.0317681698434837</v>
      </c>
      <c r="F67" s="113">
        <f>F56/E56</f>
        <v>5.799188945629318</v>
      </c>
      <c r="G67" s="113">
        <f>G56/F56</f>
        <v>1.4471782652611951</v>
      </c>
      <c r="H67" s="642">
        <v>1.08</v>
      </c>
      <c r="I67" s="642">
        <v>1</v>
      </c>
      <c r="J67" s="642">
        <v>1</v>
      </c>
      <c r="K67" s="642">
        <v>1</v>
      </c>
      <c r="L67" s="642">
        <v>1</v>
      </c>
      <c r="M67" s="642">
        <v>1</v>
      </c>
      <c r="N67" s="642">
        <v>1</v>
      </c>
      <c r="O67" s="642">
        <v>1</v>
      </c>
      <c r="P67" s="642">
        <v>1</v>
      </c>
      <c r="Q67" s="642">
        <v>1</v>
      </c>
      <c r="R67" s="642">
        <v>1</v>
      </c>
      <c r="S67" s="24"/>
    </row>
    <row r="68" spans="1:19" hidden="1" outlineLevel="1">
      <c r="A68" s="636" t="s">
        <v>326</v>
      </c>
      <c r="C68" s="310"/>
      <c r="D68" s="310"/>
      <c r="E68" s="113"/>
      <c r="F68" s="113"/>
      <c r="G68" s="113"/>
      <c r="H68" s="642">
        <v>1.01</v>
      </c>
      <c r="I68" s="642">
        <v>1.01</v>
      </c>
      <c r="J68" s="642">
        <v>1.01</v>
      </c>
      <c r="K68" s="642">
        <v>1.01</v>
      </c>
      <c r="L68" s="642">
        <v>1.01</v>
      </c>
      <c r="M68" s="642">
        <v>1.01</v>
      </c>
      <c r="N68" s="642">
        <v>1.01</v>
      </c>
      <c r="O68" s="642">
        <v>1.01</v>
      </c>
      <c r="P68" s="642">
        <v>1.01</v>
      </c>
      <c r="Q68" s="642">
        <v>1.01</v>
      </c>
      <c r="R68" s="642">
        <v>1.01</v>
      </c>
      <c r="S68" s="24"/>
    </row>
    <row r="69" spans="1:19" hidden="1" outlineLevel="1">
      <c r="A69" s="559" t="s">
        <v>58</v>
      </c>
      <c r="C69" s="310"/>
      <c r="D69" s="310"/>
      <c r="E69" s="113">
        <f>E58/D58</f>
        <v>0.48877169105137802</v>
      </c>
      <c r="F69" s="113">
        <f>F58/E58</f>
        <v>1.1402714932126696</v>
      </c>
      <c r="G69" s="113">
        <f>G58/F58</f>
        <v>1.2677045177045176</v>
      </c>
      <c r="H69" s="642">
        <v>1.05</v>
      </c>
      <c r="I69" s="642">
        <v>1</v>
      </c>
      <c r="J69" s="642">
        <f>I69</f>
        <v>1</v>
      </c>
      <c r="K69" s="642">
        <f>J69</f>
        <v>1</v>
      </c>
      <c r="L69" s="642">
        <f>K69</f>
        <v>1</v>
      </c>
      <c r="M69" s="642">
        <v>1.05</v>
      </c>
      <c r="N69" s="642">
        <v>1.05</v>
      </c>
      <c r="O69" s="642">
        <v>1.05</v>
      </c>
      <c r="P69" s="642">
        <v>1.05</v>
      </c>
      <c r="Q69" s="642">
        <v>1.05</v>
      </c>
      <c r="R69" s="642">
        <v>1.05</v>
      </c>
      <c r="S69" s="24"/>
    </row>
    <row r="70" spans="1:19" hidden="1" outlineLevel="1">
      <c r="S70" s="24"/>
    </row>
    <row r="71" spans="1:19" hidden="1" outlineLevel="1">
      <c r="S71" s="24"/>
    </row>
    <row r="72" spans="1:19" ht="15.75" collapsed="1">
      <c r="A72" s="483" t="s">
        <v>241</v>
      </c>
      <c r="B72" s="379"/>
      <c r="C72" s="379"/>
      <c r="D72" s="379"/>
      <c r="E72" s="379"/>
      <c r="F72" s="379"/>
      <c r="G72" s="379"/>
      <c r="H72" s="379"/>
      <c r="I72" s="379"/>
      <c r="J72" s="379"/>
      <c r="K72" s="379"/>
      <c r="L72" s="379"/>
      <c r="M72" s="379"/>
      <c r="N72" s="379"/>
      <c r="O72" s="379"/>
      <c r="P72" s="379"/>
      <c r="Q72" s="379"/>
      <c r="R72" s="379"/>
      <c r="S72" s="24"/>
    </row>
    <row r="73" spans="1:19" s="24" customFormat="1" ht="14.25" customHeight="1">
      <c r="A73" s="488"/>
      <c r="E73" s="480"/>
      <c r="F73" s="480"/>
      <c r="G73" s="323"/>
      <c r="H73" s="309" t="s">
        <v>203</v>
      </c>
      <c r="I73" s="328"/>
      <c r="J73" s="323"/>
      <c r="K73" s="323"/>
      <c r="L73" s="246"/>
      <c r="M73" s="323"/>
      <c r="N73" s="246"/>
      <c r="O73" s="246"/>
      <c r="P73" s="246"/>
      <c r="Q73" s="246"/>
      <c r="R73" s="292"/>
    </row>
    <row r="74" spans="1:19" s="24" customFormat="1" ht="15.75">
      <c r="A74" s="488"/>
      <c r="B74" s="39" t="s">
        <v>57</v>
      </c>
      <c r="D74" s="387">
        <v>1997</v>
      </c>
      <c r="E74" s="256">
        <v>1998</v>
      </c>
      <c r="F74" s="256">
        <v>1999</v>
      </c>
      <c r="G74" s="256">
        <v>2000</v>
      </c>
      <c r="H74" s="256">
        <v>2001</v>
      </c>
      <c r="I74" s="289">
        <v>2002</v>
      </c>
      <c r="J74" s="289">
        <v>2003</v>
      </c>
      <c r="K74" s="289">
        <v>2004</v>
      </c>
      <c r="L74" s="289">
        <v>2005</v>
      </c>
      <c r="M74" s="289">
        <v>2006</v>
      </c>
      <c r="N74" s="293">
        <v>2007</v>
      </c>
      <c r="O74" s="293">
        <v>2008</v>
      </c>
      <c r="P74" s="293">
        <v>2009</v>
      </c>
      <c r="Q74" s="293">
        <v>2010</v>
      </c>
      <c r="R74" s="654">
        <v>2011</v>
      </c>
    </row>
    <row r="75" spans="1:19">
      <c r="A75" s="6" t="s">
        <v>328</v>
      </c>
      <c r="B75" s="671">
        <v>0</v>
      </c>
      <c r="C75" s="34"/>
      <c r="D75" s="540"/>
      <c r="E75" s="540">
        <f>$B$75*359</f>
        <v>0</v>
      </c>
      <c r="F75" s="540">
        <f>$B$75*406</f>
        <v>0</v>
      </c>
      <c r="G75" s="540">
        <f>$B$75*408</f>
        <v>0</v>
      </c>
      <c r="H75" s="781">
        <f>$B$75*2*171</f>
        <v>0</v>
      </c>
      <c r="I75" s="539">
        <f>H75*I86</f>
        <v>0</v>
      </c>
      <c r="J75" s="539">
        <f t="shared" ref="J75:R75" si="20">I75*J86</f>
        <v>0</v>
      </c>
      <c r="K75" s="539">
        <f t="shared" si="20"/>
        <v>0</v>
      </c>
      <c r="L75" s="539">
        <f t="shared" si="20"/>
        <v>0</v>
      </c>
      <c r="M75" s="539">
        <f t="shared" si="20"/>
        <v>0</v>
      </c>
      <c r="N75" s="539">
        <f t="shared" si="20"/>
        <v>0</v>
      </c>
      <c r="O75" s="539">
        <f t="shared" si="20"/>
        <v>0</v>
      </c>
      <c r="P75" s="539">
        <f t="shared" si="20"/>
        <v>0</v>
      </c>
      <c r="Q75" s="539">
        <f t="shared" si="20"/>
        <v>0</v>
      </c>
      <c r="R75" s="539">
        <f t="shared" si="20"/>
        <v>0</v>
      </c>
      <c r="S75" s="24"/>
    </row>
    <row r="76" spans="1:19">
      <c r="A76" s="673" t="s">
        <v>335</v>
      </c>
      <c r="B76" s="671">
        <v>0</v>
      </c>
      <c r="C76" s="34"/>
      <c r="D76" s="540"/>
      <c r="E76" s="540">
        <f>$B$76*287</f>
        <v>0</v>
      </c>
      <c r="F76" s="540">
        <f>$B$76*108</f>
        <v>0</v>
      </c>
      <c r="G76" s="540">
        <f>$B$76*1457</f>
        <v>0</v>
      </c>
      <c r="H76" s="781">
        <f>$B$76*2*2999</f>
        <v>0</v>
      </c>
      <c r="I76" s="539">
        <f t="shared" ref="I76:R82" si="21">H76*I87</f>
        <v>0</v>
      </c>
      <c r="J76" s="539">
        <f t="shared" si="21"/>
        <v>0</v>
      </c>
      <c r="K76" s="539">
        <f t="shared" si="21"/>
        <v>0</v>
      </c>
      <c r="L76" s="539">
        <f t="shared" si="21"/>
        <v>0</v>
      </c>
      <c r="M76" s="539">
        <f t="shared" si="21"/>
        <v>0</v>
      </c>
      <c r="N76" s="539">
        <f t="shared" si="21"/>
        <v>0</v>
      </c>
      <c r="O76" s="539">
        <f t="shared" si="21"/>
        <v>0</v>
      </c>
      <c r="P76" s="539">
        <f t="shared" si="21"/>
        <v>0</v>
      </c>
      <c r="Q76" s="539">
        <f t="shared" si="21"/>
        <v>0</v>
      </c>
      <c r="R76" s="539">
        <f t="shared" si="21"/>
        <v>0</v>
      </c>
      <c r="S76" s="24"/>
    </row>
    <row r="77" spans="1:19">
      <c r="A77" s="6" t="s">
        <v>329</v>
      </c>
      <c r="B77" s="671">
        <v>0</v>
      </c>
      <c r="C77" s="34"/>
      <c r="D77" s="540"/>
      <c r="E77" s="540">
        <f>$B$77*297</f>
        <v>0</v>
      </c>
      <c r="F77" s="540">
        <f>$B$77*401</f>
        <v>0</v>
      </c>
      <c r="G77" s="540">
        <f>$B$77*529</f>
        <v>0</v>
      </c>
      <c r="H77" s="781">
        <f>$B$77*2*266</f>
        <v>0</v>
      </c>
      <c r="I77" s="539">
        <f t="shared" si="21"/>
        <v>0</v>
      </c>
      <c r="J77" s="539">
        <f t="shared" si="21"/>
        <v>0</v>
      </c>
      <c r="K77" s="539">
        <f t="shared" si="21"/>
        <v>0</v>
      </c>
      <c r="L77" s="539">
        <f t="shared" si="21"/>
        <v>0</v>
      </c>
      <c r="M77" s="539">
        <f t="shared" si="21"/>
        <v>0</v>
      </c>
      <c r="N77" s="539">
        <f t="shared" si="21"/>
        <v>0</v>
      </c>
      <c r="O77" s="539">
        <f t="shared" si="21"/>
        <v>0</v>
      </c>
      <c r="P77" s="539">
        <f t="shared" si="21"/>
        <v>0</v>
      </c>
      <c r="Q77" s="539">
        <f t="shared" si="21"/>
        <v>0</v>
      </c>
      <c r="R77" s="539">
        <f t="shared" si="21"/>
        <v>0</v>
      </c>
      <c r="S77" s="24"/>
    </row>
    <row r="78" spans="1:19">
      <c r="A78" s="6" t="s">
        <v>330</v>
      </c>
      <c r="B78" s="671">
        <v>0</v>
      </c>
      <c r="C78" s="34"/>
      <c r="D78" s="540"/>
      <c r="E78" s="540">
        <f>$B$78*573</f>
        <v>0</v>
      </c>
      <c r="F78" s="540">
        <f>$B$78*560</f>
        <v>0</v>
      </c>
      <c r="G78" s="540">
        <f>$B$78*555</f>
        <v>0</v>
      </c>
      <c r="H78" s="781">
        <f>$B$78*2*244</f>
        <v>0</v>
      </c>
      <c r="I78" s="539">
        <f t="shared" si="21"/>
        <v>0</v>
      </c>
      <c r="J78" s="539">
        <f t="shared" si="21"/>
        <v>0</v>
      </c>
      <c r="K78" s="539">
        <f t="shared" si="21"/>
        <v>0</v>
      </c>
      <c r="L78" s="539">
        <f t="shared" si="21"/>
        <v>0</v>
      </c>
      <c r="M78" s="539">
        <f t="shared" si="21"/>
        <v>0</v>
      </c>
      <c r="N78" s="539">
        <f t="shared" si="21"/>
        <v>0</v>
      </c>
      <c r="O78" s="539">
        <f t="shared" si="21"/>
        <v>0</v>
      </c>
      <c r="P78" s="539">
        <f t="shared" si="21"/>
        <v>0</v>
      </c>
      <c r="Q78" s="539">
        <f t="shared" si="21"/>
        <v>0</v>
      </c>
      <c r="R78" s="539">
        <f t="shared" si="21"/>
        <v>0</v>
      </c>
      <c r="S78" s="24"/>
    </row>
    <row r="79" spans="1:19">
      <c r="A79" s="636" t="s">
        <v>467</v>
      </c>
      <c r="B79" s="671">
        <v>1</v>
      </c>
      <c r="C79" s="34"/>
      <c r="D79" s="646">
        <v>4411</v>
      </c>
      <c r="E79" s="646">
        <v>5823</v>
      </c>
      <c r="F79" s="646">
        <v>15992</v>
      </c>
      <c r="G79" s="646">
        <v>13688</v>
      </c>
      <c r="H79" s="991">
        <v>33311</v>
      </c>
      <c r="I79" s="539">
        <f>+I56</f>
        <v>33283</v>
      </c>
      <c r="J79" s="539">
        <f t="shared" si="21"/>
        <v>33283</v>
      </c>
      <c r="K79" s="539">
        <f t="shared" si="21"/>
        <v>33283</v>
      </c>
      <c r="L79" s="539">
        <f t="shared" si="21"/>
        <v>33283</v>
      </c>
      <c r="M79" s="539">
        <f t="shared" si="21"/>
        <v>33283</v>
      </c>
      <c r="N79" s="539">
        <f t="shared" si="21"/>
        <v>33283</v>
      </c>
      <c r="O79" s="539">
        <f t="shared" si="21"/>
        <v>33283</v>
      </c>
      <c r="P79" s="539">
        <f t="shared" si="21"/>
        <v>33283</v>
      </c>
      <c r="Q79" s="539">
        <f t="shared" si="21"/>
        <v>33283</v>
      </c>
      <c r="R79" s="539">
        <f t="shared" si="21"/>
        <v>33283</v>
      </c>
      <c r="S79" s="24"/>
    </row>
    <row r="80" spans="1:19">
      <c r="A80" s="6" t="s">
        <v>547</v>
      </c>
      <c r="B80" s="671">
        <v>1</v>
      </c>
      <c r="C80" s="34"/>
      <c r="D80" s="646"/>
      <c r="E80" s="646"/>
      <c r="F80" s="646"/>
      <c r="G80" s="646"/>
      <c r="H80" s="781">
        <v>23866</v>
      </c>
      <c r="I80" s="539">
        <v>19705</v>
      </c>
      <c r="J80" s="539">
        <f t="shared" si="21"/>
        <v>15764</v>
      </c>
      <c r="K80" s="539">
        <f t="shared" si="21"/>
        <v>12611.2</v>
      </c>
      <c r="L80" s="539">
        <f t="shared" si="21"/>
        <v>12611.2</v>
      </c>
      <c r="M80" s="539">
        <f t="shared" si="21"/>
        <v>12611.2</v>
      </c>
      <c r="N80" s="539">
        <f t="shared" si="21"/>
        <v>12611.2</v>
      </c>
      <c r="O80" s="539">
        <f t="shared" si="21"/>
        <v>12611.2</v>
      </c>
      <c r="P80" s="539">
        <f t="shared" si="21"/>
        <v>12611.2</v>
      </c>
      <c r="Q80" s="539">
        <f t="shared" si="21"/>
        <v>12611.2</v>
      </c>
      <c r="R80" s="539">
        <f t="shared" si="21"/>
        <v>12611.2</v>
      </c>
      <c r="S80" s="24"/>
    </row>
    <row r="81" spans="1:19">
      <c r="A81" s="6" t="s">
        <v>463</v>
      </c>
      <c r="B81" s="671">
        <v>1</v>
      </c>
      <c r="C81" s="34"/>
      <c r="D81" s="646">
        <v>183546</v>
      </c>
      <c r="E81" s="646">
        <v>171064</v>
      </c>
      <c r="F81" s="646">
        <v>191768</v>
      </c>
      <c r="G81" s="646">
        <v>194504</v>
      </c>
      <c r="H81" s="781">
        <f>167424+302</f>
        <v>167726</v>
      </c>
      <c r="I81" s="1011">
        <v>172250</v>
      </c>
      <c r="J81" s="539">
        <f t="shared" si="21"/>
        <v>172250</v>
      </c>
      <c r="K81" s="539">
        <f t="shared" si="21"/>
        <v>172250</v>
      </c>
      <c r="L81" s="539">
        <f t="shared" si="21"/>
        <v>172250</v>
      </c>
      <c r="M81" s="539">
        <f t="shared" si="21"/>
        <v>172250</v>
      </c>
      <c r="N81" s="539">
        <f t="shared" si="21"/>
        <v>172250</v>
      </c>
      <c r="O81" s="539">
        <f t="shared" si="21"/>
        <v>172250</v>
      </c>
      <c r="P81" s="539">
        <f t="shared" si="21"/>
        <v>172250</v>
      </c>
      <c r="Q81" s="539">
        <f t="shared" si="21"/>
        <v>172250</v>
      </c>
      <c r="R81" s="539">
        <f t="shared" si="21"/>
        <v>172250</v>
      </c>
      <c r="S81" s="24"/>
    </row>
    <row r="82" spans="1:19">
      <c r="A82" s="357" t="s">
        <v>464</v>
      </c>
      <c r="B82" s="672">
        <v>1</v>
      </c>
      <c r="C82" s="292"/>
      <c r="D82" s="546">
        <v>28706</v>
      </c>
      <c r="E82" s="546">
        <v>30583</v>
      </c>
      <c r="F82" s="546">
        <v>31830</v>
      </c>
      <c r="G82" s="546">
        <v>32175</v>
      </c>
      <c r="H82" s="992">
        <v>32988</v>
      </c>
      <c r="I82" s="657">
        <v>33258</v>
      </c>
      <c r="J82" s="657">
        <f t="shared" si="21"/>
        <v>34098.36531468531</v>
      </c>
      <c r="K82" s="657">
        <f t="shared" si="21"/>
        <v>34098.36531468531</v>
      </c>
      <c r="L82" s="657">
        <f t="shared" si="21"/>
        <v>34098.36531468531</v>
      </c>
      <c r="M82" s="657">
        <f t="shared" si="21"/>
        <v>34098.36531468531</v>
      </c>
      <c r="N82" s="657">
        <f t="shared" si="21"/>
        <v>34098.36531468531</v>
      </c>
      <c r="O82" s="657">
        <f t="shared" si="21"/>
        <v>34098.36531468531</v>
      </c>
      <c r="P82" s="657">
        <f t="shared" si="21"/>
        <v>34098.36531468531</v>
      </c>
      <c r="Q82" s="657">
        <f t="shared" si="21"/>
        <v>34098.36531468531</v>
      </c>
      <c r="R82" s="657">
        <f t="shared" si="21"/>
        <v>34098.36531468531</v>
      </c>
      <c r="S82" s="24"/>
    </row>
    <row r="83" spans="1:19">
      <c r="A83" s="551" t="s">
        <v>279</v>
      </c>
      <c r="B83" s="656"/>
      <c r="C83" s="310"/>
      <c r="D83" s="565">
        <f>SUM(D75:D82)</f>
        <v>216663</v>
      </c>
      <c r="E83" s="565">
        <f>SUM(E75:E82)</f>
        <v>207470</v>
      </c>
      <c r="F83" s="565">
        <f>SUM(F75:F82)</f>
        <v>239590</v>
      </c>
      <c r="G83" s="565">
        <f>SUM(G75:G82)</f>
        <v>240367</v>
      </c>
      <c r="H83" s="566">
        <f>SUM(H75:H82)</f>
        <v>257891</v>
      </c>
      <c r="I83" s="566">
        <f t="shared" ref="I83:R83" si="22">SUM(I75:I82)</f>
        <v>258496</v>
      </c>
      <c r="J83" s="566">
        <f t="shared" si="22"/>
        <v>255395.3653146853</v>
      </c>
      <c r="K83" s="566">
        <f t="shared" si="22"/>
        <v>252242.56531468531</v>
      </c>
      <c r="L83" s="566">
        <f t="shared" si="22"/>
        <v>252242.56531468531</v>
      </c>
      <c r="M83" s="566">
        <f t="shared" si="22"/>
        <v>252242.56531468531</v>
      </c>
      <c r="N83" s="566">
        <f t="shared" si="22"/>
        <v>252242.56531468531</v>
      </c>
      <c r="O83" s="566">
        <f t="shared" si="22"/>
        <v>252242.56531468531</v>
      </c>
      <c r="P83" s="566">
        <f t="shared" si="22"/>
        <v>252242.56531468531</v>
      </c>
      <c r="Q83" s="566">
        <f t="shared" si="22"/>
        <v>252242.56531468531</v>
      </c>
      <c r="R83" s="566">
        <f t="shared" si="22"/>
        <v>252242.56531468531</v>
      </c>
      <c r="S83" s="24"/>
    </row>
    <row r="84" spans="1:19">
      <c r="C84" s="34"/>
      <c r="D84" s="34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24"/>
    </row>
    <row r="85" spans="1:19" ht="15.75" hidden="1" outlineLevel="1">
      <c r="A85" s="651" t="s">
        <v>327</v>
      </c>
      <c r="B85" s="412"/>
      <c r="C85" s="647"/>
      <c r="D85" s="647"/>
      <c r="E85" s="648"/>
      <c r="F85" s="412"/>
      <c r="G85" s="649"/>
      <c r="H85" s="650"/>
      <c r="I85" s="650"/>
      <c r="J85" s="650"/>
      <c r="K85" s="650"/>
      <c r="L85" s="650"/>
      <c r="M85" s="650">
        <f>+J92+I92</f>
        <v>2.0099999999999998</v>
      </c>
      <c r="N85" s="650"/>
      <c r="O85" s="650"/>
      <c r="P85" s="650"/>
      <c r="Q85" s="650"/>
      <c r="R85" s="650"/>
      <c r="S85" s="662"/>
    </row>
    <row r="86" spans="1:19" hidden="1" outlineLevel="1">
      <c r="A86" s="6" t="s">
        <v>328</v>
      </c>
      <c r="C86" s="310"/>
      <c r="D86" s="310"/>
      <c r="E86" s="549"/>
      <c r="H86" s="642">
        <v>1.01</v>
      </c>
      <c r="I86" s="642">
        <v>1.01</v>
      </c>
      <c r="J86" s="642">
        <v>1.01</v>
      </c>
      <c r="K86" s="642">
        <v>1.01</v>
      </c>
      <c r="L86" s="642">
        <v>1.01</v>
      </c>
      <c r="M86" s="642">
        <v>1.01</v>
      </c>
      <c r="N86" s="642">
        <v>1.01</v>
      </c>
      <c r="O86" s="642">
        <v>1.01</v>
      </c>
      <c r="P86" s="642">
        <v>1.01</v>
      </c>
      <c r="Q86" s="642">
        <v>1.01</v>
      </c>
      <c r="R86" s="642">
        <v>1.01</v>
      </c>
      <c r="S86" s="24"/>
    </row>
    <row r="87" spans="1:19" hidden="1" outlineLevel="1">
      <c r="A87" s="673" t="s">
        <v>335</v>
      </c>
      <c r="C87" s="310"/>
      <c r="D87" s="310"/>
      <c r="E87" s="549"/>
      <c r="G87" s="77"/>
      <c r="H87" s="642">
        <v>1.25</v>
      </c>
      <c r="I87" s="642">
        <v>1.25</v>
      </c>
      <c r="J87" s="642">
        <v>1.25</v>
      </c>
      <c r="K87" s="642">
        <v>1.1499999999999999</v>
      </c>
      <c r="L87" s="642">
        <v>1.1499999999999999</v>
      </c>
      <c r="M87" s="642">
        <v>1.05</v>
      </c>
      <c r="N87" s="642">
        <v>1.05</v>
      </c>
      <c r="O87" s="642">
        <v>0.95</v>
      </c>
      <c r="P87" s="642">
        <v>0.95</v>
      </c>
      <c r="Q87" s="642">
        <v>0.85</v>
      </c>
      <c r="R87" s="642">
        <v>0.85</v>
      </c>
      <c r="S87" s="24"/>
    </row>
    <row r="88" spans="1:19" hidden="1" outlineLevel="1">
      <c r="A88" s="6" t="s">
        <v>329</v>
      </c>
      <c r="C88" s="310"/>
      <c r="D88" s="310"/>
      <c r="E88" s="549"/>
      <c r="G88" s="77"/>
      <c r="H88" s="642">
        <v>1.03</v>
      </c>
      <c r="I88" s="642">
        <v>1.03</v>
      </c>
      <c r="J88" s="642">
        <v>1.03</v>
      </c>
      <c r="K88" s="642">
        <v>1.03</v>
      </c>
      <c r="L88" s="642">
        <v>1.03</v>
      </c>
      <c r="M88" s="642">
        <v>1.03</v>
      </c>
      <c r="N88" s="642">
        <v>1.03</v>
      </c>
      <c r="O88" s="642">
        <v>1.03</v>
      </c>
      <c r="P88" s="642">
        <v>1.03</v>
      </c>
      <c r="Q88" s="642">
        <v>1.03</v>
      </c>
      <c r="R88" s="642">
        <v>1.03</v>
      </c>
      <c r="S88" s="24"/>
    </row>
    <row r="89" spans="1:19" hidden="1" outlineLevel="1">
      <c r="A89" s="6" t="s">
        <v>330</v>
      </c>
      <c r="C89" s="310"/>
      <c r="D89" s="310"/>
      <c r="E89" s="549"/>
      <c r="G89" s="77"/>
      <c r="H89" s="642">
        <v>1.02</v>
      </c>
      <c r="I89" s="642">
        <v>1.02</v>
      </c>
      <c r="J89" s="642">
        <v>1.02</v>
      </c>
      <c r="K89" s="642">
        <v>1.02</v>
      </c>
      <c r="L89" s="642">
        <v>1.02</v>
      </c>
      <c r="M89" s="642">
        <v>1.02</v>
      </c>
      <c r="N89" s="642">
        <v>1.02</v>
      </c>
      <c r="O89" s="642">
        <v>1.02</v>
      </c>
      <c r="P89" s="642">
        <v>1.02</v>
      </c>
      <c r="Q89" s="642">
        <v>1.02</v>
      </c>
      <c r="R89" s="642">
        <v>1.02</v>
      </c>
      <c r="S89" s="24"/>
    </row>
    <row r="90" spans="1:19" hidden="1" outlineLevel="1">
      <c r="A90" s="636" t="str">
        <f>A79</f>
        <v>Cost of Sales</v>
      </c>
      <c r="C90" s="310"/>
      <c r="D90" s="783"/>
      <c r="E90" s="113">
        <f>E79/D79</f>
        <v>1.3201088188619361</v>
      </c>
      <c r="F90" s="113">
        <f>F79/E79</f>
        <v>2.7463506783444958</v>
      </c>
      <c r="G90" s="113">
        <f>G79/F79</f>
        <v>0.855927963981991</v>
      </c>
      <c r="H90" s="113">
        <f>H79/G79</f>
        <v>2.4335914669783754</v>
      </c>
      <c r="I90" s="642">
        <v>1</v>
      </c>
      <c r="J90" s="642">
        <f>+I90</f>
        <v>1</v>
      </c>
      <c r="K90" s="642">
        <f>+J90</f>
        <v>1</v>
      </c>
      <c r="L90" s="642">
        <f>+K90</f>
        <v>1</v>
      </c>
      <c r="M90" s="642">
        <f>+L90</f>
        <v>1</v>
      </c>
      <c r="N90" s="642">
        <v>1</v>
      </c>
      <c r="O90" s="642">
        <v>1</v>
      </c>
      <c r="P90" s="642">
        <v>1</v>
      </c>
      <c r="Q90" s="642">
        <v>1</v>
      </c>
      <c r="R90" s="642">
        <v>1</v>
      </c>
      <c r="S90" s="24"/>
    </row>
    <row r="91" spans="1:19" hidden="1" outlineLevel="1">
      <c r="A91" s="6" t="s">
        <v>547</v>
      </c>
      <c r="C91" s="310"/>
      <c r="D91" s="310"/>
      <c r="E91" s="113"/>
      <c r="F91" s="113"/>
      <c r="G91" s="113"/>
      <c r="H91" s="643"/>
      <c r="I91" s="642">
        <v>1</v>
      </c>
      <c r="J91" s="642">
        <v>0.8</v>
      </c>
      <c r="K91" s="642">
        <v>0.8</v>
      </c>
      <c r="L91" s="642">
        <v>1</v>
      </c>
      <c r="M91" s="642">
        <f t="shared" ref="M91:R91" si="23">L91</f>
        <v>1</v>
      </c>
      <c r="N91" s="642">
        <f t="shared" si="23"/>
        <v>1</v>
      </c>
      <c r="O91" s="642">
        <f t="shared" si="23"/>
        <v>1</v>
      </c>
      <c r="P91" s="642">
        <f t="shared" si="23"/>
        <v>1</v>
      </c>
      <c r="Q91" s="642">
        <f t="shared" si="23"/>
        <v>1</v>
      </c>
      <c r="R91" s="642">
        <f t="shared" si="23"/>
        <v>1</v>
      </c>
      <c r="S91" s="24"/>
    </row>
    <row r="92" spans="1:19" hidden="1" outlineLevel="1">
      <c r="A92" s="6" t="s">
        <v>463</v>
      </c>
      <c r="C92" s="310"/>
      <c r="D92" s="784"/>
      <c r="E92" s="113">
        <f t="shared" ref="E92:H93" si="24">E81/D81</f>
        <v>0.93199524914735266</v>
      </c>
      <c r="F92" s="113">
        <f t="shared" si="24"/>
        <v>1.1210307253425618</v>
      </c>
      <c r="G92" s="113">
        <f t="shared" si="24"/>
        <v>1.0142672395811605</v>
      </c>
      <c r="H92" s="113">
        <f t="shared" si="24"/>
        <v>0.86232673878172172</v>
      </c>
      <c r="I92" s="642">
        <v>1.01</v>
      </c>
      <c r="J92" s="642">
        <v>1</v>
      </c>
      <c r="K92" s="642">
        <v>1</v>
      </c>
      <c r="L92" s="642">
        <v>1</v>
      </c>
      <c r="M92" s="642">
        <f t="shared" ref="M92:R92" si="25">L92</f>
        <v>1</v>
      </c>
      <c r="N92" s="642">
        <f t="shared" si="25"/>
        <v>1</v>
      </c>
      <c r="O92" s="642">
        <f t="shared" si="25"/>
        <v>1</v>
      </c>
      <c r="P92" s="642">
        <f t="shared" si="25"/>
        <v>1</v>
      </c>
      <c r="Q92" s="642">
        <f t="shared" si="25"/>
        <v>1</v>
      </c>
      <c r="R92" s="642">
        <f t="shared" si="25"/>
        <v>1</v>
      </c>
      <c r="S92" s="24"/>
    </row>
    <row r="93" spans="1:19" hidden="1" outlineLevel="1">
      <c r="A93" s="357" t="s">
        <v>464</v>
      </c>
      <c r="C93" s="310"/>
      <c r="D93" s="784"/>
      <c r="E93" s="113">
        <f t="shared" si="24"/>
        <v>1.065387027102348</v>
      </c>
      <c r="F93" s="113">
        <f t="shared" si="24"/>
        <v>1.0407742863682439</v>
      </c>
      <c r="G93" s="113">
        <f t="shared" si="24"/>
        <v>1.0108388312912346</v>
      </c>
      <c r="H93" s="113">
        <f t="shared" si="24"/>
        <v>1.0252680652680652</v>
      </c>
      <c r="I93" s="642">
        <f>H93</f>
        <v>1.0252680652680652</v>
      </c>
      <c r="J93" s="642">
        <f t="shared" ref="J93:R93" si="26">I93</f>
        <v>1.0252680652680652</v>
      </c>
      <c r="K93" s="642">
        <v>1</v>
      </c>
      <c r="L93" s="642">
        <f t="shared" si="26"/>
        <v>1</v>
      </c>
      <c r="M93" s="642">
        <f t="shared" si="26"/>
        <v>1</v>
      </c>
      <c r="N93" s="642">
        <f t="shared" si="26"/>
        <v>1</v>
      </c>
      <c r="O93" s="642">
        <f t="shared" si="26"/>
        <v>1</v>
      </c>
      <c r="P93" s="642">
        <f t="shared" si="26"/>
        <v>1</v>
      </c>
      <c r="Q93" s="642">
        <f t="shared" si="26"/>
        <v>1</v>
      </c>
      <c r="R93" s="642">
        <f t="shared" si="26"/>
        <v>1</v>
      </c>
      <c r="S93" s="24"/>
    </row>
    <row r="94" spans="1:19" hidden="1" outlineLevel="1">
      <c r="S94" s="24"/>
    </row>
    <row r="95" spans="1:19" ht="15.75" collapsed="1">
      <c r="A95" s="483" t="s">
        <v>282</v>
      </c>
      <c r="B95" s="379"/>
      <c r="C95" s="379"/>
      <c r="D95" s="379"/>
      <c r="E95" s="379"/>
      <c r="F95" s="379"/>
      <c r="G95" s="379"/>
      <c r="H95" s="379"/>
      <c r="I95" s="379"/>
      <c r="J95" s="379"/>
      <c r="K95" s="379"/>
      <c r="L95" s="379"/>
      <c r="M95" s="379"/>
      <c r="N95" s="379"/>
      <c r="O95" s="379"/>
      <c r="P95" s="379"/>
      <c r="Q95" s="379"/>
      <c r="R95" s="379"/>
      <c r="S95" s="24"/>
    </row>
    <row r="96" spans="1:19" s="24" customFormat="1" ht="12.75" customHeight="1">
      <c r="A96" s="488"/>
      <c r="E96" s="480"/>
      <c r="F96" s="480"/>
      <c r="G96" s="323"/>
      <c r="H96" s="309" t="s">
        <v>203</v>
      </c>
      <c r="I96" s="328"/>
      <c r="J96" s="323"/>
      <c r="K96" s="323"/>
      <c r="L96" s="246"/>
      <c r="M96" s="323"/>
      <c r="N96" s="246"/>
      <c r="O96" s="246"/>
      <c r="P96" s="246"/>
      <c r="Q96" s="246"/>
      <c r="R96" s="292"/>
    </row>
    <row r="97" spans="1:19" s="24" customFormat="1" ht="12.75" customHeight="1">
      <c r="A97" s="488"/>
      <c r="D97" s="387">
        <v>1997</v>
      </c>
      <c r="E97" s="256">
        <v>1998</v>
      </c>
      <c r="F97" s="256">
        <v>1999</v>
      </c>
      <c r="G97" s="256">
        <v>2000</v>
      </c>
      <c r="H97" s="256">
        <v>2001</v>
      </c>
      <c r="I97" s="289">
        <v>2002</v>
      </c>
      <c r="J97" s="289">
        <v>2003</v>
      </c>
      <c r="K97" s="289">
        <v>2004</v>
      </c>
      <c r="L97" s="289">
        <v>2005</v>
      </c>
      <c r="M97" s="289">
        <v>2006</v>
      </c>
      <c r="N97" s="293">
        <v>2007</v>
      </c>
      <c r="O97" s="293">
        <v>2008</v>
      </c>
      <c r="P97" s="293">
        <v>2009</v>
      </c>
      <c r="Q97" s="293">
        <v>2010</v>
      </c>
      <c r="R97" s="465">
        <v>2011</v>
      </c>
    </row>
    <row r="98" spans="1:19" s="24" customFormat="1" ht="12.75" customHeight="1">
      <c r="A98" s="488"/>
      <c r="B98" s="39" t="s">
        <v>57</v>
      </c>
      <c r="G98" s="487" t="s">
        <v>213</v>
      </c>
      <c r="H98" s="256">
        <v>1</v>
      </c>
      <c r="I98" s="289">
        <v>2</v>
      </c>
      <c r="J98" s="289">
        <v>3</v>
      </c>
      <c r="K98" s="289">
        <v>4</v>
      </c>
      <c r="L98" s="289">
        <v>5</v>
      </c>
      <c r="M98" s="289">
        <v>6</v>
      </c>
      <c r="N98" s="289">
        <v>7</v>
      </c>
      <c r="O98" s="289">
        <v>8</v>
      </c>
      <c r="P98" s="289">
        <v>9</v>
      </c>
      <c r="Q98" s="289">
        <v>10</v>
      </c>
      <c r="R98" s="389">
        <v>11</v>
      </c>
    </row>
    <row r="99" spans="1:19">
      <c r="A99" s="6" t="s">
        <v>331</v>
      </c>
      <c r="B99" s="671">
        <v>0</v>
      </c>
      <c r="D99" s="540"/>
      <c r="E99" s="540"/>
      <c r="F99" s="540"/>
      <c r="G99" s="540"/>
      <c r="H99" s="572">
        <f>$B$99*555</f>
        <v>0</v>
      </c>
      <c r="I99" s="572">
        <f>$B$99*555</f>
        <v>0</v>
      </c>
      <c r="J99" s="572">
        <f>$B$99*355</f>
        <v>0</v>
      </c>
      <c r="K99" s="572">
        <f>J99*K110</f>
        <v>0</v>
      </c>
      <c r="L99" s="572">
        <f t="shared" ref="L99:R99" si="27">K99*L110</f>
        <v>0</v>
      </c>
      <c r="M99" s="669">
        <f t="shared" si="27"/>
        <v>0</v>
      </c>
      <c r="N99" s="669">
        <f t="shared" si="27"/>
        <v>0</v>
      </c>
      <c r="O99" s="669">
        <f t="shared" si="27"/>
        <v>0</v>
      </c>
      <c r="P99" s="669">
        <f t="shared" si="27"/>
        <v>0</v>
      </c>
      <c r="Q99" s="669">
        <f t="shared" si="27"/>
        <v>0</v>
      </c>
      <c r="R99" s="669">
        <f t="shared" si="27"/>
        <v>0</v>
      </c>
      <c r="S99" s="24"/>
    </row>
    <row r="100" spans="1:19">
      <c r="A100" s="6" t="s">
        <v>332</v>
      </c>
      <c r="B100" s="671">
        <v>0</v>
      </c>
      <c r="D100" s="540"/>
      <c r="E100" s="540"/>
      <c r="F100" s="540"/>
      <c r="G100" s="540"/>
      <c r="H100" s="572">
        <f>$B$100*145</f>
        <v>0</v>
      </c>
      <c r="I100" s="572">
        <f>$B$100*145</f>
        <v>0</v>
      </c>
      <c r="J100" s="572">
        <f>$B$100*135</f>
        <v>0</v>
      </c>
      <c r="K100" s="572">
        <f>J100*K111</f>
        <v>0</v>
      </c>
      <c r="L100" s="572">
        <f t="shared" ref="L100:R100" si="28">K100*L111</f>
        <v>0</v>
      </c>
      <c r="M100" s="669">
        <f t="shared" si="28"/>
        <v>0</v>
      </c>
      <c r="N100" s="669">
        <f t="shared" si="28"/>
        <v>0</v>
      </c>
      <c r="O100" s="669">
        <f t="shared" si="28"/>
        <v>0</v>
      </c>
      <c r="P100" s="669">
        <f t="shared" si="28"/>
        <v>0</v>
      </c>
      <c r="Q100" s="669">
        <f t="shared" si="28"/>
        <v>0</v>
      </c>
      <c r="R100" s="669">
        <f t="shared" si="28"/>
        <v>0</v>
      </c>
      <c r="S100" s="24"/>
    </row>
    <row r="101" spans="1:19">
      <c r="A101" s="6" t="s">
        <v>468</v>
      </c>
      <c r="B101" s="671">
        <v>1</v>
      </c>
      <c r="D101" s="540">
        <v>199898</v>
      </c>
      <c r="E101" s="540">
        <v>153521</v>
      </c>
      <c r="F101" s="536">
        <v>110028</v>
      </c>
      <c r="G101" s="536">
        <v>63063</v>
      </c>
      <c r="H101" s="781">
        <v>74300</v>
      </c>
      <c r="I101" s="572">
        <v>112100</v>
      </c>
      <c r="J101" s="572">
        <v>65000</v>
      </c>
      <c r="K101" s="572">
        <f t="shared" ref="K101:R101" si="29">J101*K112</f>
        <v>65000</v>
      </c>
      <c r="L101" s="572">
        <f t="shared" si="29"/>
        <v>65000</v>
      </c>
      <c r="M101" s="572">
        <f t="shared" si="29"/>
        <v>65000</v>
      </c>
      <c r="N101" s="572">
        <f t="shared" si="29"/>
        <v>65000</v>
      </c>
      <c r="O101" s="572">
        <f t="shared" si="29"/>
        <v>65000</v>
      </c>
      <c r="P101" s="572">
        <f t="shared" si="29"/>
        <v>65000</v>
      </c>
      <c r="Q101" s="572">
        <f t="shared" si="29"/>
        <v>65000</v>
      </c>
      <c r="R101" s="572">
        <f t="shared" si="29"/>
        <v>65000</v>
      </c>
      <c r="S101" s="24"/>
    </row>
    <row r="102" spans="1:19">
      <c r="A102" s="6" t="s">
        <v>469</v>
      </c>
      <c r="B102" s="671">
        <v>1</v>
      </c>
      <c r="D102" s="540">
        <v>1391</v>
      </c>
      <c r="E102" s="540">
        <v>8467</v>
      </c>
      <c r="F102" s="536">
        <f>4348+1885</f>
        <v>6233</v>
      </c>
      <c r="G102" s="536">
        <f>5638+15</f>
        <v>5653</v>
      </c>
      <c r="H102" s="781">
        <v>19963</v>
      </c>
      <c r="I102" s="572">
        <v>0</v>
      </c>
      <c r="J102" s="572">
        <f t="shared" ref="J102:R102" si="30">I102*J113</f>
        <v>0</v>
      </c>
      <c r="K102" s="572">
        <f t="shared" si="30"/>
        <v>0</v>
      </c>
      <c r="L102" s="572">
        <f t="shared" si="30"/>
        <v>0</v>
      </c>
      <c r="M102" s="572">
        <f t="shared" si="30"/>
        <v>0</v>
      </c>
      <c r="N102" s="572">
        <f t="shared" si="30"/>
        <v>0</v>
      </c>
      <c r="O102" s="572">
        <f t="shared" si="30"/>
        <v>0</v>
      </c>
      <c r="P102" s="572">
        <f t="shared" si="30"/>
        <v>0</v>
      </c>
      <c r="Q102" s="572">
        <f t="shared" si="30"/>
        <v>0</v>
      </c>
      <c r="R102" s="572">
        <f t="shared" si="30"/>
        <v>0</v>
      </c>
      <c r="S102" s="24"/>
    </row>
    <row r="103" spans="1:19">
      <c r="A103" s="56" t="s">
        <v>470</v>
      </c>
      <c r="B103" s="671">
        <v>0</v>
      </c>
      <c r="D103" s="646">
        <f>-17204*$B$103</f>
        <v>0</v>
      </c>
      <c r="E103" s="646">
        <f>$B$103*56137</f>
        <v>0</v>
      </c>
      <c r="F103" s="655">
        <f>$B$103*91689</f>
        <v>0</v>
      </c>
      <c r="G103" s="655">
        <f>$B$103*113746</f>
        <v>0</v>
      </c>
      <c r="H103" s="991">
        <f>G103*H114</f>
        <v>0</v>
      </c>
      <c r="I103" s="394">
        <f t="shared" ref="I103:R103" si="31">H103*I114</f>
        <v>0</v>
      </c>
      <c r="J103" s="394">
        <f t="shared" si="31"/>
        <v>0</v>
      </c>
      <c r="K103" s="394">
        <f t="shared" si="31"/>
        <v>0</v>
      </c>
      <c r="L103" s="394">
        <f t="shared" si="31"/>
        <v>0</v>
      </c>
      <c r="M103" s="394">
        <f t="shared" si="31"/>
        <v>0</v>
      </c>
      <c r="N103" s="394">
        <f t="shared" si="31"/>
        <v>0</v>
      </c>
      <c r="O103" s="394">
        <f t="shared" si="31"/>
        <v>0</v>
      </c>
      <c r="P103" s="394">
        <f t="shared" si="31"/>
        <v>0</v>
      </c>
      <c r="Q103" s="394">
        <f t="shared" si="31"/>
        <v>0</v>
      </c>
      <c r="R103" s="394">
        <f t="shared" si="31"/>
        <v>0</v>
      </c>
      <c r="S103" s="24"/>
    </row>
    <row r="104" spans="1:19">
      <c r="A104" s="6" t="s">
        <v>471</v>
      </c>
      <c r="B104" s="671">
        <v>1</v>
      </c>
      <c r="D104" s="540">
        <v>-3812</v>
      </c>
      <c r="E104" s="540">
        <v>-4931</v>
      </c>
      <c r="F104" s="540">
        <v>-4770</v>
      </c>
      <c r="G104" s="540">
        <v>-1579</v>
      </c>
      <c r="H104" s="991">
        <v>-5653</v>
      </c>
      <c r="I104" s="394">
        <v>-12600</v>
      </c>
      <c r="J104" s="394">
        <f t="shared" ref="J104:R104" si="32">I104*J115</f>
        <v>0</v>
      </c>
      <c r="K104" s="394">
        <f t="shared" si="32"/>
        <v>0</v>
      </c>
      <c r="L104" s="394">
        <f t="shared" si="32"/>
        <v>0</v>
      </c>
      <c r="M104" s="394">
        <f t="shared" si="32"/>
        <v>0</v>
      </c>
      <c r="N104" s="394">
        <f t="shared" si="32"/>
        <v>0</v>
      </c>
      <c r="O104" s="394">
        <f t="shared" si="32"/>
        <v>0</v>
      </c>
      <c r="P104" s="394">
        <f t="shared" si="32"/>
        <v>0</v>
      </c>
      <c r="Q104" s="394">
        <f t="shared" si="32"/>
        <v>0</v>
      </c>
      <c r="R104" s="394">
        <f t="shared" si="32"/>
        <v>0</v>
      </c>
      <c r="S104" s="24"/>
    </row>
    <row r="105" spans="1:19">
      <c r="A105" s="6" t="s">
        <v>326</v>
      </c>
      <c r="B105" s="671">
        <v>0</v>
      </c>
      <c r="D105" s="540"/>
      <c r="E105" s="540"/>
      <c r="F105" s="540"/>
      <c r="G105" s="540"/>
      <c r="H105" s="572">
        <f>$B$105*60</f>
        <v>0</v>
      </c>
      <c r="I105" s="572">
        <f>$B$105*5</f>
        <v>0</v>
      </c>
      <c r="J105" s="572">
        <f>$B$105*5</f>
        <v>0</v>
      </c>
      <c r="K105" s="572">
        <f t="shared" ref="K105:R106" si="33">J105*K116</f>
        <v>0</v>
      </c>
      <c r="L105" s="572">
        <f t="shared" si="33"/>
        <v>0</v>
      </c>
      <c r="M105" s="669">
        <f t="shared" si="33"/>
        <v>0</v>
      </c>
      <c r="N105" s="669">
        <f t="shared" si="33"/>
        <v>0</v>
      </c>
      <c r="O105" s="669">
        <f t="shared" si="33"/>
        <v>0</v>
      </c>
      <c r="P105" s="669">
        <f t="shared" si="33"/>
        <v>0</v>
      </c>
      <c r="Q105" s="669">
        <f t="shared" si="33"/>
        <v>0</v>
      </c>
      <c r="R105" s="669">
        <f t="shared" si="33"/>
        <v>0</v>
      </c>
      <c r="S105" s="24"/>
    </row>
    <row r="106" spans="1:19">
      <c r="A106" s="357" t="s">
        <v>58</v>
      </c>
      <c r="B106" s="672">
        <v>0</v>
      </c>
      <c r="C106" s="292"/>
      <c r="D106" s="546"/>
      <c r="E106" s="546"/>
      <c r="F106" s="546"/>
      <c r="G106" s="546"/>
      <c r="H106" s="428">
        <v>1021</v>
      </c>
      <c r="I106" s="428">
        <f>$B$106*25</f>
        <v>0</v>
      </c>
      <c r="J106" s="428">
        <f>$B$106*5</f>
        <v>0</v>
      </c>
      <c r="K106" s="428">
        <f t="shared" si="33"/>
        <v>0</v>
      </c>
      <c r="L106" s="428">
        <f t="shared" si="33"/>
        <v>0</v>
      </c>
      <c r="M106" s="670">
        <f t="shared" si="33"/>
        <v>0</v>
      </c>
      <c r="N106" s="670">
        <f t="shared" si="33"/>
        <v>0</v>
      </c>
      <c r="O106" s="670">
        <f t="shared" si="33"/>
        <v>0</v>
      </c>
      <c r="P106" s="670">
        <f t="shared" si="33"/>
        <v>0</v>
      </c>
      <c r="Q106" s="670">
        <f t="shared" si="33"/>
        <v>0</v>
      </c>
      <c r="R106" s="670">
        <f t="shared" si="33"/>
        <v>0</v>
      </c>
      <c r="S106" s="24"/>
    </row>
    <row r="107" spans="1:19">
      <c r="A107" s="38" t="s">
        <v>283</v>
      </c>
      <c r="D107" s="565">
        <f>SUM(D99:D106)</f>
        <v>197477</v>
      </c>
      <c r="E107" s="565">
        <f>SUM(E99:E106)</f>
        <v>157057</v>
      </c>
      <c r="F107" s="565">
        <f>SUM(F99:F106)</f>
        <v>111491</v>
      </c>
      <c r="G107" s="565">
        <f>SUM(G99:G106)</f>
        <v>67137</v>
      </c>
      <c r="H107" s="566">
        <f t="shared" ref="H107:R107" si="34">SUM(H99:H106)</f>
        <v>89631</v>
      </c>
      <c r="I107" s="566">
        <f t="shared" si="34"/>
        <v>99500</v>
      </c>
      <c r="J107" s="566">
        <f t="shared" si="34"/>
        <v>65000</v>
      </c>
      <c r="K107" s="566">
        <f t="shared" si="34"/>
        <v>65000</v>
      </c>
      <c r="L107" s="566">
        <f t="shared" si="34"/>
        <v>65000</v>
      </c>
      <c r="M107" s="566">
        <f t="shared" si="34"/>
        <v>65000</v>
      </c>
      <c r="N107" s="566">
        <f t="shared" si="34"/>
        <v>65000</v>
      </c>
      <c r="O107" s="566">
        <f t="shared" si="34"/>
        <v>65000</v>
      </c>
      <c r="P107" s="566">
        <f t="shared" si="34"/>
        <v>65000</v>
      </c>
      <c r="Q107" s="566">
        <f t="shared" si="34"/>
        <v>65000</v>
      </c>
      <c r="R107" s="566">
        <f t="shared" si="34"/>
        <v>65000</v>
      </c>
      <c r="S107" s="24"/>
    </row>
    <row r="108" spans="1:19">
      <c r="A108" s="38"/>
      <c r="E108" s="658"/>
      <c r="F108" s="658"/>
      <c r="G108" s="658"/>
      <c r="H108" s="566"/>
      <c r="I108" s="566"/>
      <c r="J108" s="566"/>
      <c r="K108" s="566"/>
      <c r="L108" s="566"/>
      <c r="M108" s="566"/>
      <c r="N108" s="566"/>
      <c r="O108" s="566"/>
      <c r="P108" s="566"/>
      <c r="Q108" s="566"/>
      <c r="R108" s="566"/>
      <c r="S108" s="24"/>
    </row>
    <row r="109" spans="1:19" ht="15.75" hidden="1" outlineLevel="1">
      <c r="A109" s="651" t="s">
        <v>327</v>
      </c>
      <c r="B109" s="412"/>
      <c r="C109" s="647"/>
      <c r="D109" s="647"/>
      <c r="E109" s="648"/>
      <c r="F109" s="412"/>
      <c r="G109" s="649"/>
      <c r="H109" s="650"/>
      <c r="I109" s="650"/>
      <c r="J109" s="650"/>
      <c r="K109" s="650"/>
      <c r="L109" s="650"/>
      <c r="M109" s="650"/>
      <c r="N109" s="650"/>
      <c r="O109" s="650"/>
      <c r="P109" s="650"/>
      <c r="Q109" s="650"/>
      <c r="R109" s="650"/>
      <c r="S109" s="662"/>
    </row>
    <row r="110" spans="1:19" hidden="1" outlineLevel="1">
      <c r="A110" s="6" t="s">
        <v>331</v>
      </c>
      <c r="C110" s="310"/>
      <c r="D110" s="310"/>
      <c r="E110" s="549"/>
      <c r="G110" s="77"/>
      <c r="H110" s="642">
        <v>1.01</v>
      </c>
      <c r="I110" s="642">
        <v>1.01</v>
      </c>
      <c r="J110" s="642">
        <v>1.01</v>
      </c>
      <c r="K110" s="642">
        <v>1.01</v>
      </c>
      <c r="L110" s="642">
        <v>1.01</v>
      </c>
      <c r="M110" s="642">
        <v>1.01</v>
      </c>
      <c r="N110" s="642">
        <v>1.01</v>
      </c>
      <c r="O110" s="642">
        <v>1.01</v>
      </c>
      <c r="P110" s="642">
        <v>1.01</v>
      </c>
      <c r="Q110" s="642">
        <v>1.01</v>
      </c>
      <c r="R110" s="642">
        <v>1.01</v>
      </c>
      <c r="S110" s="24"/>
    </row>
    <row r="111" spans="1:19" hidden="1" outlineLevel="1">
      <c r="A111" s="6" t="s">
        <v>332</v>
      </c>
      <c r="C111" s="310"/>
      <c r="D111" s="310"/>
      <c r="E111" s="549"/>
      <c r="G111" s="77"/>
      <c r="H111" s="642">
        <v>1.02</v>
      </c>
      <c r="I111" s="642">
        <v>1.02</v>
      </c>
      <c r="J111" s="642">
        <v>1.02</v>
      </c>
      <c r="K111" s="642">
        <v>1.02</v>
      </c>
      <c r="L111" s="642">
        <v>1.02</v>
      </c>
      <c r="M111" s="642">
        <v>1.02</v>
      </c>
      <c r="N111" s="642">
        <v>1.02</v>
      </c>
      <c r="O111" s="642">
        <v>1.02</v>
      </c>
      <c r="P111" s="642">
        <v>1.02</v>
      </c>
      <c r="Q111" s="642">
        <v>1.02</v>
      </c>
      <c r="R111" s="642">
        <v>1.02</v>
      </c>
      <c r="S111" s="24"/>
    </row>
    <row r="112" spans="1:19" hidden="1" outlineLevel="1">
      <c r="A112" s="56" t="s">
        <v>468</v>
      </c>
      <c r="C112" s="310"/>
      <c r="D112" s="310"/>
      <c r="E112" s="113">
        <f t="shared" ref="E112:H113" si="35">E101/D101</f>
        <v>0.76799667830593599</v>
      </c>
      <c r="F112" s="113">
        <f t="shared" si="35"/>
        <v>0.71669673855694005</v>
      </c>
      <c r="G112" s="113">
        <f t="shared" si="35"/>
        <v>0.57315410622750573</v>
      </c>
      <c r="H112" s="113">
        <f t="shared" si="35"/>
        <v>1.1781868924726067</v>
      </c>
      <c r="I112" s="286">
        <f>AVERAGE(E112:H112)</f>
        <v>0.80900860389074714</v>
      </c>
      <c r="J112" s="286">
        <v>0.57999999999999996</v>
      </c>
      <c r="K112" s="286">
        <v>1</v>
      </c>
      <c r="L112" s="286">
        <v>1</v>
      </c>
      <c r="M112" s="286">
        <v>1</v>
      </c>
      <c r="N112" s="286">
        <f>M112</f>
        <v>1</v>
      </c>
      <c r="O112" s="286">
        <f>N112</f>
        <v>1</v>
      </c>
      <c r="P112" s="286">
        <f>O112</f>
        <v>1</v>
      </c>
      <c r="Q112" s="286">
        <f>P112</f>
        <v>1</v>
      </c>
      <c r="R112" s="286">
        <f>Q112</f>
        <v>1</v>
      </c>
      <c r="S112" s="24"/>
    </row>
    <row r="113" spans="1:20" hidden="1" outlineLevel="1">
      <c r="A113" s="6" t="s">
        <v>469</v>
      </c>
      <c r="C113" s="310"/>
      <c r="D113" s="310"/>
      <c r="E113" s="113">
        <f t="shared" si="35"/>
        <v>6.0869877785765638</v>
      </c>
      <c r="F113" s="113">
        <f t="shared" si="35"/>
        <v>0.73615211999527574</v>
      </c>
      <c r="G113" s="113">
        <f t="shared" si="35"/>
        <v>0.90694689555591212</v>
      </c>
      <c r="H113" s="113">
        <f t="shared" si="35"/>
        <v>3.5313992570316648</v>
      </c>
      <c r="I113" s="642">
        <v>0.5</v>
      </c>
      <c r="J113" s="642">
        <v>1</v>
      </c>
      <c r="K113" s="642">
        <f t="shared" ref="K113:R113" si="36">J113</f>
        <v>1</v>
      </c>
      <c r="L113" s="642">
        <f t="shared" si="36"/>
        <v>1</v>
      </c>
      <c r="M113" s="642">
        <f t="shared" si="36"/>
        <v>1</v>
      </c>
      <c r="N113" s="642">
        <f t="shared" si="36"/>
        <v>1</v>
      </c>
      <c r="O113" s="642">
        <f t="shared" si="36"/>
        <v>1</v>
      </c>
      <c r="P113" s="642">
        <f t="shared" si="36"/>
        <v>1</v>
      </c>
      <c r="Q113" s="642">
        <f t="shared" si="36"/>
        <v>1</v>
      </c>
      <c r="R113" s="642">
        <f t="shared" si="36"/>
        <v>1</v>
      </c>
      <c r="S113" s="24"/>
    </row>
    <row r="114" spans="1:20" hidden="1" outlineLevel="1">
      <c r="A114" s="6" t="s">
        <v>470</v>
      </c>
      <c r="C114" s="310"/>
      <c r="D114" s="310"/>
      <c r="E114" s="113"/>
      <c r="F114" s="113"/>
      <c r="G114" s="113"/>
      <c r="H114" s="642">
        <v>0</v>
      </c>
      <c r="I114" s="642">
        <v>0</v>
      </c>
      <c r="J114" s="642">
        <v>0</v>
      </c>
      <c r="K114" s="642">
        <v>0</v>
      </c>
      <c r="L114" s="642">
        <v>0</v>
      </c>
      <c r="M114" s="642">
        <v>0</v>
      </c>
      <c r="N114" s="642">
        <v>0</v>
      </c>
      <c r="O114" s="642">
        <v>0</v>
      </c>
      <c r="P114" s="642">
        <v>0</v>
      </c>
      <c r="Q114" s="642">
        <v>0</v>
      </c>
      <c r="R114" s="642">
        <v>0</v>
      </c>
      <c r="S114" s="24"/>
    </row>
    <row r="115" spans="1:20" hidden="1" outlineLevel="1">
      <c r="A115" s="6" t="s">
        <v>471</v>
      </c>
      <c r="C115" s="310"/>
      <c r="D115" s="310"/>
      <c r="E115" s="113">
        <f>E104/D104</f>
        <v>1.2935466946484784</v>
      </c>
      <c r="F115" s="113">
        <f>F104/E104</f>
        <v>0.96734942202393026</v>
      </c>
      <c r="G115" s="113">
        <f>G104/F104</f>
        <v>0.33102725366876312</v>
      </c>
      <c r="H115" s="113">
        <f>H104/G104</f>
        <v>3.5801139962001267</v>
      </c>
      <c r="I115" s="642">
        <v>0.8</v>
      </c>
      <c r="J115" s="642">
        <v>0</v>
      </c>
      <c r="K115" s="642">
        <v>0.3</v>
      </c>
      <c r="L115" s="642">
        <f t="shared" ref="L115:R115" si="37">K115</f>
        <v>0.3</v>
      </c>
      <c r="M115" s="642">
        <f t="shared" si="37"/>
        <v>0.3</v>
      </c>
      <c r="N115" s="642">
        <f t="shared" si="37"/>
        <v>0.3</v>
      </c>
      <c r="O115" s="642">
        <f t="shared" si="37"/>
        <v>0.3</v>
      </c>
      <c r="P115" s="642">
        <f t="shared" si="37"/>
        <v>0.3</v>
      </c>
      <c r="Q115" s="642">
        <f t="shared" si="37"/>
        <v>0.3</v>
      </c>
      <c r="R115" s="642">
        <f t="shared" si="37"/>
        <v>0.3</v>
      </c>
      <c r="S115" s="24"/>
    </row>
    <row r="116" spans="1:20" hidden="1" outlineLevel="1">
      <c r="A116" s="6" t="s">
        <v>326</v>
      </c>
      <c r="C116" s="310"/>
      <c r="D116" s="310"/>
      <c r="E116" s="549"/>
      <c r="G116" s="77"/>
      <c r="H116" s="642">
        <v>1.01</v>
      </c>
      <c r="I116" s="642">
        <v>1.01</v>
      </c>
      <c r="J116" s="642">
        <v>1.01</v>
      </c>
      <c r="K116" s="642">
        <v>1.01</v>
      </c>
      <c r="L116" s="642">
        <v>1.01</v>
      </c>
      <c r="M116" s="642">
        <v>1.01</v>
      </c>
      <c r="N116" s="642">
        <v>1.01</v>
      </c>
      <c r="O116" s="642">
        <v>1.01</v>
      </c>
      <c r="P116" s="642">
        <v>1.01</v>
      </c>
      <c r="Q116" s="642">
        <v>1.01</v>
      </c>
      <c r="R116" s="642">
        <v>1.01</v>
      </c>
      <c r="S116" s="24"/>
    </row>
    <row r="117" spans="1:20" hidden="1" outlineLevel="1">
      <c r="A117" s="106" t="s">
        <v>58</v>
      </c>
      <c r="C117" s="310"/>
      <c r="D117" s="310"/>
      <c r="E117" s="549"/>
      <c r="G117" s="77"/>
      <c r="H117" s="642">
        <v>1.01</v>
      </c>
      <c r="I117" s="642">
        <v>1.01</v>
      </c>
      <c r="J117" s="642">
        <v>1.01</v>
      </c>
      <c r="K117" s="642">
        <v>1.01</v>
      </c>
      <c r="L117" s="642">
        <v>1.01</v>
      </c>
      <c r="M117" s="642">
        <v>1.01</v>
      </c>
      <c r="N117" s="642">
        <v>1.01</v>
      </c>
      <c r="O117" s="642">
        <v>1.01</v>
      </c>
      <c r="P117" s="642">
        <v>1.01</v>
      </c>
      <c r="Q117" s="642">
        <v>1.01</v>
      </c>
      <c r="R117" s="642">
        <v>1.01</v>
      </c>
      <c r="S117" s="24"/>
    </row>
    <row r="118" spans="1:20" hidden="1" outlineLevel="1">
      <c r="A118" s="38"/>
      <c r="E118" s="658"/>
      <c r="F118" s="658"/>
      <c r="G118" s="658"/>
      <c r="H118" s="566"/>
      <c r="I118" s="566"/>
      <c r="J118" s="566"/>
      <c r="K118" s="566"/>
      <c r="L118" s="566"/>
      <c r="M118" s="566"/>
      <c r="N118" s="566"/>
      <c r="O118" s="566"/>
      <c r="P118" s="566"/>
      <c r="Q118" s="566"/>
      <c r="R118" s="566"/>
      <c r="S118" s="24"/>
    </row>
    <row r="119" spans="1:20" hidden="1" outlineLevel="1">
      <c r="A119" s="8"/>
      <c r="S119" s="24"/>
    </row>
    <row r="120" spans="1:20" collapsed="1">
      <c r="A120" s="8"/>
      <c r="S120" s="24"/>
    </row>
    <row r="121" spans="1:20" ht="15.75">
      <c r="A121" s="483" t="s">
        <v>314</v>
      </c>
      <c r="B121" s="412"/>
      <c r="C121" s="412"/>
      <c r="D121" s="412"/>
      <c r="E121" s="412"/>
      <c r="F121" s="412"/>
      <c r="G121" s="412"/>
      <c r="H121" s="412"/>
      <c r="I121" s="412"/>
      <c r="J121" s="412"/>
      <c r="K121" s="412"/>
      <c r="L121" s="412"/>
      <c r="M121" s="412"/>
      <c r="N121" s="412"/>
      <c r="O121" s="412"/>
      <c r="P121" s="412"/>
      <c r="Q121" s="412"/>
      <c r="R121" s="412"/>
      <c r="S121" s="24"/>
    </row>
    <row r="122" spans="1:20">
      <c r="E122" s="480"/>
      <c r="F122" s="480"/>
      <c r="G122" s="323"/>
      <c r="H122" s="309" t="s">
        <v>203</v>
      </c>
      <c r="I122" s="328"/>
      <c r="J122" s="323"/>
      <c r="K122" s="323"/>
      <c r="L122" s="246"/>
      <c r="M122" s="323"/>
      <c r="N122" s="246"/>
      <c r="O122" s="246"/>
      <c r="P122" s="246"/>
      <c r="Q122" s="246"/>
      <c r="R122" s="292"/>
    </row>
    <row r="123" spans="1:20">
      <c r="D123" s="387">
        <v>1997</v>
      </c>
      <c r="E123" s="256">
        <v>1998</v>
      </c>
      <c r="F123" s="256">
        <v>1999</v>
      </c>
      <c r="G123" s="256">
        <v>2000</v>
      </c>
      <c r="H123" s="256">
        <v>2001</v>
      </c>
      <c r="I123" s="289">
        <v>2002</v>
      </c>
      <c r="J123" s="289">
        <v>2003</v>
      </c>
      <c r="K123" s="289">
        <v>2004</v>
      </c>
      <c r="L123" s="289">
        <v>2005</v>
      </c>
      <c r="M123" s="289">
        <v>2006</v>
      </c>
      <c r="N123" s="293">
        <v>2007</v>
      </c>
      <c r="O123" s="293">
        <v>2008</v>
      </c>
      <c r="P123" s="293">
        <v>2009</v>
      </c>
      <c r="Q123" s="293">
        <v>2010</v>
      </c>
      <c r="R123" s="465">
        <v>2011</v>
      </c>
    </row>
    <row r="124" spans="1:20">
      <c r="G124" s="487" t="s">
        <v>213</v>
      </c>
      <c r="H124" s="256">
        <v>1</v>
      </c>
      <c r="I124" s="289">
        <v>2</v>
      </c>
      <c r="J124" s="289">
        <v>3</v>
      </c>
      <c r="K124" s="289">
        <v>4</v>
      </c>
      <c r="L124" s="289">
        <v>5</v>
      </c>
      <c r="M124" s="289">
        <v>6</v>
      </c>
      <c r="N124" s="289">
        <v>7</v>
      </c>
      <c r="O124" s="289">
        <v>8</v>
      </c>
      <c r="P124" s="289">
        <v>9</v>
      </c>
      <c r="Q124" s="289">
        <v>10</v>
      </c>
      <c r="R124" s="389">
        <v>11</v>
      </c>
    </row>
    <row r="125" spans="1:20">
      <c r="A125" s="67" t="s">
        <v>33</v>
      </c>
      <c r="B125" s="23"/>
      <c r="C125" s="195">
        <v>2743866</v>
      </c>
      <c r="D125" s="18"/>
      <c r="E125" s="206"/>
      <c r="F125" s="206"/>
      <c r="G125" s="18"/>
      <c r="H125" s="943">
        <f>Assumptions!G22</f>
        <v>2.2499999999999999E-2</v>
      </c>
      <c r="I125" s="944">
        <f>H125</f>
        <v>2.2499999999999999E-2</v>
      </c>
      <c r="J125" s="944">
        <f t="shared" ref="J125:S125" si="38">I125</f>
        <v>2.2499999999999999E-2</v>
      </c>
      <c r="K125" s="944">
        <f t="shared" si="38"/>
        <v>2.2499999999999999E-2</v>
      </c>
      <c r="L125" s="944">
        <f t="shared" si="38"/>
        <v>2.2499999999999999E-2</v>
      </c>
      <c r="M125" s="944">
        <f t="shared" si="38"/>
        <v>2.2499999999999999E-2</v>
      </c>
      <c r="N125" s="944">
        <f t="shared" si="38"/>
        <v>2.2499999999999999E-2</v>
      </c>
      <c r="O125" s="944">
        <f t="shared" si="38"/>
        <v>2.2499999999999999E-2</v>
      </c>
      <c r="P125" s="944">
        <f t="shared" si="38"/>
        <v>2.2499999999999999E-2</v>
      </c>
      <c r="Q125" s="944">
        <f t="shared" si="38"/>
        <v>2.2499999999999999E-2</v>
      </c>
      <c r="R125" s="945">
        <f t="shared" si="38"/>
        <v>2.2499999999999999E-2</v>
      </c>
      <c r="S125" s="945">
        <f t="shared" si="38"/>
        <v>2.2499999999999999E-2</v>
      </c>
    </row>
    <row r="126" spans="1:20">
      <c r="A126" s="2" t="s">
        <v>472</v>
      </c>
      <c r="C126" s="659"/>
      <c r="D126" s="790"/>
      <c r="E126" s="206"/>
      <c r="F126" s="206"/>
      <c r="G126" s="18"/>
      <c r="H126" s="29"/>
      <c r="I126" s="29">
        <f>+H128</f>
        <v>47577</v>
      </c>
      <c r="J126" s="29">
        <f t="shared" ref="J126:S126" si="39">+I126</f>
        <v>47577</v>
      </c>
      <c r="K126" s="29">
        <f t="shared" si="39"/>
        <v>47577</v>
      </c>
      <c r="L126" s="29">
        <f t="shared" si="39"/>
        <v>47577</v>
      </c>
      <c r="M126" s="29">
        <f t="shared" si="39"/>
        <v>47577</v>
      </c>
      <c r="N126" s="29">
        <f t="shared" si="39"/>
        <v>47577</v>
      </c>
      <c r="O126" s="29">
        <f t="shared" si="39"/>
        <v>47577</v>
      </c>
      <c r="P126" s="29">
        <f t="shared" si="39"/>
        <v>47577</v>
      </c>
      <c r="Q126" s="29">
        <f t="shared" si="39"/>
        <v>47577</v>
      </c>
      <c r="R126" s="29">
        <f t="shared" si="39"/>
        <v>47577</v>
      </c>
      <c r="S126" s="29">
        <f t="shared" si="39"/>
        <v>47577</v>
      </c>
    </row>
    <row r="127" spans="1:20">
      <c r="A127" s="2" t="s">
        <v>9</v>
      </c>
      <c r="D127" s="16"/>
      <c r="E127" s="660"/>
      <c r="F127" s="660"/>
      <c r="G127" s="213"/>
      <c r="H127" s="614"/>
      <c r="I127" s="614">
        <f t="shared" ref="I127:R127" si="40">I149</f>
        <v>3527.2799999999997</v>
      </c>
      <c r="J127" s="614">
        <f t="shared" si="40"/>
        <v>5766.03</v>
      </c>
      <c r="K127" s="614">
        <f t="shared" si="40"/>
        <v>7228.53</v>
      </c>
      <c r="L127" s="614">
        <f t="shared" si="40"/>
        <v>8691.0299999999988</v>
      </c>
      <c r="M127" s="614">
        <f t="shared" si="40"/>
        <v>10153.529999999999</v>
      </c>
      <c r="N127" s="614">
        <f t="shared" si="40"/>
        <v>11616.029999999999</v>
      </c>
      <c r="O127" s="614">
        <f t="shared" si="40"/>
        <v>13078.529999999999</v>
      </c>
      <c r="P127" s="614">
        <f t="shared" si="40"/>
        <v>14541.029999999999</v>
      </c>
      <c r="Q127" s="614">
        <f t="shared" si="40"/>
        <v>16003.529999999999</v>
      </c>
      <c r="R127" s="614">
        <f t="shared" si="40"/>
        <v>17466.03</v>
      </c>
      <c r="S127" s="57"/>
    </row>
    <row r="128" spans="1:20">
      <c r="A128" s="38" t="s">
        <v>221</v>
      </c>
      <c r="D128" s="994">
        <f ca="1">D21</f>
        <v>88563</v>
      </c>
      <c r="E128" s="994">
        <f ca="1">E21</f>
        <v>81343</v>
      </c>
      <c r="F128" s="994">
        <f ca="1">F21</f>
        <v>40395</v>
      </c>
      <c r="G128" s="994">
        <f ca="1">G21</f>
        <v>50691</v>
      </c>
      <c r="H128" s="993">
        <v>47577</v>
      </c>
      <c r="I128" s="615">
        <f t="shared" ref="I128:R128" si="41">SUM(I126:I127)</f>
        <v>51104.28</v>
      </c>
      <c r="J128" s="615">
        <f t="shared" si="41"/>
        <v>53343.03</v>
      </c>
      <c r="K128" s="615">
        <f t="shared" si="41"/>
        <v>54805.53</v>
      </c>
      <c r="L128" s="566">
        <f t="shared" si="41"/>
        <v>56268.03</v>
      </c>
      <c r="M128" s="566">
        <f t="shared" si="41"/>
        <v>57730.53</v>
      </c>
      <c r="N128" s="615">
        <f t="shared" si="41"/>
        <v>59193.03</v>
      </c>
      <c r="O128" s="615">
        <f t="shared" si="41"/>
        <v>60655.53</v>
      </c>
      <c r="P128" s="615">
        <f t="shared" si="41"/>
        <v>62118.03</v>
      </c>
      <c r="Q128" s="615">
        <f t="shared" si="41"/>
        <v>63580.53</v>
      </c>
      <c r="R128" s="615">
        <f t="shared" si="41"/>
        <v>65043.03</v>
      </c>
      <c r="S128" s="457"/>
      <c r="T128" s="34"/>
    </row>
    <row r="129" spans="1:25">
      <c r="A129" s="1"/>
      <c r="D129" s="16"/>
      <c r="E129" s="206"/>
      <c r="F129" s="206"/>
      <c r="G129" s="18"/>
      <c r="H129" s="12"/>
      <c r="I129" s="1"/>
      <c r="J129" s="1"/>
      <c r="K129" s="12"/>
      <c r="L129" s="12"/>
      <c r="M129" s="1"/>
      <c r="N129" s="1"/>
      <c r="O129" s="1"/>
      <c r="P129" s="1"/>
      <c r="Q129" s="1"/>
      <c r="R129" s="1"/>
      <c r="S129" s="34"/>
      <c r="T129" s="34"/>
    </row>
    <row r="130" spans="1:25">
      <c r="A130" s="860" t="s">
        <v>7</v>
      </c>
      <c r="D130" s="16"/>
      <c r="E130" s="206"/>
      <c r="F130" s="206"/>
      <c r="G130" s="18"/>
      <c r="H130" s="988">
        <v>0.05</v>
      </c>
      <c r="I130" s="989">
        <v>0.05</v>
      </c>
      <c r="J130" s="989">
        <v>0.04</v>
      </c>
      <c r="K130" s="989">
        <f t="shared" ref="K130:R130" si="42">J130</f>
        <v>0.04</v>
      </c>
      <c r="L130" s="989">
        <v>0.03</v>
      </c>
      <c r="M130" s="989">
        <f t="shared" si="42"/>
        <v>0.03</v>
      </c>
      <c r="N130" s="989">
        <f t="shared" si="42"/>
        <v>0.03</v>
      </c>
      <c r="O130" s="989">
        <f t="shared" si="42"/>
        <v>0.03</v>
      </c>
      <c r="P130" s="989">
        <v>0.02</v>
      </c>
      <c r="Q130" s="989">
        <f t="shared" si="42"/>
        <v>0.02</v>
      </c>
      <c r="R130" s="989">
        <f t="shared" si="42"/>
        <v>0.02</v>
      </c>
      <c r="S130" s="949"/>
      <c r="T130" s="934"/>
    </row>
    <row r="131" spans="1:25">
      <c r="D131" s="16"/>
      <c r="E131" s="206"/>
      <c r="F131" s="206"/>
      <c r="G131" s="18"/>
      <c r="H131" s="988">
        <v>0.05</v>
      </c>
      <c r="I131" s="989">
        <v>9.5000000000000001E-2</v>
      </c>
      <c r="J131" s="989">
        <v>8.5500000000000007E-2</v>
      </c>
      <c r="K131" s="989">
        <v>7.6999999999999999E-2</v>
      </c>
      <c r="L131" s="989">
        <v>6.93E-2</v>
      </c>
      <c r="M131" s="989">
        <v>6.2300000000000001E-2</v>
      </c>
      <c r="N131" s="989">
        <v>5.8999999999999997E-2</v>
      </c>
      <c r="O131" s="989">
        <v>5.8999999999999997E-2</v>
      </c>
      <c r="P131" s="989">
        <v>5.91E-2</v>
      </c>
      <c r="Q131" s="989">
        <v>5.8999999999999997E-2</v>
      </c>
      <c r="R131" s="989">
        <v>5.91E-2</v>
      </c>
      <c r="S131" s="788">
        <v>5.8999999999999997E-2</v>
      </c>
      <c r="T131" s="788">
        <v>5.91E-2</v>
      </c>
      <c r="U131" s="788">
        <v>5.8999999999999997E-2</v>
      </c>
      <c r="V131" s="788">
        <v>5.91E-2</v>
      </c>
      <c r="W131" s="788">
        <v>5.8999999999999997E-2</v>
      </c>
      <c r="X131" s="788">
        <v>5.91E-2</v>
      </c>
      <c r="Y131" s="948">
        <v>2.9499999999999998E-2</v>
      </c>
    </row>
    <row r="132" spans="1:25">
      <c r="A132" s="2" t="s">
        <v>472</v>
      </c>
      <c r="B132" s="14"/>
      <c r="D132" s="16"/>
      <c r="E132" s="206"/>
      <c r="F132" s="206"/>
      <c r="G132" s="18"/>
      <c r="H132" s="1">
        <f>H130*$C$125</f>
        <v>137193.30000000002</v>
      </c>
      <c r="I132" s="1">
        <f t="shared" ref="I132:S132" si="43">I130*$C$125</f>
        <v>137193.30000000002</v>
      </c>
      <c r="J132" s="1">
        <f t="shared" si="43"/>
        <v>109754.64</v>
      </c>
      <c r="K132" s="1">
        <f t="shared" si="43"/>
        <v>109754.64</v>
      </c>
      <c r="L132" s="1">
        <f t="shared" si="43"/>
        <v>82315.98</v>
      </c>
      <c r="M132" s="1">
        <f t="shared" si="43"/>
        <v>82315.98</v>
      </c>
      <c r="N132" s="1">
        <f t="shared" si="43"/>
        <v>82315.98</v>
      </c>
      <c r="O132" s="1">
        <f t="shared" si="43"/>
        <v>82315.98</v>
      </c>
      <c r="P132" s="1">
        <f t="shared" si="43"/>
        <v>54877.32</v>
      </c>
      <c r="Q132" s="1">
        <f t="shared" si="43"/>
        <v>54877.32</v>
      </c>
      <c r="R132" s="1">
        <f t="shared" si="43"/>
        <v>54877.32</v>
      </c>
      <c r="S132" s="1">
        <f t="shared" si="43"/>
        <v>0</v>
      </c>
    </row>
    <row r="133" spans="1:25" ht="15">
      <c r="A133" s="2" t="s">
        <v>9</v>
      </c>
      <c r="B133" s="15"/>
      <c r="D133" s="16"/>
      <c r="E133" s="208"/>
      <c r="F133" s="208"/>
      <c r="G133" s="18"/>
      <c r="H133" s="5">
        <f>H162</f>
        <v>3356.8500000000004</v>
      </c>
      <c r="I133" s="5">
        <f t="shared" ref="I133:R133" si="44">I162</f>
        <v>10859.565000000001</v>
      </c>
      <c r="J133" s="5">
        <f t="shared" si="44"/>
        <v>19230.158500000001</v>
      </c>
      <c r="K133" s="5">
        <f t="shared" si="44"/>
        <v>25535.499500000002</v>
      </c>
      <c r="L133" s="5">
        <f t="shared" si="44"/>
        <v>29486.431100000002</v>
      </c>
      <c r="M133" s="5">
        <f t="shared" si="44"/>
        <v>33038.063399999999</v>
      </c>
      <c r="N133" s="5">
        <f t="shared" si="44"/>
        <v>36427.944300000003</v>
      </c>
      <c r="O133" s="5">
        <f t="shared" si="44"/>
        <v>39940.161999999997</v>
      </c>
      <c r="P133" s="5">
        <f t="shared" si="44"/>
        <v>43668.025699999998</v>
      </c>
      <c r="Q133" s="5">
        <f t="shared" si="44"/>
        <v>47505.275099999999</v>
      </c>
      <c r="R133" s="5">
        <f t="shared" si="44"/>
        <v>51347.975699999995</v>
      </c>
      <c r="S133" s="5"/>
    </row>
    <row r="134" spans="1:25">
      <c r="A134" s="38" t="s">
        <v>220</v>
      </c>
      <c r="C134" s="794">
        <v>2</v>
      </c>
      <c r="D134" s="795">
        <f ca="1">D128*$C$134</f>
        <v>177126</v>
      </c>
      <c r="E134" s="795">
        <f ca="1">E128*$C$134</f>
        <v>162686</v>
      </c>
      <c r="F134" s="795">
        <f ca="1">F128*$C$134</f>
        <v>80790</v>
      </c>
      <c r="G134" s="795">
        <f ca="1">G128*$C$134</f>
        <v>101382</v>
      </c>
      <c r="H134" s="615">
        <f t="shared" ref="H134:R134" si="45">SUM(H132:H133)</f>
        <v>140550.15000000002</v>
      </c>
      <c r="I134" s="615">
        <f t="shared" si="45"/>
        <v>148052.86500000002</v>
      </c>
      <c r="J134" s="615">
        <f t="shared" si="45"/>
        <v>128984.7985</v>
      </c>
      <c r="K134" s="615">
        <f t="shared" si="45"/>
        <v>135290.13949999999</v>
      </c>
      <c r="L134" s="566">
        <f t="shared" si="45"/>
        <v>111802.4111</v>
      </c>
      <c r="M134" s="566">
        <f t="shared" si="45"/>
        <v>115354.0434</v>
      </c>
      <c r="N134" s="615">
        <f t="shared" si="45"/>
        <v>118743.9243</v>
      </c>
      <c r="O134" s="615">
        <f t="shared" si="45"/>
        <v>122256.14199999999</v>
      </c>
      <c r="P134" s="615">
        <f t="shared" si="45"/>
        <v>98545.345700000005</v>
      </c>
      <c r="Q134" s="615">
        <f t="shared" si="45"/>
        <v>102382.59510000001</v>
      </c>
      <c r="R134" s="615">
        <f t="shared" si="45"/>
        <v>106225.29569999999</v>
      </c>
      <c r="S134" s="1"/>
    </row>
    <row r="135" spans="1:25">
      <c r="D135" s="10">
        <f t="shared" ref="D135:R135" ca="1" si="46">(D134-D128)*0.385</f>
        <v>34096.754999999997</v>
      </c>
      <c r="E135" s="10">
        <f t="shared" ca="1" si="46"/>
        <v>31317.055</v>
      </c>
      <c r="F135" s="10">
        <f t="shared" ca="1" si="46"/>
        <v>15552.075000000001</v>
      </c>
      <c r="G135" s="10">
        <f t="shared" ca="1" si="46"/>
        <v>19516.035</v>
      </c>
      <c r="H135" s="10">
        <f t="shared" si="46"/>
        <v>35794.66275000001</v>
      </c>
      <c r="I135" s="10">
        <f t="shared" si="46"/>
        <v>37325.205225000012</v>
      </c>
      <c r="J135" s="10">
        <f t="shared" si="46"/>
        <v>29122.080872500002</v>
      </c>
      <c r="K135" s="10">
        <f t="shared" si="46"/>
        <v>30986.574657499998</v>
      </c>
      <c r="L135" s="10">
        <f t="shared" si="46"/>
        <v>21380.736723499998</v>
      </c>
      <c r="M135" s="10">
        <f t="shared" si="46"/>
        <v>22185.052659000001</v>
      </c>
      <c r="N135" s="10">
        <f t="shared" si="46"/>
        <v>22927.094305499999</v>
      </c>
      <c r="O135" s="10">
        <f t="shared" si="46"/>
        <v>23716.235619999999</v>
      </c>
      <c r="P135" s="10">
        <f t="shared" si="46"/>
        <v>14024.516544500002</v>
      </c>
      <c r="Q135" s="10">
        <f t="shared" si="46"/>
        <v>14938.795063500003</v>
      </c>
      <c r="R135" s="10">
        <f t="shared" si="46"/>
        <v>15855.172294499996</v>
      </c>
    </row>
    <row r="136" spans="1:25" hidden="1" outlineLevel="1">
      <c r="A136" t="s">
        <v>506</v>
      </c>
    </row>
    <row r="137" spans="1:25" hidden="1" outlineLevel="1">
      <c r="H137" s="256">
        <v>2001</v>
      </c>
      <c r="I137" s="289">
        <v>2002</v>
      </c>
      <c r="J137" s="289">
        <v>2003</v>
      </c>
      <c r="K137" s="289">
        <v>2004</v>
      </c>
      <c r="L137" s="289">
        <v>2005</v>
      </c>
      <c r="M137" s="289">
        <v>2006</v>
      </c>
      <c r="N137" s="293">
        <v>2007</v>
      </c>
      <c r="O137" s="293">
        <v>2008</v>
      </c>
      <c r="P137" s="293">
        <v>2009</v>
      </c>
      <c r="Q137" s="293">
        <v>2010</v>
      </c>
      <c r="R137" s="858">
        <v>2011</v>
      </c>
    </row>
    <row r="138" spans="1:25" hidden="1" outlineLevel="1">
      <c r="A138">
        <v>2000</v>
      </c>
      <c r="B138" t="s">
        <v>507</v>
      </c>
      <c r="H138" s="26">
        <f>G$107*H$125</f>
        <v>1510.5825</v>
      </c>
      <c r="I138" s="26">
        <f>H138</f>
        <v>1510.5825</v>
      </c>
      <c r="J138" s="26">
        <f t="shared" ref="J138:R138" si="47">I138</f>
        <v>1510.5825</v>
      </c>
      <c r="K138" s="26">
        <f t="shared" si="47"/>
        <v>1510.5825</v>
      </c>
      <c r="L138" s="26">
        <f t="shared" si="47"/>
        <v>1510.5825</v>
      </c>
      <c r="M138" s="26">
        <f t="shared" si="47"/>
        <v>1510.5825</v>
      </c>
      <c r="N138" s="26">
        <f t="shared" si="47"/>
        <v>1510.5825</v>
      </c>
      <c r="O138" s="26">
        <f t="shared" si="47"/>
        <v>1510.5825</v>
      </c>
      <c r="P138" s="26">
        <f t="shared" si="47"/>
        <v>1510.5825</v>
      </c>
      <c r="Q138" s="26">
        <f t="shared" si="47"/>
        <v>1510.5825</v>
      </c>
      <c r="R138" s="26">
        <f t="shared" si="47"/>
        <v>1510.5825</v>
      </c>
    </row>
    <row r="139" spans="1:25" hidden="1" outlineLevel="1">
      <c r="A139">
        <v>2001</v>
      </c>
      <c r="B139" t="s">
        <v>507</v>
      </c>
      <c r="H139" s="26"/>
      <c r="I139" s="26">
        <f>H$107*I$125</f>
        <v>2016.6975</v>
      </c>
      <c r="J139" s="26">
        <f>I139</f>
        <v>2016.6975</v>
      </c>
      <c r="K139" s="26">
        <f t="shared" ref="K139:R139" si="48">J139</f>
        <v>2016.6975</v>
      </c>
      <c r="L139" s="26">
        <f t="shared" si="48"/>
        <v>2016.6975</v>
      </c>
      <c r="M139" s="26">
        <f t="shared" si="48"/>
        <v>2016.6975</v>
      </c>
      <c r="N139" s="26">
        <f t="shared" si="48"/>
        <v>2016.6975</v>
      </c>
      <c r="O139" s="26">
        <f t="shared" si="48"/>
        <v>2016.6975</v>
      </c>
      <c r="P139" s="26">
        <f t="shared" si="48"/>
        <v>2016.6975</v>
      </c>
      <c r="Q139" s="26">
        <f t="shared" si="48"/>
        <v>2016.6975</v>
      </c>
      <c r="R139" s="26">
        <f t="shared" si="48"/>
        <v>2016.6975</v>
      </c>
    </row>
    <row r="140" spans="1:25" hidden="1" outlineLevel="1">
      <c r="A140">
        <v>2002</v>
      </c>
      <c r="B140" t="s">
        <v>507</v>
      </c>
      <c r="H140" s="26"/>
      <c r="I140" s="26"/>
      <c r="J140" s="26">
        <f>I$107*J$125</f>
        <v>2238.75</v>
      </c>
      <c r="K140" s="26">
        <f>J140</f>
        <v>2238.75</v>
      </c>
      <c r="L140" s="26">
        <f t="shared" ref="L140:R140" si="49">K140</f>
        <v>2238.75</v>
      </c>
      <c r="M140" s="26">
        <f t="shared" si="49"/>
        <v>2238.75</v>
      </c>
      <c r="N140" s="26">
        <f t="shared" si="49"/>
        <v>2238.75</v>
      </c>
      <c r="O140" s="26">
        <f t="shared" si="49"/>
        <v>2238.75</v>
      </c>
      <c r="P140" s="26">
        <f t="shared" si="49"/>
        <v>2238.75</v>
      </c>
      <c r="Q140" s="26">
        <f t="shared" si="49"/>
        <v>2238.75</v>
      </c>
      <c r="R140" s="26">
        <f t="shared" si="49"/>
        <v>2238.75</v>
      </c>
    </row>
    <row r="141" spans="1:25" hidden="1" outlineLevel="1">
      <c r="A141">
        <v>2003</v>
      </c>
      <c r="B141" t="s">
        <v>507</v>
      </c>
      <c r="H141" s="26"/>
      <c r="I141" s="26"/>
      <c r="J141" s="26"/>
      <c r="K141" s="26">
        <f>J$107*K$125</f>
        <v>1462.5</v>
      </c>
      <c r="L141" s="26">
        <f>K141</f>
        <v>1462.5</v>
      </c>
      <c r="M141" s="26">
        <f t="shared" ref="M141:R146" si="50">L141</f>
        <v>1462.5</v>
      </c>
      <c r="N141" s="26">
        <f t="shared" si="50"/>
        <v>1462.5</v>
      </c>
      <c r="O141" s="26">
        <f t="shared" si="50"/>
        <v>1462.5</v>
      </c>
      <c r="P141" s="26">
        <f t="shared" si="50"/>
        <v>1462.5</v>
      </c>
      <c r="Q141" s="26">
        <f t="shared" si="50"/>
        <v>1462.5</v>
      </c>
      <c r="R141" s="26">
        <f t="shared" si="50"/>
        <v>1462.5</v>
      </c>
    </row>
    <row r="142" spans="1:25" hidden="1" outlineLevel="1">
      <c r="A142">
        <v>2004</v>
      </c>
      <c r="B142" t="s">
        <v>507</v>
      </c>
      <c r="H142" s="26"/>
      <c r="I142" s="26"/>
      <c r="J142" s="26"/>
      <c r="K142" s="26"/>
      <c r="L142" s="26">
        <f>K$107*L$125</f>
        <v>1462.5</v>
      </c>
      <c r="M142" s="26">
        <f>L142</f>
        <v>1462.5</v>
      </c>
      <c r="N142" s="26">
        <f t="shared" si="50"/>
        <v>1462.5</v>
      </c>
      <c r="O142" s="26">
        <f t="shared" si="50"/>
        <v>1462.5</v>
      </c>
      <c r="P142" s="26">
        <f t="shared" si="50"/>
        <v>1462.5</v>
      </c>
      <c r="Q142" s="26">
        <f t="shared" si="50"/>
        <v>1462.5</v>
      </c>
      <c r="R142" s="26">
        <f t="shared" si="50"/>
        <v>1462.5</v>
      </c>
    </row>
    <row r="143" spans="1:25" hidden="1" outlineLevel="1">
      <c r="A143">
        <v>2005</v>
      </c>
      <c r="B143" t="s">
        <v>507</v>
      </c>
      <c r="H143" s="26"/>
      <c r="I143" s="26"/>
      <c r="J143" s="26"/>
      <c r="K143" s="26"/>
      <c r="L143" s="26"/>
      <c r="M143" s="26">
        <f>L$107*M$125</f>
        <v>1462.5</v>
      </c>
      <c r="N143" s="26">
        <f>M143</f>
        <v>1462.5</v>
      </c>
      <c r="O143" s="26">
        <f t="shared" si="50"/>
        <v>1462.5</v>
      </c>
      <c r="P143" s="26">
        <f t="shared" si="50"/>
        <v>1462.5</v>
      </c>
      <c r="Q143" s="26">
        <f t="shared" si="50"/>
        <v>1462.5</v>
      </c>
      <c r="R143" s="26">
        <f t="shared" si="50"/>
        <v>1462.5</v>
      </c>
    </row>
    <row r="144" spans="1:25" hidden="1" outlineLevel="1">
      <c r="A144">
        <v>2006</v>
      </c>
      <c r="B144" t="s">
        <v>507</v>
      </c>
      <c r="H144" s="26"/>
      <c r="I144" s="26"/>
      <c r="J144" s="26"/>
      <c r="K144" s="26"/>
      <c r="L144" s="26"/>
      <c r="M144" s="26"/>
      <c r="N144" s="26">
        <f>M$107*N$125</f>
        <v>1462.5</v>
      </c>
      <c r="O144" s="26">
        <f>N144</f>
        <v>1462.5</v>
      </c>
      <c r="P144" s="26">
        <f t="shared" si="50"/>
        <v>1462.5</v>
      </c>
      <c r="Q144" s="26">
        <f t="shared" si="50"/>
        <v>1462.5</v>
      </c>
      <c r="R144" s="26">
        <f t="shared" si="50"/>
        <v>1462.5</v>
      </c>
    </row>
    <row r="145" spans="1:18" hidden="1" outlineLevel="1">
      <c r="A145">
        <v>2007</v>
      </c>
      <c r="B145" t="s">
        <v>507</v>
      </c>
      <c r="H145" s="26"/>
      <c r="I145" s="26"/>
      <c r="J145" s="26"/>
      <c r="K145" s="26"/>
      <c r="L145" s="26"/>
      <c r="M145" s="26"/>
      <c r="N145" s="26"/>
      <c r="O145" s="26">
        <f>N$107*O$125</f>
        <v>1462.5</v>
      </c>
      <c r="P145" s="26">
        <f>O145</f>
        <v>1462.5</v>
      </c>
      <c r="Q145" s="26">
        <f t="shared" si="50"/>
        <v>1462.5</v>
      </c>
      <c r="R145" s="26">
        <f t="shared" si="50"/>
        <v>1462.5</v>
      </c>
    </row>
    <row r="146" spans="1:18" hidden="1" outlineLevel="1">
      <c r="A146">
        <v>2008</v>
      </c>
      <c r="B146" t="s">
        <v>507</v>
      </c>
      <c r="H146" s="26"/>
      <c r="I146" s="26"/>
      <c r="J146" s="26"/>
      <c r="K146" s="26"/>
      <c r="L146" s="26"/>
      <c r="M146" s="26"/>
      <c r="N146" s="26"/>
      <c r="O146" s="26"/>
      <c r="P146" s="26">
        <f>O$107*P$125</f>
        <v>1462.5</v>
      </c>
      <c r="Q146" s="26">
        <f>P146</f>
        <v>1462.5</v>
      </c>
      <c r="R146" s="26">
        <f t="shared" si="50"/>
        <v>1462.5</v>
      </c>
    </row>
    <row r="147" spans="1:18" hidden="1" outlineLevel="1">
      <c r="A147">
        <v>2009</v>
      </c>
      <c r="B147" t="s">
        <v>507</v>
      </c>
      <c r="H147" s="26"/>
      <c r="I147" s="26"/>
      <c r="J147" s="26"/>
      <c r="K147" s="26"/>
      <c r="L147" s="26"/>
      <c r="M147" s="26"/>
      <c r="N147" s="26"/>
      <c r="O147" s="26"/>
      <c r="P147" s="26"/>
      <c r="Q147" s="26">
        <f>P$107*Q$125</f>
        <v>1462.5</v>
      </c>
      <c r="R147" s="26">
        <f>Q147</f>
        <v>1462.5</v>
      </c>
    </row>
    <row r="148" spans="1:18" hidden="1" outlineLevel="1">
      <c r="A148">
        <v>2010</v>
      </c>
      <c r="B148" t="s">
        <v>507</v>
      </c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>
        <f>Q$107*R$125</f>
        <v>1462.5</v>
      </c>
    </row>
    <row r="149" spans="1:18" hidden="1" outlineLevel="1">
      <c r="A149" t="s">
        <v>221</v>
      </c>
      <c r="H149" s="859">
        <f>SUM(H138:H148)</f>
        <v>1510.5825</v>
      </c>
      <c r="I149" s="859">
        <f t="shared" ref="I149:R149" si="51">SUM(I138:I148)</f>
        <v>3527.2799999999997</v>
      </c>
      <c r="J149" s="859">
        <f t="shared" si="51"/>
        <v>5766.03</v>
      </c>
      <c r="K149" s="859">
        <f t="shared" si="51"/>
        <v>7228.53</v>
      </c>
      <c r="L149" s="859">
        <f t="shared" si="51"/>
        <v>8691.0299999999988</v>
      </c>
      <c r="M149" s="859">
        <f t="shared" si="51"/>
        <v>10153.529999999999</v>
      </c>
      <c r="N149" s="859">
        <f t="shared" si="51"/>
        <v>11616.029999999999</v>
      </c>
      <c r="O149" s="859">
        <f t="shared" si="51"/>
        <v>13078.529999999999</v>
      </c>
      <c r="P149" s="859">
        <f t="shared" si="51"/>
        <v>14541.029999999999</v>
      </c>
      <c r="Q149" s="859">
        <f t="shared" si="51"/>
        <v>16003.529999999999</v>
      </c>
      <c r="R149" s="859">
        <f t="shared" si="51"/>
        <v>17466.03</v>
      </c>
    </row>
    <row r="150" spans="1:18" hidden="1" outlineLevel="1"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 spans="1:18" hidden="1" outlineLevel="1">
      <c r="A151">
        <v>2000</v>
      </c>
      <c r="B151" t="s">
        <v>507</v>
      </c>
      <c r="H151" s="26">
        <f>$G$107*H$131</f>
        <v>3356.8500000000004</v>
      </c>
      <c r="I151" s="26">
        <f t="shared" ref="I151:R151" si="52">$G$107*I$131</f>
        <v>6378.0150000000003</v>
      </c>
      <c r="J151" s="26">
        <f t="shared" si="52"/>
        <v>5740.2135000000007</v>
      </c>
      <c r="K151" s="26">
        <f t="shared" si="52"/>
        <v>5169.549</v>
      </c>
      <c r="L151" s="26">
        <f t="shared" si="52"/>
        <v>4652.5941000000003</v>
      </c>
      <c r="M151" s="26">
        <f t="shared" si="52"/>
        <v>4182.6351000000004</v>
      </c>
      <c r="N151" s="26">
        <f t="shared" si="52"/>
        <v>3961.0829999999996</v>
      </c>
      <c r="O151" s="26">
        <f t="shared" si="52"/>
        <v>3961.0829999999996</v>
      </c>
      <c r="P151" s="26">
        <f t="shared" si="52"/>
        <v>3967.7966999999999</v>
      </c>
      <c r="Q151" s="26">
        <f t="shared" si="52"/>
        <v>3961.0829999999996</v>
      </c>
      <c r="R151" s="26">
        <f t="shared" si="52"/>
        <v>3967.7966999999999</v>
      </c>
    </row>
    <row r="152" spans="1:18" hidden="1" outlineLevel="1">
      <c r="A152">
        <v>2001</v>
      </c>
      <c r="B152" t="s">
        <v>507</v>
      </c>
      <c r="H152" s="26"/>
      <c r="I152" s="26">
        <f>$H$107*H$131</f>
        <v>4481.55</v>
      </c>
      <c r="J152" s="26">
        <f t="shared" ref="J152:R152" si="53">$H$107*I$131</f>
        <v>8514.9449999999997</v>
      </c>
      <c r="K152" s="26">
        <f t="shared" si="53"/>
        <v>7663.4505000000008</v>
      </c>
      <c r="L152" s="26">
        <f t="shared" si="53"/>
        <v>6901.5869999999995</v>
      </c>
      <c r="M152" s="26">
        <f t="shared" si="53"/>
        <v>6211.4283000000005</v>
      </c>
      <c r="N152" s="26">
        <f t="shared" si="53"/>
        <v>5584.0113000000001</v>
      </c>
      <c r="O152" s="26">
        <f t="shared" si="53"/>
        <v>5288.2289999999994</v>
      </c>
      <c r="P152" s="26">
        <f t="shared" si="53"/>
        <v>5288.2289999999994</v>
      </c>
      <c r="Q152" s="26">
        <f t="shared" si="53"/>
        <v>5297.1921000000002</v>
      </c>
      <c r="R152" s="26">
        <f t="shared" si="53"/>
        <v>5288.2289999999994</v>
      </c>
    </row>
    <row r="153" spans="1:18" hidden="1" outlineLevel="1">
      <c r="A153">
        <v>2002</v>
      </c>
      <c r="B153" t="s">
        <v>507</v>
      </c>
      <c r="H153" s="26"/>
      <c r="I153" s="26"/>
      <c r="J153" s="26">
        <f>$I$107*H$131</f>
        <v>4975</v>
      </c>
      <c r="K153" s="26">
        <f t="shared" ref="K153:R153" si="54">$I$107*I$131</f>
        <v>9452.5</v>
      </c>
      <c r="L153" s="26">
        <f t="shared" si="54"/>
        <v>8507.25</v>
      </c>
      <c r="M153" s="26">
        <f t="shared" si="54"/>
        <v>7661.5</v>
      </c>
      <c r="N153" s="26">
        <f t="shared" si="54"/>
        <v>6895.35</v>
      </c>
      <c r="O153" s="26">
        <f t="shared" si="54"/>
        <v>6198.85</v>
      </c>
      <c r="P153" s="26">
        <f t="shared" si="54"/>
        <v>5870.5</v>
      </c>
      <c r="Q153" s="26">
        <f t="shared" si="54"/>
        <v>5870.5</v>
      </c>
      <c r="R153" s="26">
        <f t="shared" si="54"/>
        <v>5880.45</v>
      </c>
    </row>
    <row r="154" spans="1:18" hidden="1" outlineLevel="1">
      <c r="A154">
        <v>2003</v>
      </c>
      <c r="B154" t="s">
        <v>507</v>
      </c>
      <c r="H154" s="26"/>
      <c r="I154" s="26"/>
      <c r="J154" s="26"/>
      <c r="K154" s="26">
        <f>$J$107*H$131</f>
        <v>3250</v>
      </c>
      <c r="L154" s="26">
        <f t="shared" ref="L154:R154" si="55">$J$107*I$131</f>
        <v>6175</v>
      </c>
      <c r="M154" s="26">
        <f t="shared" si="55"/>
        <v>5557.5</v>
      </c>
      <c r="N154" s="26">
        <f t="shared" si="55"/>
        <v>5005</v>
      </c>
      <c r="O154" s="26">
        <f t="shared" si="55"/>
        <v>4504.5</v>
      </c>
      <c r="P154" s="26">
        <f t="shared" si="55"/>
        <v>4049.5</v>
      </c>
      <c r="Q154" s="26">
        <f t="shared" si="55"/>
        <v>3835</v>
      </c>
      <c r="R154" s="26">
        <f t="shared" si="55"/>
        <v>3835</v>
      </c>
    </row>
    <row r="155" spans="1:18" hidden="1" outlineLevel="1">
      <c r="A155">
        <v>2004</v>
      </c>
      <c r="B155" t="s">
        <v>507</v>
      </c>
      <c r="H155" s="26"/>
      <c r="I155" s="26"/>
      <c r="J155" s="26"/>
      <c r="K155" s="26"/>
      <c r="L155" s="26">
        <f>$K$107*H$131</f>
        <v>3250</v>
      </c>
      <c r="M155" s="26">
        <f t="shared" ref="M155:R155" si="56">$K$107*I$131</f>
        <v>6175</v>
      </c>
      <c r="N155" s="26">
        <f t="shared" si="56"/>
        <v>5557.5</v>
      </c>
      <c r="O155" s="26">
        <f t="shared" si="56"/>
        <v>5005</v>
      </c>
      <c r="P155" s="26">
        <f t="shared" si="56"/>
        <v>4504.5</v>
      </c>
      <c r="Q155" s="26">
        <f t="shared" si="56"/>
        <v>4049.5</v>
      </c>
      <c r="R155" s="26">
        <f t="shared" si="56"/>
        <v>3835</v>
      </c>
    </row>
    <row r="156" spans="1:18" hidden="1" outlineLevel="1">
      <c r="A156">
        <v>2005</v>
      </c>
      <c r="B156" t="s">
        <v>507</v>
      </c>
      <c r="H156" s="26"/>
      <c r="I156" s="26"/>
      <c r="J156" s="26"/>
      <c r="K156" s="26"/>
      <c r="L156" s="26"/>
      <c r="M156" s="26">
        <f t="shared" ref="M156:R156" si="57">$L$107*H$131</f>
        <v>3250</v>
      </c>
      <c r="N156" s="26">
        <f t="shared" si="57"/>
        <v>6175</v>
      </c>
      <c r="O156" s="26">
        <f t="shared" si="57"/>
        <v>5557.5</v>
      </c>
      <c r="P156" s="26">
        <f t="shared" si="57"/>
        <v>5005</v>
      </c>
      <c r="Q156" s="26">
        <f t="shared" si="57"/>
        <v>4504.5</v>
      </c>
      <c r="R156" s="26">
        <f t="shared" si="57"/>
        <v>4049.5</v>
      </c>
    </row>
    <row r="157" spans="1:18" hidden="1" outlineLevel="1">
      <c r="A157">
        <v>2006</v>
      </c>
      <c r="B157" t="s">
        <v>507</v>
      </c>
      <c r="H157" s="26"/>
      <c r="I157" s="26"/>
      <c r="J157" s="26"/>
      <c r="K157" s="26"/>
      <c r="L157" s="26"/>
      <c r="M157" s="26"/>
      <c r="N157" s="26">
        <f>$M$107*H$131</f>
        <v>3250</v>
      </c>
      <c r="O157" s="26">
        <f>$M$107*I$131</f>
        <v>6175</v>
      </c>
      <c r="P157" s="26">
        <f>$M$107*J$131</f>
        <v>5557.5</v>
      </c>
      <c r="Q157" s="26">
        <f>$M$107*K$131</f>
        <v>5005</v>
      </c>
      <c r="R157" s="26">
        <f>$M$107*L$131</f>
        <v>4504.5</v>
      </c>
    </row>
    <row r="158" spans="1:18" hidden="1" outlineLevel="1">
      <c r="A158">
        <v>2007</v>
      </c>
      <c r="B158" t="s">
        <v>507</v>
      </c>
      <c r="H158" s="26"/>
      <c r="I158" s="26"/>
      <c r="J158" s="26"/>
      <c r="K158" s="26"/>
      <c r="L158" s="26"/>
      <c r="M158" s="26"/>
      <c r="N158" s="26"/>
      <c r="O158" s="26">
        <f>$N$107*H$131</f>
        <v>3250</v>
      </c>
      <c r="P158" s="26">
        <f>$N$107*I$131</f>
        <v>6175</v>
      </c>
      <c r="Q158" s="26">
        <f>$N$107*J$131</f>
        <v>5557.5</v>
      </c>
      <c r="R158" s="26">
        <f>$N$107*K$131</f>
        <v>5005</v>
      </c>
    </row>
    <row r="159" spans="1:18" hidden="1" outlineLevel="1">
      <c r="A159">
        <v>2008</v>
      </c>
      <c r="B159" t="s">
        <v>507</v>
      </c>
      <c r="H159" s="26"/>
      <c r="I159" s="26"/>
      <c r="J159" s="26"/>
      <c r="K159" s="26"/>
      <c r="L159" s="26"/>
      <c r="M159" s="26"/>
      <c r="N159" s="26"/>
      <c r="O159" s="26"/>
      <c r="P159" s="26">
        <f>$O$107*H$131</f>
        <v>3250</v>
      </c>
      <c r="Q159" s="26">
        <f>$O$107*I$131</f>
        <v>6175</v>
      </c>
      <c r="R159" s="26">
        <f>$O$107*J$131</f>
        <v>5557.5</v>
      </c>
    </row>
    <row r="160" spans="1:18" hidden="1" outlineLevel="1">
      <c r="A160">
        <v>2009</v>
      </c>
      <c r="B160" t="s">
        <v>507</v>
      </c>
      <c r="H160" s="26"/>
      <c r="I160" s="26"/>
      <c r="J160" s="26"/>
      <c r="K160" s="26"/>
      <c r="L160" s="26"/>
      <c r="M160" s="26"/>
      <c r="N160" s="26"/>
      <c r="O160" s="26"/>
      <c r="P160" s="26"/>
      <c r="Q160" s="26">
        <f>$P$107*H$131</f>
        <v>3250</v>
      </c>
      <c r="R160" s="26">
        <f>$P$107*I$131</f>
        <v>6175</v>
      </c>
    </row>
    <row r="161" spans="1:18" hidden="1" outlineLevel="1">
      <c r="A161">
        <v>2010</v>
      </c>
      <c r="B161" t="s">
        <v>507</v>
      </c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>
        <f>Q$107*H$131</f>
        <v>3250</v>
      </c>
    </row>
    <row r="162" spans="1:18" hidden="1" outlineLevel="1">
      <c r="H162" s="859">
        <f t="shared" ref="H162:R162" si="58">SUM(H151:H161)</f>
        <v>3356.8500000000004</v>
      </c>
      <c r="I162" s="859">
        <f t="shared" si="58"/>
        <v>10859.565000000001</v>
      </c>
      <c r="J162" s="859">
        <f t="shared" si="58"/>
        <v>19230.158500000001</v>
      </c>
      <c r="K162" s="859">
        <f t="shared" si="58"/>
        <v>25535.499500000002</v>
      </c>
      <c r="L162" s="859">
        <f t="shared" si="58"/>
        <v>29486.431100000002</v>
      </c>
      <c r="M162" s="859">
        <f t="shared" si="58"/>
        <v>33038.063399999999</v>
      </c>
      <c r="N162" s="859">
        <f t="shared" si="58"/>
        <v>36427.944300000003</v>
      </c>
      <c r="O162" s="859">
        <f t="shared" si="58"/>
        <v>39940.161999999997</v>
      </c>
      <c r="P162" s="859">
        <f t="shared" si="58"/>
        <v>43668.025699999998</v>
      </c>
      <c r="Q162" s="859">
        <f t="shared" si="58"/>
        <v>47505.275099999999</v>
      </c>
      <c r="R162" s="859">
        <f t="shared" si="58"/>
        <v>51347.975699999995</v>
      </c>
    </row>
    <row r="163" spans="1:18" collapsed="1">
      <c r="D163" s="10">
        <v>1725</v>
      </c>
      <c r="E163" s="25">
        <v>9037</v>
      </c>
      <c r="F163" s="25">
        <v>25510</v>
      </c>
      <c r="G163" s="25">
        <v>41124</v>
      </c>
      <c r="H163" s="25">
        <v>18100</v>
      </c>
    </row>
  </sheetData>
  <mergeCells count="1">
    <mergeCell ref="L40:N40"/>
  </mergeCells>
  <phoneticPr fontId="0" type="noConversion"/>
  <conditionalFormatting sqref="C11">
    <cfRule type="cellIs" dxfId="5" priority="1" stopIfTrue="1" operator="notBetween">
      <formula>0.25</formula>
      <formula>-0.25</formula>
    </cfRule>
  </conditionalFormatting>
  <printOptions horizontalCentered="1"/>
  <pageMargins left="0" right="0" top="0" bottom="0.25" header="0" footer="0"/>
  <pageSetup scale="43" orientation="landscape" r:id="rId1"/>
  <headerFooter alignWithMargins="0">
    <oddFooter>&amp;L&amp;F&amp;C&amp;A&amp;R&amp;D, &amp;T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5">
    <pageSetUpPr fitToPage="1"/>
  </sheetPr>
  <dimension ref="A1:T163"/>
  <sheetViews>
    <sheetView showGridLines="0" tabSelected="1" view="pageBreakPreview" topLeftCell="B16" zoomScale="75" zoomScaleNormal="75" zoomScaleSheetLayoutView="75" workbookViewId="0">
      <selection activeCell="J35" sqref="J35"/>
    </sheetView>
  </sheetViews>
  <sheetFormatPr defaultRowHeight="12.75" outlineLevelRow="1" outlineLevelCol="1"/>
  <cols>
    <col min="1" max="1" width="38.85546875" customWidth="1"/>
    <col min="2" max="2" width="15.85546875" customWidth="1" outlineLevel="1"/>
    <col min="3" max="4" width="12.85546875" customWidth="1" outlineLevel="1"/>
    <col min="5" max="6" width="15.28515625" style="24" bestFit="1" customWidth="1"/>
    <col min="7" max="7" width="15.85546875" style="24" bestFit="1" customWidth="1"/>
    <col min="8" max="8" width="16.85546875" customWidth="1"/>
    <col min="9" max="10" width="15.5703125" bestFit="1" customWidth="1"/>
    <col min="11" max="11" width="15.7109375" bestFit="1" customWidth="1"/>
    <col min="12" max="17" width="14.85546875" customWidth="1"/>
    <col min="18" max="18" width="16.5703125" customWidth="1"/>
    <col min="19" max="19" width="13.42578125" customWidth="1"/>
  </cols>
  <sheetData>
    <row r="1" spans="1:20" ht="20.25">
      <c r="A1" s="714" t="str">
        <f>"Project "&amp;Assumptions!D6</f>
        <v>Project ETS</v>
      </c>
      <c r="B1" s="114"/>
      <c r="C1" s="115"/>
      <c r="D1" s="34"/>
      <c r="E1" s="56"/>
      <c r="F1" s="56"/>
      <c r="G1" s="468" t="s">
        <v>103</v>
      </c>
      <c r="H1" s="481"/>
      <c r="I1" s="467"/>
    </row>
    <row r="2" spans="1:20" ht="15.75">
      <c r="A2" s="715" t="s">
        <v>497</v>
      </c>
      <c r="B2" s="141"/>
      <c r="C2" s="117"/>
      <c r="D2" s="34"/>
      <c r="E2" s="45"/>
      <c r="F2" s="45"/>
      <c r="G2" s="482"/>
      <c r="H2" s="54"/>
      <c r="I2" s="156"/>
      <c r="J2" s="54"/>
      <c r="S2" s="24"/>
    </row>
    <row r="3" spans="1:20" ht="16.5" thickBot="1">
      <c r="A3" s="639" t="s">
        <v>346</v>
      </c>
      <c r="B3" s="640"/>
      <c r="C3" s="121"/>
      <c r="D3" s="34"/>
      <c r="E3" s="45"/>
      <c r="F3" s="45"/>
      <c r="G3" s="482"/>
      <c r="H3" s="34"/>
      <c r="I3" s="156"/>
      <c r="J3" s="54"/>
      <c r="S3" s="24"/>
    </row>
    <row r="4" spans="1:20" ht="13.5" thickBot="1">
      <c r="A4" s="142"/>
      <c r="B4" s="141"/>
      <c r="E4" s="45"/>
      <c r="F4" s="45"/>
      <c r="G4" s="157"/>
      <c r="H4" s="158"/>
      <c r="I4" s="159"/>
      <c r="J4" s="54"/>
      <c r="S4" s="24"/>
    </row>
    <row r="5" spans="1:20">
      <c r="A5" s="142"/>
      <c r="B5" s="141"/>
      <c r="E5" s="45"/>
      <c r="F5" s="45"/>
      <c r="G5" s="43"/>
      <c r="H5" s="54"/>
      <c r="I5" s="54"/>
      <c r="J5" s="54"/>
      <c r="S5" s="24"/>
    </row>
    <row r="6" spans="1:20" ht="15.75">
      <c r="A6" s="483" t="s">
        <v>54</v>
      </c>
      <c r="B6" s="484"/>
      <c r="C6" s="412"/>
      <c r="D6" s="412"/>
      <c r="E6" s="485"/>
      <c r="F6" s="485"/>
      <c r="G6" s="412"/>
      <c r="H6" s="486"/>
      <c r="I6" s="486"/>
      <c r="J6" s="486"/>
      <c r="K6" s="412"/>
      <c r="L6" s="412"/>
      <c r="M6" s="412"/>
      <c r="N6" s="412"/>
      <c r="O6" s="412"/>
      <c r="P6" s="412"/>
      <c r="Q6" s="412"/>
      <c r="R6" s="412"/>
      <c r="S6" s="662"/>
    </row>
    <row r="7" spans="1:20">
      <c r="E7" s="480"/>
      <c r="F7" s="480"/>
      <c r="G7" s="323"/>
      <c r="H7" s="309" t="s">
        <v>203</v>
      </c>
      <c r="I7" s="328"/>
      <c r="J7" s="323"/>
      <c r="K7" s="323"/>
      <c r="L7" s="246"/>
      <c r="M7" s="323"/>
      <c r="N7" s="246"/>
      <c r="O7" s="246"/>
      <c r="P7" s="246"/>
      <c r="Q7" s="246"/>
      <c r="R7" s="292"/>
      <c r="S7" s="31"/>
      <c r="T7" s="31"/>
    </row>
    <row r="8" spans="1:20">
      <c r="D8" s="387">
        <v>1997</v>
      </c>
      <c r="E8" s="256">
        <v>1998</v>
      </c>
      <c r="F8" s="256">
        <v>1999</v>
      </c>
      <c r="G8" s="256">
        <v>2000</v>
      </c>
      <c r="H8" s="256">
        <v>2001</v>
      </c>
      <c r="I8" s="289">
        <v>2002</v>
      </c>
      <c r="J8" s="289">
        <v>2003</v>
      </c>
      <c r="K8" s="289">
        <v>2004</v>
      </c>
      <c r="L8" s="289">
        <v>2005</v>
      </c>
      <c r="M8" s="289">
        <v>2006</v>
      </c>
      <c r="N8" s="293">
        <v>2007</v>
      </c>
      <c r="O8" s="293">
        <v>2008</v>
      </c>
      <c r="P8" s="293">
        <v>2009</v>
      </c>
      <c r="Q8" s="293">
        <v>2010</v>
      </c>
      <c r="R8" s="465">
        <v>2011</v>
      </c>
      <c r="S8" s="1"/>
      <c r="T8" s="1"/>
    </row>
    <row r="9" spans="1:20">
      <c r="G9" s="348" t="s">
        <v>213</v>
      </c>
      <c r="H9" s="256">
        <v>1</v>
      </c>
      <c r="I9" s="289">
        <v>2</v>
      </c>
      <c r="J9" s="289">
        <v>3</v>
      </c>
      <c r="K9" s="289">
        <v>4</v>
      </c>
      <c r="L9" s="289">
        <v>5</v>
      </c>
      <c r="M9" s="289">
        <v>6</v>
      </c>
      <c r="N9" s="289">
        <v>7</v>
      </c>
      <c r="O9" s="289">
        <v>8</v>
      </c>
      <c r="P9" s="289">
        <v>9</v>
      </c>
      <c r="Q9" s="289">
        <v>10</v>
      </c>
      <c r="R9" s="389">
        <v>11</v>
      </c>
      <c r="S9" s="1"/>
      <c r="T9" s="1"/>
    </row>
    <row r="10" spans="1:20">
      <c r="E10" s="45"/>
      <c r="F10" s="45"/>
      <c r="G10" s="12"/>
      <c r="H10" s="58"/>
      <c r="I10" s="1"/>
      <c r="J10" s="1"/>
      <c r="K10" s="12"/>
      <c r="L10" s="12"/>
      <c r="M10" s="1"/>
      <c r="N10" s="1"/>
      <c r="O10" s="1"/>
      <c r="P10" s="1"/>
      <c r="Q10" s="1"/>
      <c r="R10" s="1"/>
      <c r="S10" s="24"/>
    </row>
    <row r="11" spans="1:20">
      <c r="A11" s="559" t="s">
        <v>294</v>
      </c>
      <c r="B11" s="80"/>
      <c r="C11" s="76"/>
      <c r="D11" s="547">
        <f t="shared" ref="D11:R11" si="0">D59</f>
        <v>147615</v>
      </c>
      <c r="E11" s="547">
        <f t="shared" si="0"/>
        <v>167593</v>
      </c>
      <c r="F11" s="547">
        <f t="shared" si="0"/>
        <v>155749</v>
      </c>
      <c r="G11" s="547">
        <f t="shared" si="0"/>
        <v>176813</v>
      </c>
      <c r="H11" s="548">
        <f t="shared" si="0"/>
        <v>202544</v>
      </c>
      <c r="I11" s="548">
        <f t="shared" si="0"/>
        <v>200919</v>
      </c>
      <c r="J11" s="548">
        <f t="shared" si="0"/>
        <v>219175.98</v>
      </c>
      <c r="K11" s="548">
        <f t="shared" si="0"/>
        <v>229807.41620000004</v>
      </c>
      <c r="L11" s="548">
        <f t="shared" si="0"/>
        <v>240957.89969800005</v>
      </c>
      <c r="M11" s="548">
        <f t="shared" si="0"/>
        <v>252667.13187842007</v>
      </c>
      <c r="N11" s="548">
        <f t="shared" si="0"/>
        <v>254443.14096171607</v>
      </c>
      <c r="O11" s="548">
        <f t="shared" si="0"/>
        <v>256307.95049917686</v>
      </c>
      <c r="P11" s="548">
        <f t="shared" si="0"/>
        <v>258266.00051351072</v>
      </c>
      <c r="Q11" s="548">
        <f t="shared" si="0"/>
        <v>258283.32147757322</v>
      </c>
      <c r="R11" s="548">
        <f t="shared" si="0"/>
        <v>258301.50848983883</v>
      </c>
      <c r="S11" s="24"/>
    </row>
    <row r="12" spans="1:20">
      <c r="D12" s="207"/>
      <c r="E12" s="207"/>
      <c r="F12" s="207"/>
      <c r="G12" s="18"/>
      <c r="H12" s="59"/>
      <c r="I12" s="12"/>
      <c r="J12" s="12"/>
      <c r="K12" s="12"/>
      <c r="L12" s="12"/>
      <c r="M12" s="1"/>
      <c r="N12" s="1"/>
      <c r="O12" s="1"/>
      <c r="P12" s="1"/>
      <c r="Q12" s="1"/>
      <c r="R12" s="1"/>
      <c r="S12" s="24"/>
    </row>
    <row r="13" spans="1:20">
      <c r="A13" s="106" t="s">
        <v>295</v>
      </c>
      <c r="B13" s="79"/>
      <c r="C13" s="34"/>
      <c r="D13" s="547">
        <f t="shared" ref="D13:R13" si="1">D83</f>
        <v>41219</v>
      </c>
      <c r="E13" s="547">
        <f t="shared" si="1"/>
        <v>44641</v>
      </c>
      <c r="F13" s="547">
        <f t="shared" si="1"/>
        <v>49160</v>
      </c>
      <c r="G13" s="547">
        <f t="shared" si="1"/>
        <v>50764</v>
      </c>
      <c r="H13" s="548">
        <f t="shared" si="1"/>
        <v>54402</v>
      </c>
      <c r="I13" s="548">
        <f t="shared" si="1"/>
        <v>63866</v>
      </c>
      <c r="J13" s="548">
        <f t="shared" si="1"/>
        <v>63866</v>
      </c>
      <c r="K13" s="548">
        <f t="shared" si="1"/>
        <v>63866</v>
      </c>
      <c r="L13" s="548">
        <f t="shared" si="1"/>
        <v>63866</v>
      </c>
      <c r="M13" s="548">
        <f t="shared" si="1"/>
        <v>63866</v>
      </c>
      <c r="N13" s="548">
        <f t="shared" si="1"/>
        <v>63866</v>
      </c>
      <c r="O13" s="548">
        <f t="shared" si="1"/>
        <v>63866</v>
      </c>
      <c r="P13" s="548">
        <f t="shared" si="1"/>
        <v>63866</v>
      </c>
      <c r="Q13" s="548">
        <f t="shared" si="1"/>
        <v>63866</v>
      </c>
      <c r="R13" s="548">
        <f t="shared" si="1"/>
        <v>63866</v>
      </c>
      <c r="S13" s="24"/>
    </row>
    <row r="14" spans="1:20">
      <c r="A14" s="106"/>
      <c r="B14" s="79"/>
      <c r="C14" s="34"/>
      <c r="D14" s="567"/>
      <c r="E14" s="567"/>
      <c r="F14" s="567"/>
      <c r="G14" s="567"/>
      <c r="H14" s="568"/>
      <c r="I14" s="568"/>
      <c r="J14" s="568"/>
      <c r="K14" s="568"/>
      <c r="L14" s="568"/>
      <c r="M14" s="568"/>
      <c r="N14" s="568"/>
      <c r="O14" s="568"/>
      <c r="P14" s="568"/>
      <c r="Q14" s="568"/>
      <c r="R14" s="568"/>
      <c r="S14" s="24"/>
    </row>
    <row r="15" spans="1:20">
      <c r="A15" s="106" t="s">
        <v>1</v>
      </c>
      <c r="B15" s="34"/>
      <c r="C15" s="34"/>
      <c r="D15" s="547">
        <f t="shared" ref="D15:R15" si="2">(D11-D13)</f>
        <v>106396</v>
      </c>
      <c r="E15" s="547">
        <f t="shared" si="2"/>
        <v>122952</v>
      </c>
      <c r="F15" s="547">
        <f t="shared" si="2"/>
        <v>106589</v>
      </c>
      <c r="G15" s="547">
        <f t="shared" si="2"/>
        <v>126049</v>
      </c>
      <c r="H15" s="548">
        <f t="shared" si="2"/>
        <v>148142</v>
      </c>
      <c r="I15" s="548">
        <f t="shared" si="2"/>
        <v>137053</v>
      </c>
      <c r="J15" s="548">
        <f t="shared" si="2"/>
        <v>155309.98000000001</v>
      </c>
      <c r="K15" s="548">
        <f t="shared" si="2"/>
        <v>165941.41620000004</v>
      </c>
      <c r="L15" s="548">
        <f t="shared" si="2"/>
        <v>177091.89969800005</v>
      </c>
      <c r="M15" s="548">
        <f t="shared" si="2"/>
        <v>188801.13187842007</v>
      </c>
      <c r="N15" s="548">
        <f t="shared" si="2"/>
        <v>190577.14096171607</v>
      </c>
      <c r="O15" s="548">
        <f t="shared" si="2"/>
        <v>192441.95049917686</v>
      </c>
      <c r="P15" s="548">
        <f t="shared" si="2"/>
        <v>194400.00051351072</v>
      </c>
      <c r="Q15" s="548">
        <f t="shared" si="2"/>
        <v>194417.32147757322</v>
      </c>
      <c r="R15" s="548">
        <f t="shared" si="2"/>
        <v>194435.50848983883</v>
      </c>
      <c r="S15" s="24"/>
    </row>
    <row r="16" spans="1:20">
      <c r="A16" s="586" t="s">
        <v>280</v>
      </c>
      <c r="B16" s="7"/>
      <c r="C16" s="7"/>
      <c r="D16" s="587">
        <f t="shared" ref="D16:R16" si="3">D11/D13</f>
        <v>3.5812368082680317</v>
      </c>
      <c r="E16" s="587">
        <f t="shared" si="3"/>
        <v>3.7542393763580564</v>
      </c>
      <c r="F16" s="587">
        <f t="shared" si="3"/>
        <v>3.1682058584214809</v>
      </c>
      <c r="G16" s="587">
        <f t="shared" si="3"/>
        <v>3.48303916161059</v>
      </c>
      <c r="H16" s="588">
        <f t="shared" si="3"/>
        <v>3.7230984154994302</v>
      </c>
      <c r="I16" s="588">
        <f t="shared" si="3"/>
        <v>3.1459461998559486</v>
      </c>
      <c r="J16" s="588">
        <f t="shared" si="3"/>
        <v>3.4318100397707703</v>
      </c>
      <c r="K16" s="588">
        <f t="shared" si="3"/>
        <v>3.5982747659161376</v>
      </c>
      <c r="L16" s="588">
        <f t="shared" si="3"/>
        <v>3.7728666222716321</v>
      </c>
      <c r="M16" s="588">
        <f t="shared" si="3"/>
        <v>3.9562072445185241</v>
      </c>
      <c r="N16" s="588">
        <f t="shared" si="3"/>
        <v>3.9840156102106921</v>
      </c>
      <c r="O16" s="588">
        <f t="shared" si="3"/>
        <v>4.0132143941874681</v>
      </c>
      <c r="P16" s="588">
        <f t="shared" si="3"/>
        <v>4.0438731173630842</v>
      </c>
      <c r="Q16" s="588">
        <f t="shared" si="3"/>
        <v>4.0441443252681113</v>
      </c>
      <c r="R16" s="588">
        <f t="shared" si="3"/>
        <v>4.0444290935683904</v>
      </c>
      <c r="S16" s="24"/>
    </row>
    <row r="17" spans="1:19">
      <c r="A17" s="586" t="s">
        <v>281</v>
      </c>
      <c r="B17" s="7"/>
      <c r="C17" s="7"/>
      <c r="D17" s="589">
        <f t="shared" ref="D17:R17" si="4">(D11-D13)/D11</f>
        <v>0.72076685973647669</v>
      </c>
      <c r="E17" s="589">
        <f t="shared" si="4"/>
        <v>0.73363445967313667</v>
      </c>
      <c r="F17" s="589">
        <f t="shared" si="4"/>
        <v>0.68436394455181093</v>
      </c>
      <c r="G17" s="589">
        <f t="shared" si="4"/>
        <v>0.71289441387228314</v>
      </c>
      <c r="H17" s="590">
        <f t="shared" si="4"/>
        <v>0.73140650920293859</v>
      </c>
      <c r="I17" s="590">
        <f t="shared" si="4"/>
        <v>0.68213060984774954</v>
      </c>
      <c r="J17" s="590">
        <f t="shared" si="4"/>
        <v>0.70860858019204476</v>
      </c>
      <c r="K17" s="590">
        <f t="shared" si="4"/>
        <v>0.7220890384824753</v>
      </c>
      <c r="L17" s="590">
        <f t="shared" si="4"/>
        <v>0.73494954894591458</v>
      </c>
      <c r="M17" s="590">
        <f t="shared" si="4"/>
        <v>0.74723265537073724</v>
      </c>
      <c r="N17" s="590">
        <f t="shared" si="4"/>
        <v>0.74899696742224475</v>
      </c>
      <c r="O17" s="590">
        <f t="shared" si="4"/>
        <v>0.75082318017987071</v>
      </c>
      <c r="P17" s="590">
        <f t="shared" si="4"/>
        <v>0.75271232034795477</v>
      </c>
      <c r="Q17" s="590">
        <f t="shared" si="4"/>
        <v>0.75272890392364922</v>
      </c>
      <c r="R17" s="590">
        <f t="shared" si="4"/>
        <v>0.75274631428444649</v>
      </c>
      <c r="S17" s="24"/>
    </row>
    <row r="18" spans="1:19">
      <c r="D18" s="16"/>
      <c r="E18" s="16"/>
      <c r="F18" s="16"/>
      <c r="G18" s="16"/>
      <c r="H18" s="24"/>
      <c r="S18" s="24"/>
    </row>
    <row r="19" spans="1:19">
      <c r="A19" s="6" t="s">
        <v>222</v>
      </c>
      <c r="D19" s="573">
        <f>11607+4046</f>
        <v>15653</v>
      </c>
      <c r="E19" s="573">
        <f>13687+1493</f>
        <v>15180</v>
      </c>
      <c r="F19" s="573">
        <f>18322+2308</f>
        <v>20630</v>
      </c>
      <c r="G19" s="574">
        <f>21685+2168</f>
        <v>23853</v>
      </c>
      <c r="H19" s="217">
        <f>8559+46</f>
        <v>8605</v>
      </c>
      <c r="I19" s="539">
        <f>8800+353+4388</f>
        <v>13541</v>
      </c>
      <c r="J19" s="539">
        <f>+I19-2200</f>
        <v>11341</v>
      </c>
      <c r="K19" s="539">
        <f t="shared" ref="K19:R19" si="5">J19</f>
        <v>11341</v>
      </c>
      <c r="L19" s="539">
        <f t="shared" si="5"/>
        <v>11341</v>
      </c>
      <c r="M19" s="539">
        <f t="shared" si="5"/>
        <v>11341</v>
      </c>
      <c r="N19" s="539">
        <f t="shared" si="5"/>
        <v>11341</v>
      </c>
      <c r="O19" s="539">
        <f t="shared" si="5"/>
        <v>11341</v>
      </c>
      <c r="P19" s="539">
        <f t="shared" si="5"/>
        <v>11341</v>
      </c>
      <c r="Q19" s="539">
        <f t="shared" si="5"/>
        <v>11341</v>
      </c>
      <c r="R19" s="539">
        <f t="shared" si="5"/>
        <v>11341</v>
      </c>
      <c r="S19" s="24"/>
    </row>
    <row r="20" spans="1:19">
      <c r="A20" s="6" t="s">
        <v>223</v>
      </c>
      <c r="D20" s="573"/>
      <c r="E20" s="573">
        <v>0</v>
      </c>
      <c r="F20" s="573">
        <v>0</v>
      </c>
      <c r="G20" s="574">
        <v>0</v>
      </c>
      <c r="H20" s="217">
        <v>0</v>
      </c>
      <c r="I20" s="539">
        <f>H20</f>
        <v>0</v>
      </c>
      <c r="J20" s="539">
        <f>I20*Curves!F35</f>
        <v>0</v>
      </c>
      <c r="K20" s="539">
        <f>J20*Curves!G35</f>
        <v>0</v>
      </c>
      <c r="L20" s="539">
        <f>K20*Curves!H35</f>
        <v>0</v>
      </c>
      <c r="M20" s="539">
        <f>L20*Curves!I35</f>
        <v>0</v>
      </c>
      <c r="N20" s="539">
        <f>M20*Curves!J35</f>
        <v>0</v>
      </c>
      <c r="O20" s="539">
        <f>N20*Curves!K35</f>
        <v>0</v>
      </c>
      <c r="P20" s="539">
        <f>O20*Curves!L35</f>
        <v>0</v>
      </c>
      <c r="Q20" s="539">
        <f>P20*Curves!M35</f>
        <v>0</v>
      </c>
      <c r="R20" s="539">
        <f>Q20*Curves!N35</f>
        <v>0</v>
      </c>
      <c r="S20" s="24"/>
    </row>
    <row r="21" spans="1:19">
      <c r="A21" s="6" t="s">
        <v>338</v>
      </c>
      <c r="B21" s="15"/>
      <c r="D21" s="573">
        <f>17429+5215</f>
        <v>22644</v>
      </c>
      <c r="E21" s="573">
        <f>18210+4927</f>
        <v>23137</v>
      </c>
      <c r="F21" s="573">
        <f>18971+4762</f>
        <v>23733</v>
      </c>
      <c r="G21" s="574">
        <f>19658+4749</f>
        <v>24407</v>
      </c>
      <c r="H21" s="572">
        <f>H128+8346</f>
        <v>28786</v>
      </c>
      <c r="I21" s="572">
        <f>I128+7633</f>
        <v>29537.81</v>
      </c>
      <c r="J21" s="572">
        <f>J128+7633-800</f>
        <v>29658.81</v>
      </c>
      <c r="K21" s="572">
        <f>K128+7600-1600</f>
        <v>29125.81</v>
      </c>
      <c r="L21" s="572">
        <f>L128+7600-2400</f>
        <v>28625.81</v>
      </c>
      <c r="M21" s="572">
        <f t="shared" ref="M21:R21" si="6">M128</f>
        <v>23725.81</v>
      </c>
      <c r="N21" s="572">
        <f t="shared" si="6"/>
        <v>24025.81</v>
      </c>
      <c r="O21" s="572">
        <f t="shared" si="6"/>
        <v>24325.81</v>
      </c>
      <c r="P21" s="572">
        <f t="shared" si="6"/>
        <v>24625.809999999998</v>
      </c>
      <c r="Q21" s="572">
        <f t="shared" si="6"/>
        <v>24925.809999999998</v>
      </c>
      <c r="R21" s="572">
        <f t="shared" si="6"/>
        <v>25225.809999999998</v>
      </c>
      <c r="S21" s="24"/>
    </row>
    <row r="22" spans="1:19">
      <c r="D22" s="575"/>
      <c r="E22" s="575"/>
      <c r="F22" s="575"/>
      <c r="G22" s="537"/>
      <c r="H22" s="576"/>
      <c r="I22" s="538"/>
      <c r="J22" s="538"/>
      <c r="K22" s="576"/>
      <c r="L22" s="576"/>
      <c r="M22" s="538"/>
      <c r="N22" s="538"/>
      <c r="O22" s="538"/>
      <c r="P22" s="538"/>
      <c r="Q22" s="538"/>
      <c r="R22" s="538"/>
      <c r="S22" s="24"/>
    </row>
    <row r="23" spans="1:19">
      <c r="A23" s="106" t="s">
        <v>2</v>
      </c>
      <c r="B23" s="34"/>
      <c r="C23" s="34"/>
      <c r="D23" s="547">
        <f t="shared" ref="D23:R23" si="7">D15+D19+D20-D21</f>
        <v>99405</v>
      </c>
      <c r="E23" s="547">
        <f t="shared" si="7"/>
        <v>114995</v>
      </c>
      <c r="F23" s="547">
        <f t="shared" si="7"/>
        <v>103486</v>
      </c>
      <c r="G23" s="547">
        <f t="shared" si="7"/>
        <v>125495</v>
      </c>
      <c r="H23" s="548">
        <f t="shared" si="7"/>
        <v>127961</v>
      </c>
      <c r="I23" s="548">
        <f t="shared" si="7"/>
        <v>121056.19</v>
      </c>
      <c r="J23" s="548">
        <f t="shared" si="7"/>
        <v>136992.17000000001</v>
      </c>
      <c r="K23" s="548">
        <f t="shared" si="7"/>
        <v>148156.60620000004</v>
      </c>
      <c r="L23" s="548">
        <f t="shared" si="7"/>
        <v>159807.08969800005</v>
      </c>
      <c r="M23" s="548">
        <f t="shared" si="7"/>
        <v>176416.32187842007</v>
      </c>
      <c r="N23" s="548">
        <f t="shared" si="7"/>
        <v>177892.33096171607</v>
      </c>
      <c r="O23" s="548">
        <f t="shared" si="7"/>
        <v>179457.14049917686</v>
      </c>
      <c r="P23" s="548">
        <f t="shared" si="7"/>
        <v>181115.19051351072</v>
      </c>
      <c r="Q23" s="548">
        <f t="shared" si="7"/>
        <v>180832.51147757322</v>
      </c>
      <c r="R23" s="548">
        <f t="shared" si="7"/>
        <v>180550.69848983883</v>
      </c>
      <c r="S23" s="24"/>
    </row>
    <row r="24" spans="1:19">
      <c r="D24" s="206"/>
      <c r="E24" s="206"/>
      <c r="F24" s="206"/>
      <c r="G24" s="18"/>
      <c r="H24" s="12"/>
      <c r="I24" s="1"/>
      <c r="J24" s="1"/>
      <c r="K24" s="12"/>
      <c r="L24" s="12"/>
      <c r="M24" s="1"/>
      <c r="N24" s="1"/>
      <c r="O24" s="1"/>
      <c r="P24" s="1"/>
      <c r="Q24" s="1"/>
      <c r="R24" s="1"/>
      <c r="S24" s="24"/>
    </row>
    <row r="25" spans="1:19">
      <c r="A25" s="284" t="s">
        <v>296</v>
      </c>
      <c r="D25" s="206"/>
      <c r="E25" s="206"/>
      <c r="F25" s="206"/>
      <c r="G25" s="18"/>
      <c r="H25" s="12"/>
      <c r="I25" s="1"/>
      <c r="J25" s="1"/>
      <c r="K25" s="12"/>
      <c r="L25" s="12"/>
      <c r="M25" s="1"/>
      <c r="N25" s="1"/>
      <c r="O25" s="1"/>
      <c r="P25" s="1"/>
      <c r="Q25" s="1"/>
      <c r="R25" s="1"/>
      <c r="S25" s="24"/>
    </row>
    <row r="26" spans="1:19">
      <c r="A26" s="793" t="s">
        <v>3</v>
      </c>
      <c r="D26" s="785">
        <f>$B$28*(D15+D19+D20-D134)</f>
        <v>33911.955000000002</v>
      </c>
      <c r="E26" s="785">
        <f>$B$28*(E15+E19+E20-E134)</f>
        <v>39819.202499999999</v>
      </c>
      <c r="F26" s="785">
        <f>$B$28*(F15+F19+F20-F134)</f>
        <v>35273.5075</v>
      </c>
      <c r="G26" s="785">
        <f>$B$28*(G15+G19+G20-G134)</f>
        <v>43617.227500000001</v>
      </c>
      <c r="H26" s="786">
        <f>$B$28*(H15+H19+H20-H134)</f>
        <v>46477.509924999998</v>
      </c>
      <c r="I26" s="786">
        <f t="shared" ref="I26:R26" si="8">$B$28*(I15+I19+I20-I134)</f>
        <v>40385.466274999999</v>
      </c>
      <c r="J26" s="786">
        <f t="shared" si="8"/>
        <v>44313.609917500005</v>
      </c>
      <c r="K26" s="786">
        <f t="shared" si="8"/>
        <v>47303.75099450002</v>
      </c>
      <c r="L26" s="786">
        <f t="shared" si="8"/>
        <v>55200.591214230022</v>
      </c>
      <c r="M26" s="786">
        <f t="shared" si="8"/>
        <v>59532.758931191733</v>
      </c>
      <c r="N26" s="786">
        <f t="shared" si="8"/>
        <v>60026.727707760685</v>
      </c>
      <c r="O26" s="786">
        <f t="shared" si="8"/>
        <v>60463.069782183091</v>
      </c>
      <c r="P26" s="786">
        <f t="shared" si="8"/>
        <v>64614.442051201622</v>
      </c>
      <c r="Q26" s="786">
        <f t="shared" si="8"/>
        <v>64165.326216365691</v>
      </c>
      <c r="R26" s="786">
        <f t="shared" si="8"/>
        <v>63717.14872208795</v>
      </c>
      <c r="S26" s="24"/>
    </row>
    <row r="27" spans="1:19">
      <c r="A27" s="579" t="s">
        <v>4</v>
      </c>
      <c r="D27" s="668">
        <f t="shared" ref="D27:R27" si="9">D28-D26</f>
        <v>4358.9700000000012</v>
      </c>
      <c r="E27" s="668">
        <f t="shared" si="9"/>
        <v>4453.8725000000049</v>
      </c>
      <c r="F27" s="668">
        <f t="shared" si="9"/>
        <v>4568.6025000000009</v>
      </c>
      <c r="G27" s="668">
        <f t="shared" si="9"/>
        <v>4698.3475000000035</v>
      </c>
      <c r="H27" s="434">
        <f t="shared" si="9"/>
        <v>2787.4750750000021</v>
      </c>
      <c r="I27" s="434">
        <f t="shared" si="9"/>
        <v>6221.1668750000026</v>
      </c>
      <c r="J27" s="434">
        <f t="shared" si="9"/>
        <v>8428.375532500002</v>
      </c>
      <c r="K27" s="434">
        <f t="shared" si="9"/>
        <v>9736.5423924999996</v>
      </c>
      <c r="L27" s="434">
        <f t="shared" si="9"/>
        <v>6325.1383195000017</v>
      </c>
      <c r="M27" s="434">
        <f t="shared" si="9"/>
        <v>8387.5249919999987</v>
      </c>
      <c r="N27" s="434">
        <f t="shared" si="9"/>
        <v>8461.8197125000006</v>
      </c>
      <c r="O27" s="434">
        <f t="shared" si="9"/>
        <v>8627.9293099999995</v>
      </c>
      <c r="P27" s="434">
        <f t="shared" si="9"/>
        <v>5114.9062965000048</v>
      </c>
      <c r="Q27" s="434">
        <f t="shared" si="9"/>
        <v>5455.1907024999964</v>
      </c>
      <c r="R27" s="434">
        <f t="shared" si="9"/>
        <v>5794.8701965000073</v>
      </c>
      <c r="S27" s="24"/>
    </row>
    <row r="28" spans="1:19">
      <c r="A28" s="67" t="s">
        <v>297</v>
      </c>
      <c r="B28" s="664">
        <f>Assumptions!D10</f>
        <v>0.38500000000000001</v>
      </c>
      <c r="D28" s="565">
        <f t="shared" ref="D28:R28" si="10">D23*$B$28</f>
        <v>38270.925000000003</v>
      </c>
      <c r="E28" s="565">
        <f t="shared" si="10"/>
        <v>44273.075000000004</v>
      </c>
      <c r="F28" s="565">
        <f t="shared" si="10"/>
        <v>39842.11</v>
      </c>
      <c r="G28" s="565">
        <f t="shared" si="10"/>
        <v>48315.575000000004</v>
      </c>
      <c r="H28" s="566">
        <f t="shared" si="10"/>
        <v>49264.985000000001</v>
      </c>
      <c r="I28" s="615">
        <f t="shared" si="10"/>
        <v>46606.633150000001</v>
      </c>
      <c r="J28" s="615">
        <f t="shared" si="10"/>
        <v>52741.985450000007</v>
      </c>
      <c r="K28" s="615">
        <f t="shared" si="10"/>
        <v>57040.29338700002</v>
      </c>
      <c r="L28" s="615">
        <f t="shared" si="10"/>
        <v>61525.729533730024</v>
      </c>
      <c r="M28" s="615">
        <f t="shared" si="10"/>
        <v>67920.283923191731</v>
      </c>
      <c r="N28" s="615">
        <f t="shared" si="10"/>
        <v>68488.547420260686</v>
      </c>
      <c r="O28" s="615">
        <f t="shared" si="10"/>
        <v>69090.99909218309</v>
      </c>
      <c r="P28" s="615">
        <f t="shared" si="10"/>
        <v>69729.348347701627</v>
      </c>
      <c r="Q28" s="615">
        <f t="shared" si="10"/>
        <v>69620.516918865687</v>
      </c>
      <c r="R28" s="615">
        <f t="shared" si="10"/>
        <v>69512.018918587957</v>
      </c>
      <c r="S28" s="24"/>
    </row>
    <row r="29" spans="1:19">
      <c r="A29" s="1"/>
      <c r="B29" s="23"/>
      <c r="D29" s="575"/>
      <c r="E29" s="575"/>
      <c r="F29" s="575"/>
      <c r="G29" s="537"/>
      <c r="H29" s="576"/>
      <c r="I29" s="538"/>
      <c r="J29" s="538"/>
      <c r="K29" s="576"/>
      <c r="L29" s="576"/>
      <c r="M29" s="538"/>
      <c r="N29" s="538"/>
      <c r="O29" s="538"/>
      <c r="P29" s="538"/>
      <c r="Q29" s="538"/>
      <c r="R29" s="538"/>
      <c r="S29" s="24"/>
    </row>
    <row r="30" spans="1:19">
      <c r="A30" s="580" t="s">
        <v>13</v>
      </c>
      <c r="B30" s="227"/>
      <c r="C30" s="34"/>
      <c r="D30" s="547">
        <f t="shared" ref="D30:R30" si="11">D23-D28</f>
        <v>61134.074999999997</v>
      </c>
      <c r="E30" s="547">
        <f t="shared" si="11"/>
        <v>70721.924999999988</v>
      </c>
      <c r="F30" s="547">
        <f t="shared" si="11"/>
        <v>63643.89</v>
      </c>
      <c r="G30" s="547">
        <f t="shared" si="11"/>
        <v>77179.424999999988</v>
      </c>
      <c r="H30" s="548">
        <f t="shared" si="11"/>
        <v>78696.014999999999</v>
      </c>
      <c r="I30" s="548">
        <f t="shared" si="11"/>
        <v>74449.556849999994</v>
      </c>
      <c r="J30" s="548">
        <f t="shared" si="11"/>
        <v>84250.184550000005</v>
      </c>
      <c r="K30" s="548">
        <f t="shared" si="11"/>
        <v>91116.312813000026</v>
      </c>
      <c r="L30" s="548">
        <f t="shared" si="11"/>
        <v>98281.360164270038</v>
      </c>
      <c r="M30" s="548">
        <f t="shared" si="11"/>
        <v>108496.03795522834</v>
      </c>
      <c r="N30" s="548">
        <f t="shared" si="11"/>
        <v>109403.78354145538</v>
      </c>
      <c r="O30" s="548">
        <f t="shared" si="11"/>
        <v>110366.14140699377</v>
      </c>
      <c r="P30" s="548">
        <f t="shared" si="11"/>
        <v>111385.8421658091</v>
      </c>
      <c r="Q30" s="548">
        <f t="shared" si="11"/>
        <v>111211.99455870753</v>
      </c>
      <c r="R30" s="548">
        <f t="shared" si="11"/>
        <v>111038.67957125088</v>
      </c>
      <c r="S30" s="19" t="s">
        <v>1</v>
      </c>
    </row>
    <row r="31" spans="1:19">
      <c r="A31" s="2"/>
      <c r="B31" s="23"/>
      <c r="D31" s="206"/>
      <c r="E31" s="206"/>
      <c r="F31" s="206"/>
      <c r="G31" s="18"/>
      <c r="H31" s="12"/>
      <c r="I31" s="1"/>
      <c r="J31" s="1"/>
      <c r="K31" s="12"/>
      <c r="L31" s="12"/>
      <c r="M31" s="1"/>
      <c r="N31" s="1"/>
      <c r="O31" s="1"/>
      <c r="P31" s="1"/>
      <c r="Q31" s="1"/>
      <c r="R31" s="1"/>
      <c r="S31" s="19" t="s">
        <v>42</v>
      </c>
    </row>
    <row r="32" spans="1:19">
      <c r="A32" s="69" t="s">
        <v>298</v>
      </c>
      <c r="B32" s="23"/>
      <c r="D32" s="581">
        <f t="shared" ref="D32:R32" si="12">D30+D27+D21</f>
        <v>88137.044999999998</v>
      </c>
      <c r="E32" s="581">
        <f t="shared" si="12"/>
        <v>98312.797499999986</v>
      </c>
      <c r="F32" s="581">
        <f t="shared" si="12"/>
        <v>91945.492499999993</v>
      </c>
      <c r="G32" s="581">
        <f t="shared" si="12"/>
        <v>106284.77249999999</v>
      </c>
      <c r="H32" s="217">
        <f t="shared" si="12"/>
        <v>110269.49007500001</v>
      </c>
      <c r="I32" s="539">
        <f t="shared" si="12"/>
        <v>110208.53372499999</v>
      </c>
      <c r="J32" s="539">
        <f t="shared" si="12"/>
        <v>122337.37008250001</v>
      </c>
      <c r="K32" s="217">
        <f t="shared" si="12"/>
        <v>129978.66520550003</v>
      </c>
      <c r="L32" s="217">
        <f t="shared" si="12"/>
        <v>133232.30848377003</v>
      </c>
      <c r="M32" s="539">
        <f t="shared" si="12"/>
        <v>140609.37294722834</v>
      </c>
      <c r="N32" s="539">
        <f t="shared" si="12"/>
        <v>141891.4132539554</v>
      </c>
      <c r="O32" s="539">
        <f t="shared" si="12"/>
        <v>143319.88071699376</v>
      </c>
      <c r="P32" s="539">
        <f t="shared" si="12"/>
        <v>141126.5584623091</v>
      </c>
      <c r="Q32" s="539">
        <f t="shared" si="12"/>
        <v>141592.99526120751</v>
      </c>
      <c r="R32" s="539">
        <f t="shared" si="12"/>
        <v>142059.3597677509</v>
      </c>
      <c r="S32" s="19" t="s">
        <v>43</v>
      </c>
    </row>
    <row r="33" spans="1:19">
      <c r="A33" s="69" t="s">
        <v>17</v>
      </c>
      <c r="B33" s="101"/>
      <c r="D33" s="18">
        <f t="shared" ref="D33:R33" si="13">D107</f>
        <v>29989</v>
      </c>
      <c r="E33" s="18">
        <f t="shared" si="13"/>
        <v>18700</v>
      </c>
      <c r="F33" s="18">
        <f t="shared" si="13"/>
        <v>31294</v>
      </c>
      <c r="G33" s="18">
        <f t="shared" si="13"/>
        <v>29549</v>
      </c>
      <c r="H33" s="217">
        <f t="shared" si="13"/>
        <v>68105</v>
      </c>
      <c r="I33" s="217">
        <f t="shared" si="13"/>
        <v>61400</v>
      </c>
      <c r="J33" s="217">
        <f t="shared" si="13"/>
        <v>20000</v>
      </c>
      <c r="K33" s="217">
        <f t="shared" si="13"/>
        <v>20000</v>
      </c>
      <c r="L33" s="217">
        <f t="shared" si="13"/>
        <v>20000</v>
      </c>
      <c r="M33" s="217">
        <f t="shared" si="13"/>
        <v>20000</v>
      </c>
      <c r="N33" s="217">
        <f t="shared" si="13"/>
        <v>20000</v>
      </c>
      <c r="O33" s="217">
        <f t="shared" si="13"/>
        <v>20000</v>
      </c>
      <c r="P33" s="217">
        <f t="shared" si="13"/>
        <v>20000</v>
      </c>
      <c r="Q33" s="217">
        <f t="shared" si="13"/>
        <v>20000</v>
      </c>
      <c r="R33" s="217">
        <f t="shared" si="13"/>
        <v>20000</v>
      </c>
      <c r="S33" s="583"/>
    </row>
    <row r="34" spans="1:19">
      <c r="A34" s="2"/>
      <c r="B34" s="101"/>
      <c r="D34" s="18"/>
      <c r="E34" s="18"/>
      <c r="F34" s="18"/>
      <c r="G34" s="18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03"/>
    </row>
    <row r="35" spans="1:19" ht="27.75" customHeight="1" thickBot="1">
      <c r="A35" s="661" t="s">
        <v>333</v>
      </c>
      <c r="B35" s="582"/>
      <c r="C35" s="582"/>
      <c r="D35" s="584">
        <f t="shared" ref="D35:Q35" si="14">D32-D33</f>
        <v>58148.044999999998</v>
      </c>
      <c r="E35" s="584">
        <f t="shared" si="14"/>
        <v>79612.797499999986</v>
      </c>
      <c r="F35" s="584">
        <f t="shared" si="14"/>
        <v>60651.492499999993</v>
      </c>
      <c r="G35" s="584">
        <f t="shared" si="14"/>
        <v>76735.772499999992</v>
      </c>
      <c r="H35" s="585">
        <f t="shared" si="14"/>
        <v>42164.490075000009</v>
      </c>
      <c r="I35" s="585">
        <f t="shared" si="14"/>
        <v>48808.533724999987</v>
      </c>
      <c r="J35" s="585">
        <f t="shared" si="14"/>
        <v>102337.37008250001</v>
      </c>
      <c r="K35" s="585">
        <f t="shared" si="14"/>
        <v>109978.66520550003</v>
      </c>
      <c r="L35" s="585">
        <f t="shared" si="14"/>
        <v>113232.30848377003</v>
      </c>
      <c r="M35" s="585">
        <f t="shared" si="14"/>
        <v>120609.37294722834</v>
      </c>
      <c r="N35" s="585">
        <f t="shared" si="14"/>
        <v>121891.4132539554</v>
      </c>
      <c r="O35" s="585">
        <f t="shared" si="14"/>
        <v>123319.88071699376</v>
      </c>
      <c r="P35" s="585">
        <f t="shared" si="14"/>
        <v>121126.5584623091</v>
      </c>
      <c r="Q35" s="585">
        <f t="shared" si="14"/>
        <v>121592.99526120751</v>
      </c>
      <c r="R35" s="585">
        <f>R32-R33+S35</f>
        <v>1871978.9361763003</v>
      </c>
      <c r="S35" s="857">
        <f>R15*S37</f>
        <v>1749919.5764085494</v>
      </c>
    </row>
    <row r="36" spans="1:19" ht="13.5" thickTop="1">
      <c r="A36" s="641"/>
      <c r="B36" s="34"/>
      <c r="C36" s="34"/>
      <c r="D36" s="34"/>
      <c r="E36" s="548"/>
      <c r="F36" s="548"/>
      <c r="G36" s="548"/>
      <c r="H36" s="548"/>
      <c r="I36" s="548"/>
      <c r="J36" s="548"/>
      <c r="K36" s="548"/>
      <c r="L36" s="548"/>
      <c r="M36" s="548"/>
      <c r="N36" s="548"/>
      <c r="O36" s="548"/>
      <c r="P36" s="548"/>
      <c r="Q36" s="548"/>
      <c r="R36" s="548"/>
      <c r="S36" s="195"/>
    </row>
    <row r="37" spans="1:19">
      <c r="A37" s="641"/>
      <c r="B37" s="34"/>
      <c r="C37" s="34"/>
      <c r="D37" s="34"/>
      <c r="E37" s="548"/>
      <c r="F37" s="548"/>
      <c r="G37" s="548"/>
      <c r="H37" s="548"/>
      <c r="I37" s="548"/>
      <c r="J37" s="548"/>
      <c r="K37" s="548"/>
      <c r="L37" s="548"/>
      <c r="M37" s="548"/>
      <c r="N37" s="548"/>
      <c r="O37" s="548"/>
      <c r="P37" s="548"/>
      <c r="Q37" s="548"/>
      <c r="R37" s="548"/>
      <c r="S37" s="592">
        <f>Scenarios!C5</f>
        <v>9</v>
      </c>
    </row>
    <row r="38" spans="1:19">
      <c r="A38" s="641"/>
      <c r="B38" s="34"/>
      <c r="C38" s="34"/>
      <c r="D38" s="34"/>
      <c r="E38" s="548"/>
      <c r="F38" s="548"/>
      <c r="G38" s="548"/>
      <c r="H38" s="548"/>
      <c r="I38" s="548"/>
      <c r="J38" s="548"/>
      <c r="K38" s="548"/>
      <c r="L38" s="548"/>
      <c r="M38" s="548"/>
      <c r="N38" s="548"/>
      <c r="O38" s="548"/>
      <c r="P38" s="548"/>
      <c r="Q38" s="548"/>
      <c r="R38" s="548"/>
      <c r="S38" s="591" t="s">
        <v>302</v>
      </c>
    </row>
    <row r="39" spans="1:19" ht="13.5" thickBot="1"/>
    <row r="40" spans="1:19" ht="15">
      <c r="G40"/>
      <c r="H40" s="145" t="s">
        <v>10</v>
      </c>
      <c r="I40" s="146" t="str">
        <f>(Assumptions!D8-1&amp;" EBITDA")</f>
        <v>2001 EBITDA</v>
      </c>
      <c r="J40" s="146" t="s">
        <v>44</v>
      </c>
      <c r="K40" s="147"/>
      <c r="L40" s="1028" t="s">
        <v>11</v>
      </c>
      <c r="M40" s="1028"/>
      <c r="N40" s="1029"/>
      <c r="Q40" s="1"/>
      <c r="R40" s="1"/>
    </row>
    <row r="41" spans="1:19" ht="15">
      <c r="G41"/>
      <c r="H41" s="148" t="s">
        <v>12</v>
      </c>
      <c r="I41" s="149" t="s">
        <v>18</v>
      </c>
      <c r="J41" s="149" t="s">
        <v>45</v>
      </c>
      <c r="K41" s="150"/>
      <c r="L41" s="151">
        <f>Asset3Drate-0.025</f>
        <v>4.9999999999999996E-2</v>
      </c>
      <c r="M41" s="599">
        <f>Scenarios!C6</f>
        <v>7.4999999999999997E-2</v>
      </c>
      <c r="N41" s="152">
        <f>Asset3Drate+0.025</f>
        <v>0.1</v>
      </c>
      <c r="Q41" s="1"/>
      <c r="R41" s="1"/>
    </row>
    <row r="42" spans="1:19">
      <c r="G42" s="8" t="s">
        <v>16</v>
      </c>
      <c r="H42" s="153"/>
      <c r="I42" s="154"/>
      <c r="J42" s="154"/>
      <c r="K42" s="143"/>
      <c r="L42" s="143"/>
      <c r="M42" s="143"/>
      <c r="N42" s="155"/>
      <c r="Q42" s="1"/>
      <c r="R42" s="1"/>
    </row>
    <row r="43" spans="1:19" ht="13.5" thickBot="1">
      <c r="G43">
        <f>IF(ABS(H43-TW_NPV)&lt;0.05,0,1)</f>
        <v>0</v>
      </c>
      <c r="H43" s="181">
        <v>1584209.8024402931</v>
      </c>
      <c r="I43" s="182">
        <f>H43/H15</f>
        <v>10.693859961660388</v>
      </c>
      <c r="J43" s="183"/>
      <c r="K43" s="184"/>
      <c r="L43" s="676">
        <f>NPV(L41,$I$35:$R$35)</f>
        <v>1910162.3521928145</v>
      </c>
      <c r="M43" s="676">
        <f>NPV(M41,$I$35:$R$35)</f>
        <v>1584209.8024402931</v>
      </c>
      <c r="N43" s="180">
        <f>NPV(N41,$I$35:$R$35)</f>
        <v>1325694.2268268648</v>
      </c>
      <c r="Q43" s="1"/>
      <c r="R43" s="1"/>
      <c r="S43" s="1"/>
    </row>
    <row r="44" spans="1:19">
      <c r="G44"/>
      <c r="H44" s="12"/>
      <c r="I44" s="144"/>
      <c r="J44" s="144"/>
      <c r="K44" s="12"/>
      <c r="L44" s="674"/>
      <c r="M44" s="675"/>
      <c r="N44" s="70"/>
      <c r="Q44" s="1"/>
      <c r="R44" s="1"/>
      <c r="S44" s="1"/>
    </row>
    <row r="45" spans="1:19">
      <c r="G45" s="12"/>
      <c r="H45" s="1"/>
      <c r="I45" s="1"/>
      <c r="J45" s="1"/>
      <c r="K45" s="1"/>
      <c r="L45" s="674"/>
      <c r="M45" s="70"/>
      <c r="O45" s="1"/>
      <c r="P45" s="1"/>
      <c r="Q45" s="1"/>
      <c r="R45" s="1"/>
    </row>
    <row r="46" spans="1:19">
      <c r="E46" s="12"/>
      <c r="F46" s="12"/>
      <c r="G46" s="12"/>
      <c r="H46" s="12"/>
      <c r="I46" s="12"/>
      <c r="J46" s="24"/>
      <c r="K46" s="24"/>
      <c r="L46" s="24"/>
      <c r="M46" s="24"/>
      <c r="N46" s="24"/>
      <c r="O46" s="24"/>
      <c r="P46" s="24"/>
      <c r="Q46" s="24"/>
      <c r="R46" s="24"/>
    </row>
    <row r="47" spans="1:19" ht="15.75">
      <c r="A47" s="483" t="s">
        <v>47</v>
      </c>
      <c r="B47" s="379"/>
      <c r="C47" s="379"/>
      <c r="D47" s="379"/>
      <c r="E47" s="379"/>
      <c r="F47" s="379"/>
      <c r="G47" s="379"/>
      <c r="H47" s="379"/>
      <c r="I47" s="379"/>
      <c r="J47" s="379"/>
      <c r="K47" s="379"/>
      <c r="L47" s="379"/>
      <c r="M47" s="379"/>
      <c r="N47" s="379"/>
      <c r="O47" s="379"/>
      <c r="P47" s="379"/>
      <c r="Q47" s="379"/>
      <c r="R47" s="379"/>
      <c r="S47" s="24"/>
    </row>
    <row r="48" spans="1:19">
      <c r="E48" s="480"/>
      <c r="F48" s="480"/>
      <c r="G48" s="323"/>
      <c r="H48" s="309" t="s">
        <v>203</v>
      </c>
      <c r="I48" s="328"/>
      <c r="J48" s="323"/>
      <c r="K48" s="323"/>
      <c r="L48" s="246"/>
      <c r="M48" s="323"/>
      <c r="N48" s="246"/>
      <c r="O48" s="246"/>
      <c r="P48" s="246"/>
      <c r="Q48" s="246"/>
      <c r="R48" s="292"/>
      <c r="S48" s="24"/>
    </row>
    <row r="49" spans="1:19">
      <c r="D49" s="387">
        <v>1997</v>
      </c>
      <c r="E49" s="256">
        <v>1998</v>
      </c>
      <c r="F49" s="256">
        <v>1999</v>
      </c>
      <c r="G49" s="256">
        <v>2000</v>
      </c>
      <c r="H49" s="256">
        <v>2001</v>
      </c>
      <c r="I49" s="289">
        <v>2002</v>
      </c>
      <c r="J49" s="289">
        <v>2003</v>
      </c>
      <c r="K49" s="289">
        <v>2004</v>
      </c>
      <c r="L49" s="289">
        <v>2005</v>
      </c>
      <c r="M49" s="289">
        <v>2006</v>
      </c>
      <c r="N49" s="293">
        <v>2007</v>
      </c>
      <c r="O49" s="293">
        <v>2008</v>
      </c>
      <c r="P49" s="293">
        <v>2009</v>
      </c>
      <c r="Q49" s="293">
        <v>2010</v>
      </c>
      <c r="R49" s="654">
        <v>2011</v>
      </c>
      <c r="S49" s="24"/>
    </row>
    <row r="50" spans="1:19">
      <c r="B50" s="39" t="s">
        <v>57</v>
      </c>
      <c r="C50" s="310"/>
      <c r="D50" s="31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4"/>
    </row>
    <row r="51" spans="1:19">
      <c r="A51" s="6" t="s">
        <v>321</v>
      </c>
      <c r="B51" s="671">
        <v>0</v>
      </c>
      <c r="C51" s="310"/>
      <c r="D51" s="540"/>
      <c r="E51" s="540">
        <f>$B$51*2606</f>
        <v>0</v>
      </c>
      <c r="F51" s="540">
        <f>$B$51*2667</f>
        <v>0</v>
      </c>
      <c r="G51" s="540">
        <f>$B$51*2676</f>
        <v>0</v>
      </c>
      <c r="H51" s="781">
        <f>$B$51*2*1289</f>
        <v>0</v>
      </c>
      <c r="I51" s="539">
        <f t="shared" ref="I51:R51" si="15">H51*I62</f>
        <v>0</v>
      </c>
      <c r="J51" s="539">
        <f t="shared" si="15"/>
        <v>0</v>
      </c>
      <c r="K51" s="539">
        <f t="shared" si="15"/>
        <v>0</v>
      </c>
      <c r="L51" s="539">
        <f t="shared" si="15"/>
        <v>0</v>
      </c>
      <c r="M51" s="539">
        <f t="shared" si="15"/>
        <v>0</v>
      </c>
      <c r="N51" s="539">
        <f t="shared" si="15"/>
        <v>0</v>
      </c>
      <c r="O51" s="539">
        <f t="shared" si="15"/>
        <v>0</v>
      </c>
      <c r="P51" s="539">
        <f t="shared" si="15"/>
        <v>0</v>
      </c>
      <c r="Q51" s="539">
        <f t="shared" si="15"/>
        <v>0</v>
      </c>
      <c r="R51" s="539">
        <f t="shared" si="15"/>
        <v>0</v>
      </c>
      <c r="S51" s="24"/>
    </row>
    <row r="52" spans="1:19">
      <c r="A52" s="636" t="s">
        <v>322</v>
      </c>
      <c r="B52" s="671">
        <v>0</v>
      </c>
      <c r="C52" s="310"/>
      <c r="D52" s="540"/>
      <c r="E52" s="540">
        <f>$B$52*1051</f>
        <v>0</v>
      </c>
      <c r="F52" s="540">
        <f>$B$52*1156</f>
        <v>0</v>
      </c>
      <c r="G52" s="540">
        <f>$B$52*1196</f>
        <v>0</v>
      </c>
      <c r="H52" s="781">
        <f>$B$52*2*779</f>
        <v>0</v>
      </c>
      <c r="I52" s="539">
        <f t="shared" ref="I52:R52" si="16">H52*I63</f>
        <v>0</v>
      </c>
      <c r="J52" s="539">
        <f t="shared" si="16"/>
        <v>0</v>
      </c>
      <c r="K52" s="539">
        <f t="shared" si="16"/>
        <v>0</v>
      </c>
      <c r="L52" s="539">
        <f t="shared" si="16"/>
        <v>0</v>
      </c>
      <c r="M52" s="539">
        <f t="shared" si="16"/>
        <v>0</v>
      </c>
      <c r="N52" s="539">
        <f t="shared" si="16"/>
        <v>0</v>
      </c>
      <c r="O52" s="539">
        <f t="shared" si="16"/>
        <v>0</v>
      </c>
      <c r="P52" s="539">
        <f t="shared" si="16"/>
        <v>0</v>
      </c>
      <c r="Q52" s="539">
        <f t="shared" si="16"/>
        <v>0</v>
      </c>
      <c r="R52" s="539">
        <f t="shared" si="16"/>
        <v>0</v>
      </c>
      <c r="S52" s="24"/>
    </row>
    <row r="53" spans="1:19">
      <c r="A53" s="636" t="s">
        <v>558</v>
      </c>
      <c r="B53" s="671">
        <v>1</v>
      </c>
      <c r="C53" s="310"/>
      <c r="D53" s="646">
        <v>144495</v>
      </c>
      <c r="E53" s="646">
        <v>144967</v>
      </c>
      <c r="F53" s="646">
        <v>141626</v>
      </c>
      <c r="G53" s="646">
        <v>150290</v>
      </c>
      <c r="H53" s="539">
        <v>165432</v>
      </c>
      <c r="I53" s="539">
        <v>170527</v>
      </c>
      <c r="J53" s="539">
        <f t="shared" ref="J53:R53" si="17">I53*J64</f>
        <v>187579.7</v>
      </c>
      <c r="K53" s="539">
        <f t="shared" si="17"/>
        <v>196958.68500000003</v>
      </c>
      <c r="L53" s="539">
        <f t="shared" si="17"/>
        <v>206806.61925000005</v>
      </c>
      <c r="M53" s="539">
        <f t="shared" si="17"/>
        <v>217146.95021250006</v>
      </c>
      <c r="N53" s="539">
        <f t="shared" si="17"/>
        <v>217146.95021250006</v>
      </c>
      <c r="O53" s="539">
        <f t="shared" si="17"/>
        <v>217146.95021250006</v>
      </c>
      <c r="P53" s="539">
        <f t="shared" si="17"/>
        <v>217146.95021250006</v>
      </c>
      <c r="Q53" s="539">
        <f t="shared" si="17"/>
        <v>217146.95021250006</v>
      </c>
      <c r="R53" s="539">
        <f t="shared" si="17"/>
        <v>217146.95021250006</v>
      </c>
      <c r="S53" s="24"/>
    </row>
    <row r="54" spans="1:19">
      <c r="A54" s="6" t="s">
        <v>324</v>
      </c>
      <c r="B54" s="671">
        <v>0</v>
      </c>
      <c r="C54" s="310"/>
      <c r="D54" s="540"/>
      <c r="E54" s="540">
        <f>$B$54*277</f>
        <v>0</v>
      </c>
      <c r="F54" s="540">
        <f>$B$54*390</f>
        <v>0</v>
      </c>
      <c r="G54" s="540">
        <f>$B$54*500</f>
        <v>0</v>
      </c>
      <c r="H54" s="781">
        <f>$B$54*2*216</f>
        <v>0</v>
      </c>
      <c r="I54" s="539">
        <f t="shared" ref="I54:R54" si="18">H54*I65</f>
        <v>0</v>
      </c>
      <c r="J54" s="539">
        <f t="shared" si="18"/>
        <v>0</v>
      </c>
      <c r="K54" s="539">
        <f t="shared" si="18"/>
        <v>0</v>
      </c>
      <c r="L54" s="539">
        <f t="shared" si="18"/>
        <v>0</v>
      </c>
      <c r="M54" s="539">
        <f t="shared" si="18"/>
        <v>0</v>
      </c>
      <c r="N54" s="539">
        <f t="shared" si="18"/>
        <v>0</v>
      </c>
      <c r="O54" s="539">
        <f t="shared" si="18"/>
        <v>0</v>
      </c>
      <c r="P54" s="539">
        <f t="shared" si="18"/>
        <v>0</v>
      </c>
      <c r="Q54" s="539">
        <f t="shared" si="18"/>
        <v>0</v>
      </c>
      <c r="R54" s="539">
        <f t="shared" si="18"/>
        <v>0</v>
      </c>
      <c r="S54" s="24"/>
    </row>
    <row r="55" spans="1:19">
      <c r="A55" s="6" t="s">
        <v>334</v>
      </c>
      <c r="B55" s="671">
        <v>0</v>
      </c>
      <c r="C55" s="310"/>
      <c r="D55" s="540"/>
      <c r="E55" s="540">
        <f>$B$55*63</f>
        <v>0</v>
      </c>
      <c r="F55" s="540">
        <f>$B$55*98</f>
        <v>0</v>
      </c>
      <c r="G55" s="540">
        <f>$B$55*131</f>
        <v>0</v>
      </c>
      <c r="H55" s="781">
        <f>$B$55*2*96</f>
        <v>0</v>
      </c>
      <c r="I55" s="539">
        <f t="shared" ref="I55:R55" si="19">H55*I66</f>
        <v>0</v>
      </c>
      <c r="J55" s="539">
        <f t="shared" si="19"/>
        <v>0</v>
      </c>
      <c r="K55" s="539">
        <f t="shared" si="19"/>
        <v>0</v>
      </c>
      <c r="L55" s="539">
        <f t="shared" si="19"/>
        <v>0</v>
      </c>
      <c r="M55" s="539">
        <f t="shared" si="19"/>
        <v>0</v>
      </c>
      <c r="N55" s="539">
        <f t="shared" si="19"/>
        <v>0</v>
      </c>
      <c r="O55" s="539">
        <f t="shared" si="19"/>
        <v>0</v>
      </c>
      <c r="P55" s="539">
        <f t="shared" si="19"/>
        <v>0</v>
      </c>
      <c r="Q55" s="539">
        <f t="shared" si="19"/>
        <v>0</v>
      </c>
      <c r="R55" s="539">
        <f t="shared" si="19"/>
        <v>0</v>
      </c>
      <c r="S55" s="24"/>
    </row>
    <row r="56" spans="1:19">
      <c r="A56" s="636" t="s">
        <v>466</v>
      </c>
      <c r="B56" s="671">
        <v>1</v>
      </c>
      <c r="C56" s="310"/>
      <c r="D56" s="540">
        <v>3009</v>
      </c>
      <c r="E56" s="540">
        <v>9489</v>
      </c>
      <c r="F56" s="540">
        <v>10430</v>
      </c>
      <c r="G56" s="540">
        <v>26333</v>
      </c>
      <c r="H56" s="539">
        <f>26636+10140</f>
        <v>36776</v>
      </c>
      <c r="I56" s="539">
        <v>30107</v>
      </c>
      <c r="J56" s="539">
        <f t="shared" ref="J56:R56" si="20">I56*J67</f>
        <v>31311.280000000002</v>
      </c>
      <c r="K56" s="539">
        <f t="shared" si="20"/>
        <v>32563.731200000002</v>
      </c>
      <c r="L56" s="539">
        <f t="shared" si="20"/>
        <v>33866.280448000005</v>
      </c>
      <c r="M56" s="539">
        <f t="shared" si="20"/>
        <v>35220.931665920005</v>
      </c>
      <c r="N56" s="539">
        <f t="shared" si="20"/>
        <v>36981.978249216008</v>
      </c>
      <c r="O56" s="539">
        <f t="shared" si="20"/>
        <v>38831.077161676811</v>
      </c>
      <c r="P56" s="539">
        <f t="shared" si="20"/>
        <v>40772.631019760651</v>
      </c>
      <c r="Q56" s="539">
        <f t="shared" si="20"/>
        <v>40772.631019760651</v>
      </c>
      <c r="R56" s="539">
        <f t="shared" si="20"/>
        <v>40772.631019760651</v>
      </c>
      <c r="S56" s="24"/>
    </row>
    <row r="57" spans="1:19">
      <c r="A57" s="636" t="s">
        <v>326</v>
      </c>
      <c r="B57" s="671">
        <v>0</v>
      </c>
      <c r="C57" s="310"/>
      <c r="D57" s="540"/>
      <c r="E57" s="540">
        <f>$B$57*30</f>
        <v>0</v>
      </c>
      <c r="F57" s="540">
        <f>$B$57*177</f>
        <v>0</v>
      </c>
      <c r="G57" s="540">
        <f>$B$57*265</f>
        <v>0</v>
      </c>
      <c r="H57" s="781">
        <f>$B$57*2*72</f>
        <v>0</v>
      </c>
      <c r="I57" s="539">
        <f t="shared" ref="I57:R57" si="21">H57*I68</f>
        <v>0</v>
      </c>
      <c r="J57" s="539">
        <f t="shared" si="21"/>
        <v>0</v>
      </c>
      <c r="K57" s="539">
        <f t="shared" si="21"/>
        <v>0</v>
      </c>
      <c r="L57" s="539">
        <f t="shared" si="21"/>
        <v>0</v>
      </c>
      <c r="M57" s="539">
        <f t="shared" si="21"/>
        <v>0</v>
      </c>
      <c r="N57" s="539">
        <f t="shared" si="21"/>
        <v>0</v>
      </c>
      <c r="O57" s="539">
        <f t="shared" si="21"/>
        <v>0</v>
      </c>
      <c r="P57" s="539">
        <f t="shared" si="21"/>
        <v>0</v>
      </c>
      <c r="Q57" s="539">
        <f t="shared" si="21"/>
        <v>0</v>
      </c>
      <c r="R57" s="539">
        <f t="shared" si="21"/>
        <v>0</v>
      </c>
      <c r="S57" s="24"/>
    </row>
    <row r="58" spans="1:19">
      <c r="A58" s="645" t="s">
        <v>58</v>
      </c>
      <c r="B58" s="672">
        <v>1</v>
      </c>
      <c r="C58" s="652"/>
      <c r="D58" s="546">
        <v>111</v>
      </c>
      <c r="E58" s="546">
        <v>13137</v>
      </c>
      <c r="F58" s="546">
        <v>3693</v>
      </c>
      <c r="G58" s="546">
        <v>190</v>
      </c>
      <c r="H58" s="657">
        <v>336</v>
      </c>
      <c r="I58" s="657">
        <v>285</v>
      </c>
      <c r="J58" s="657">
        <f t="shared" ref="J58:R58" si="22">I58*J69</f>
        <v>285</v>
      </c>
      <c r="K58" s="657">
        <f t="shared" si="22"/>
        <v>285</v>
      </c>
      <c r="L58" s="657">
        <f t="shared" si="22"/>
        <v>285</v>
      </c>
      <c r="M58" s="657">
        <f t="shared" si="22"/>
        <v>299.25</v>
      </c>
      <c r="N58" s="657">
        <f t="shared" si="22"/>
        <v>314.21250000000003</v>
      </c>
      <c r="O58" s="657">
        <f t="shared" si="22"/>
        <v>329.92312500000003</v>
      </c>
      <c r="P58" s="657">
        <f t="shared" si="22"/>
        <v>346.41928125000004</v>
      </c>
      <c r="Q58" s="657">
        <f t="shared" si="22"/>
        <v>363.74024531250006</v>
      </c>
      <c r="R58" s="657">
        <f t="shared" si="22"/>
        <v>381.92725757812508</v>
      </c>
      <c r="S58" s="24"/>
    </row>
    <row r="59" spans="1:19">
      <c r="A59" s="551" t="s">
        <v>268</v>
      </c>
      <c r="B59" s="550"/>
      <c r="C59" s="310"/>
      <c r="D59" s="547">
        <f t="shared" ref="D59:R59" si="23">SUM(D51:D58)</f>
        <v>147615</v>
      </c>
      <c r="E59" s="547">
        <f t="shared" si="23"/>
        <v>167593</v>
      </c>
      <c r="F59" s="547">
        <f t="shared" si="23"/>
        <v>155749</v>
      </c>
      <c r="G59" s="547">
        <f t="shared" si="23"/>
        <v>176813</v>
      </c>
      <c r="H59" s="548">
        <f t="shared" si="23"/>
        <v>202544</v>
      </c>
      <c r="I59" s="548">
        <f t="shared" si="23"/>
        <v>200919</v>
      </c>
      <c r="J59" s="548">
        <f t="shared" si="23"/>
        <v>219175.98</v>
      </c>
      <c r="K59" s="548">
        <f t="shared" si="23"/>
        <v>229807.41620000004</v>
      </c>
      <c r="L59" s="548">
        <f t="shared" si="23"/>
        <v>240957.89969800005</v>
      </c>
      <c r="M59" s="548">
        <f t="shared" si="23"/>
        <v>252667.13187842007</v>
      </c>
      <c r="N59" s="548">
        <f t="shared" si="23"/>
        <v>254443.14096171607</v>
      </c>
      <c r="O59" s="548">
        <f t="shared" si="23"/>
        <v>256307.95049917686</v>
      </c>
      <c r="P59" s="548">
        <f t="shared" si="23"/>
        <v>258266.00051351072</v>
      </c>
      <c r="Q59" s="548">
        <f t="shared" si="23"/>
        <v>258283.32147757322</v>
      </c>
      <c r="R59" s="548">
        <f t="shared" si="23"/>
        <v>258301.50848983883</v>
      </c>
      <c r="S59" s="24"/>
    </row>
    <row r="60" spans="1:19">
      <c r="C60" s="310"/>
      <c r="D60" s="310"/>
      <c r="E60" s="549"/>
      <c r="H60" s="72"/>
      <c r="I60" s="72"/>
      <c r="J60" s="72"/>
      <c r="K60" s="78"/>
      <c r="L60" s="78"/>
      <c r="M60" s="72"/>
      <c r="N60" s="72"/>
      <c r="O60" s="72"/>
      <c r="P60" s="72"/>
      <c r="Q60" s="72"/>
      <c r="R60" s="72"/>
      <c r="S60" s="24"/>
    </row>
    <row r="61" spans="1:19" ht="15.75" hidden="1" outlineLevel="1">
      <c r="A61" s="651" t="s">
        <v>327</v>
      </c>
      <c r="B61" s="412"/>
      <c r="C61" s="647"/>
      <c r="D61" s="647"/>
      <c r="E61" s="648"/>
      <c r="F61" s="412"/>
      <c r="G61" s="649"/>
      <c r="H61" s="650"/>
      <c r="I61" s="650"/>
      <c r="J61" s="650"/>
      <c r="K61" s="650"/>
      <c r="L61" s="650"/>
      <c r="M61" s="650"/>
      <c r="N61" s="650"/>
      <c r="O61" s="650"/>
      <c r="P61" s="650"/>
      <c r="Q61" s="650"/>
      <c r="R61" s="650"/>
      <c r="S61" s="662"/>
    </row>
    <row r="62" spans="1:19" hidden="1" outlineLevel="1">
      <c r="A62" s="6" t="s">
        <v>321</v>
      </c>
      <c r="C62" s="310"/>
      <c r="D62" s="310"/>
      <c r="E62" s="549"/>
      <c r="H62" s="642">
        <v>1.01</v>
      </c>
      <c r="I62" s="642">
        <v>1.01</v>
      </c>
      <c r="J62" s="642">
        <v>1.01</v>
      </c>
      <c r="K62" s="642">
        <v>1.01</v>
      </c>
      <c r="L62" s="642">
        <v>1.01</v>
      </c>
      <c r="M62" s="642">
        <v>1.01</v>
      </c>
      <c r="N62" s="642">
        <v>1.01</v>
      </c>
      <c r="O62" s="642">
        <v>1.01</v>
      </c>
      <c r="P62" s="642">
        <v>1.01</v>
      </c>
      <c r="Q62" s="642">
        <v>1.01</v>
      </c>
      <c r="R62" s="642">
        <v>1.01</v>
      </c>
      <c r="S62" s="24"/>
    </row>
    <row r="63" spans="1:19" hidden="1" outlineLevel="1">
      <c r="A63" s="636" t="s">
        <v>322</v>
      </c>
      <c r="C63" s="310"/>
      <c r="D63" s="310"/>
      <c r="E63" s="78"/>
      <c r="F63" s="78"/>
      <c r="G63" s="78"/>
      <c r="H63" s="642">
        <v>1.02</v>
      </c>
      <c r="I63" s="642">
        <v>1.02</v>
      </c>
      <c r="J63" s="642">
        <v>1.02</v>
      </c>
      <c r="K63" s="642">
        <v>1.02</v>
      </c>
      <c r="L63" s="642">
        <v>1.02</v>
      </c>
      <c r="M63" s="642">
        <v>1.02</v>
      </c>
      <c r="N63" s="642">
        <v>1.02</v>
      </c>
      <c r="O63" s="642">
        <v>1.02</v>
      </c>
      <c r="P63" s="642">
        <v>1.02</v>
      </c>
      <c r="Q63" s="642">
        <v>1.02</v>
      </c>
      <c r="R63" s="642">
        <v>1.02</v>
      </c>
      <c r="S63" s="24"/>
    </row>
    <row r="64" spans="1:19" hidden="1" outlineLevel="1">
      <c r="A64" s="636" t="s">
        <v>558</v>
      </c>
      <c r="C64" s="310"/>
      <c r="D64" s="784"/>
      <c r="E64" s="78">
        <f>E53/D53</f>
        <v>1.0032665490155368</v>
      </c>
      <c r="F64" s="78">
        <f>F53/E53</f>
        <v>0.97695337559582529</v>
      </c>
      <c r="G64" s="78">
        <f>G53/F53</f>
        <v>1.0611752079420445</v>
      </c>
      <c r="H64" s="642">
        <v>1.07</v>
      </c>
      <c r="I64" s="642">
        <f t="shared" ref="I64:R64" si="24">H64</f>
        <v>1.07</v>
      </c>
      <c r="J64" s="642">
        <v>1.1000000000000001</v>
      </c>
      <c r="K64" s="642">
        <v>1.05</v>
      </c>
      <c r="L64" s="642">
        <f t="shared" si="24"/>
        <v>1.05</v>
      </c>
      <c r="M64" s="642">
        <f t="shared" si="24"/>
        <v>1.05</v>
      </c>
      <c r="N64" s="642">
        <v>1</v>
      </c>
      <c r="O64" s="642">
        <f t="shared" si="24"/>
        <v>1</v>
      </c>
      <c r="P64" s="642">
        <f t="shared" si="24"/>
        <v>1</v>
      </c>
      <c r="Q64" s="642">
        <f t="shared" si="24"/>
        <v>1</v>
      </c>
      <c r="R64" s="642">
        <f t="shared" si="24"/>
        <v>1</v>
      </c>
      <c r="S64" s="24"/>
    </row>
    <row r="65" spans="1:19" hidden="1" outlineLevel="1">
      <c r="A65" s="6" t="s">
        <v>324</v>
      </c>
      <c r="C65" s="310"/>
      <c r="D65" s="310"/>
      <c r="E65" s="78"/>
      <c r="F65" s="78"/>
      <c r="G65" s="78"/>
      <c r="H65" s="642">
        <v>1.02</v>
      </c>
      <c r="I65" s="642">
        <v>1.02</v>
      </c>
      <c r="J65" s="642">
        <v>1.02</v>
      </c>
      <c r="K65" s="642">
        <v>1.02</v>
      </c>
      <c r="L65" s="642">
        <v>1.02</v>
      </c>
      <c r="M65" s="642">
        <v>1.02</v>
      </c>
      <c r="N65" s="642">
        <v>1.02</v>
      </c>
      <c r="O65" s="642">
        <v>1.02</v>
      </c>
      <c r="P65" s="642">
        <v>1.02</v>
      </c>
      <c r="Q65" s="642">
        <v>1.02</v>
      </c>
      <c r="R65" s="642">
        <v>1.02</v>
      </c>
      <c r="S65" s="24"/>
    </row>
    <row r="66" spans="1:19" hidden="1" outlineLevel="1">
      <c r="A66" s="6" t="s">
        <v>325</v>
      </c>
      <c r="C66" s="310"/>
      <c r="D66" s="310"/>
      <c r="E66" s="78"/>
      <c r="F66" s="78"/>
      <c r="G66" s="78"/>
      <c r="H66" s="642">
        <v>1.03</v>
      </c>
      <c r="I66" s="642">
        <v>1.03</v>
      </c>
      <c r="J66" s="642">
        <v>1.03</v>
      </c>
      <c r="K66" s="642">
        <v>1.03</v>
      </c>
      <c r="L66" s="642">
        <v>1.03</v>
      </c>
      <c r="M66" s="642">
        <v>1.03</v>
      </c>
      <c r="N66" s="642">
        <v>1.03</v>
      </c>
      <c r="O66" s="642">
        <v>1.03</v>
      </c>
      <c r="P66" s="642">
        <v>1.03</v>
      </c>
      <c r="Q66" s="642">
        <v>1.03</v>
      </c>
      <c r="R66" s="642">
        <v>1.03</v>
      </c>
      <c r="S66" s="24"/>
    </row>
    <row r="67" spans="1:19" hidden="1" outlineLevel="1">
      <c r="A67" s="636" t="str">
        <f>A56</f>
        <v>Gas and Liquids Sold</v>
      </c>
      <c r="C67" s="310"/>
      <c r="D67" s="310"/>
      <c r="E67" s="78">
        <f>E56/D56</f>
        <v>3.1535393818544368</v>
      </c>
      <c r="F67" s="78">
        <f>F56/E56</f>
        <v>1.0991674570555381</v>
      </c>
      <c r="G67" s="78">
        <f>G56/F56</f>
        <v>2.5247363374880152</v>
      </c>
      <c r="H67" s="642">
        <v>1.04</v>
      </c>
      <c r="I67" s="642">
        <f>H67</f>
        <v>1.04</v>
      </c>
      <c r="J67" s="642">
        <f>I67</f>
        <v>1.04</v>
      </c>
      <c r="K67" s="642">
        <f>J67</f>
        <v>1.04</v>
      </c>
      <c r="L67" s="642">
        <f>K67</f>
        <v>1.04</v>
      </c>
      <c r="M67" s="642">
        <f>L67</f>
        <v>1.04</v>
      </c>
      <c r="N67" s="642">
        <v>1.05</v>
      </c>
      <c r="O67" s="642">
        <v>1.05</v>
      </c>
      <c r="P67" s="642">
        <v>1.05</v>
      </c>
      <c r="Q67" s="642">
        <v>1</v>
      </c>
      <c r="R67" s="642">
        <v>1</v>
      </c>
      <c r="S67" s="24"/>
    </row>
    <row r="68" spans="1:19" hidden="1" outlineLevel="1">
      <c r="A68" s="636" t="s">
        <v>326</v>
      </c>
      <c r="C68" s="310"/>
      <c r="D68" s="310"/>
      <c r="E68" s="78"/>
      <c r="F68" s="78"/>
      <c r="G68" s="78"/>
      <c r="H68" s="642">
        <v>1.01</v>
      </c>
      <c r="I68" s="642">
        <v>1.01</v>
      </c>
      <c r="J68" s="642">
        <v>1.01</v>
      </c>
      <c r="K68" s="642">
        <v>1.01</v>
      </c>
      <c r="L68" s="642">
        <v>1.01</v>
      </c>
      <c r="M68" s="642">
        <v>1.01</v>
      </c>
      <c r="N68" s="642">
        <v>1.01</v>
      </c>
      <c r="O68" s="642">
        <v>1.01</v>
      </c>
      <c r="P68" s="642">
        <v>1.01</v>
      </c>
      <c r="Q68" s="642">
        <v>1.01</v>
      </c>
      <c r="R68" s="642">
        <v>1.01</v>
      </c>
      <c r="S68" s="24"/>
    </row>
    <row r="69" spans="1:19" hidden="1" outlineLevel="1">
      <c r="A69" s="559" t="s">
        <v>58</v>
      </c>
      <c r="C69" s="310"/>
      <c r="D69" s="310"/>
      <c r="E69" s="78">
        <f>E58/D58</f>
        <v>118.35135135135135</v>
      </c>
      <c r="F69" s="78">
        <f>F58/E58</f>
        <v>0.28111440968257595</v>
      </c>
      <c r="G69" s="78">
        <f>G58/F58</f>
        <v>5.1448686704576224E-2</v>
      </c>
      <c r="H69" s="642">
        <v>5</v>
      </c>
      <c r="I69" s="642">
        <v>1</v>
      </c>
      <c r="J69" s="642">
        <f>I69</f>
        <v>1</v>
      </c>
      <c r="K69" s="642">
        <f>J69</f>
        <v>1</v>
      </c>
      <c r="L69" s="642">
        <f>K69</f>
        <v>1</v>
      </c>
      <c r="M69" s="642">
        <v>1.05</v>
      </c>
      <c r="N69" s="642">
        <v>1.05</v>
      </c>
      <c r="O69" s="642">
        <v>1.05</v>
      </c>
      <c r="P69" s="642">
        <v>1.05</v>
      </c>
      <c r="Q69" s="642">
        <v>1.05</v>
      </c>
      <c r="R69" s="642">
        <v>1.05</v>
      </c>
      <c r="S69" s="24"/>
    </row>
    <row r="70" spans="1:19" hidden="1" outlineLevel="1">
      <c r="S70" s="24"/>
    </row>
    <row r="71" spans="1:19" hidden="1" outlineLevel="1">
      <c r="S71" s="24"/>
    </row>
    <row r="72" spans="1:19" ht="15.75" collapsed="1">
      <c r="A72" s="483" t="s">
        <v>241</v>
      </c>
      <c r="B72" s="379"/>
      <c r="C72" s="379"/>
      <c r="D72" s="379"/>
      <c r="E72" s="379"/>
      <c r="F72" s="379"/>
      <c r="G72" s="379"/>
      <c r="H72" s="379"/>
      <c r="I72" s="379"/>
      <c r="J72" s="379"/>
      <c r="K72" s="379"/>
      <c r="L72" s="379"/>
      <c r="M72" s="379"/>
      <c r="N72" s="379"/>
      <c r="O72" s="379"/>
      <c r="P72" s="379"/>
      <c r="Q72" s="379"/>
      <c r="R72" s="379"/>
      <c r="S72" s="24"/>
    </row>
    <row r="73" spans="1:19" s="24" customFormat="1" ht="14.25" customHeight="1">
      <c r="A73" s="488"/>
      <c r="E73" s="480"/>
      <c r="F73" s="480"/>
      <c r="G73" s="323"/>
      <c r="H73" s="309" t="s">
        <v>203</v>
      </c>
      <c r="I73" s="328"/>
      <c r="J73" s="323"/>
      <c r="K73" s="323"/>
      <c r="L73" s="246"/>
      <c r="M73" s="323"/>
      <c r="N73" s="246"/>
      <c r="O73" s="246"/>
      <c r="P73" s="246"/>
      <c r="Q73" s="246"/>
      <c r="R73" s="292"/>
    </row>
    <row r="74" spans="1:19" s="24" customFormat="1" ht="15.75">
      <c r="A74" s="488"/>
      <c r="B74" s="39" t="s">
        <v>57</v>
      </c>
      <c r="D74" s="387">
        <v>1997</v>
      </c>
      <c r="E74" s="256">
        <v>1998</v>
      </c>
      <c r="F74" s="256">
        <v>1999</v>
      </c>
      <c r="G74" s="256">
        <v>2000</v>
      </c>
      <c r="H74" s="256">
        <v>2001</v>
      </c>
      <c r="I74" s="289">
        <v>2002</v>
      </c>
      <c r="J74" s="289">
        <v>2003</v>
      </c>
      <c r="K74" s="289">
        <v>2004</v>
      </c>
      <c r="L74" s="289">
        <v>2005</v>
      </c>
      <c r="M74" s="289">
        <v>2006</v>
      </c>
      <c r="N74" s="293">
        <v>2007</v>
      </c>
      <c r="O74" s="293">
        <v>2008</v>
      </c>
      <c r="P74" s="293">
        <v>2009</v>
      </c>
      <c r="Q74" s="293">
        <v>2010</v>
      </c>
      <c r="R74" s="465">
        <v>2011</v>
      </c>
    </row>
    <row r="75" spans="1:19">
      <c r="A75" s="6" t="s">
        <v>328</v>
      </c>
      <c r="B75" s="671">
        <v>0</v>
      </c>
      <c r="C75" s="34"/>
      <c r="D75" s="540"/>
      <c r="E75" s="540">
        <f>$B$75*359</f>
        <v>0</v>
      </c>
      <c r="F75" s="540">
        <f>$B$75*406</f>
        <v>0</v>
      </c>
      <c r="G75" s="540">
        <f>$B$75*408</f>
        <v>0</v>
      </c>
      <c r="H75" s="781">
        <f>$B$75*2*171</f>
        <v>0</v>
      </c>
      <c r="I75" s="539">
        <f t="shared" ref="I75:R75" si="25">H75*I86</f>
        <v>0</v>
      </c>
      <c r="J75" s="539">
        <f t="shared" si="25"/>
        <v>0</v>
      </c>
      <c r="K75" s="539">
        <f t="shared" si="25"/>
        <v>0</v>
      </c>
      <c r="L75" s="539">
        <f t="shared" si="25"/>
        <v>0</v>
      </c>
      <c r="M75" s="539">
        <f t="shared" si="25"/>
        <v>0</v>
      </c>
      <c r="N75" s="539">
        <f t="shared" si="25"/>
        <v>0</v>
      </c>
      <c r="O75" s="539">
        <f t="shared" si="25"/>
        <v>0</v>
      </c>
      <c r="P75" s="539">
        <f t="shared" si="25"/>
        <v>0</v>
      </c>
      <c r="Q75" s="539">
        <f t="shared" si="25"/>
        <v>0</v>
      </c>
      <c r="R75" s="539">
        <f t="shared" si="25"/>
        <v>0</v>
      </c>
      <c r="S75" s="24"/>
    </row>
    <row r="76" spans="1:19">
      <c r="A76" s="673" t="s">
        <v>335</v>
      </c>
      <c r="B76" s="671">
        <v>0</v>
      </c>
      <c r="C76" s="34"/>
      <c r="D76" s="540"/>
      <c r="E76" s="540">
        <f>$B$76*287</f>
        <v>0</v>
      </c>
      <c r="F76" s="540">
        <f>$B$76*108</f>
        <v>0</v>
      </c>
      <c r="G76" s="540">
        <f>$B$76*1457</f>
        <v>0</v>
      </c>
      <c r="H76" s="781">
        <f>$B$76*2*2999</f>
        <v>0</v>
      </c>
      <c r="I76" s="539">
        <f t="shared" ref="I76:R76" si="26">H76*I87</f>
        <v>0</v>
      </c>
      <c r="J76" s="539">
        <f t="shared" si="26"/>
        <v>0</v>
      </c>
      <c r="K76" s="539">
        <f t="shared" si="26"/>
        <v>0</v>
      </c>
      <c r="L76" s="539">
        <f t="shared" si="26"/>
        <v>0</v>
      </c>
      <c r="M76" s="539">
        <f t="shared" si="26"/>
        <v>0</v>
      </c>
      <c r="N76" s="539">
        <f t="shared" si="26"/>
        <v>0</v>
      </c>
      <c r="O76" s="539">
        <f t="shared" si="26"/>
        <v>0</v>
      </c>
      <c r="P76" s="539">
        <f t="shared" si="26"/>
        <v>0</v>
      </c>
      <c r="Q76" s="539">
        <f t="shared" si="26"/>
        <v>0</v>
      </c>
      <c r="R76" s="539">
        <f t="shared" si="26"/>
        <v>0</v>
      </c>
      <c r="S76" s="24"/>
    </row>
    <row r="77" spans="1:19">
      <c r="A77" s="6" t="s">
        <v>329</v>
      </c>
      <c r="B77" s="671">
        <v>0</v>
      </c>
      <c r="C77" s="34"/>
      <c r="D77" s="540"/>
      <c r="E77" s="540">
        <f>$B$77*297</f>
        <v>0</v>
      </c>
      <c r="F77" s="540">
        <f>$B$77*401</f>
        <v>0</v>
      </c>
      <c r="G77" s="540">
        <f>$B$77*529</f>
        <v>0</v>
      </c>
      <c r="H77" s="781">
        <f>$B$77*2*266</f>
        <v>0</v>
      </c>
      <c r="I77" s="539">
        <f t="shared" ref="I77:R77" si="27">H77*I88</f>
        <v>0</v>
      </c>
      <c r="J77" s="539">
        <f t="shared" si="27"/>
        <v>0</v>
      </c>
      <c r="K77" s="539">
        <f t="shared" si="27"/>
        <v>0</v>
      </c>
      <c r="L77" s="539">
        <f t="shared" si="27"/>
        <v>0</v>
      </c>
      <c r="M77" s="539">
        <f t="shared" si="27"/>
        <v>0</v>
      </c>
      <c r="N77" s="539">
        <f t="shared" si="27"/>
        <v>0</v>
      </c>
      <c r="O77" s="539">
        <f t="shared" si="27"/>
        <v>0</v>
      </c>
      <c r="P77" s="539">
        <f t="shared" si="27"/>
        <v>0</v>
      </c>
      <c r="Q77" s="539">
        <f t="shared" si="27"/>
        <v>0</v>
      </c>
      <c r="R77" s="539">
        <f t="shared" si="27"/>
        <v>0</v>
      </c>
      <c r="S77" s="24"/>
    </row>
    <row r="78" spans="1:19">
      <c r="A78" s="6" t="s">
        <v>330</v>
      </c>
      <c r="B78" s="671">
        <v>0</v>
      </c>
      <c r="C78" s="34"/>
      <c r="D78" s="540"/>
      <c r="E78" s="540">
        <f>$B$78*573</f>
        <v>0</v>
      </c>
      <c r="F78" s="540">
        <f>$B$78*560</f>
        <v>0</v>
      </c>
      <c r="G78" s="540">
        <f>$B$78*555</f>
        <v>0</v>
      </c>
      <c r="H78" s="781">
        <f>$B$78*2*244</f>
        <v>0</v>
      </c>
      <c r="I78" s="539">
        <f t="shared" ref="I78:R78" si="28">H78*I89</f>
        <v>0</v>
      </c>
      <c r="J78" s="539">
        <f t="shared" si="28"/>
        <v>0</v>
      </c>
      <c r="K78" s="539">
        <f t="shared" si="28"/>
        <v>0</v>
      </c>
      <c r="L78" s="539">
        <f t="shared" si="28"/>
        <v>0</v>
      </c>
      <c r="M78" s="539">
        <f t="shared" si="28"/>
        <v>0</v>
      </c>
      <c r="N78" s="539">
        <f t="shared" si="28"/>
        <v>0</v>
      </c>
      <c r="O78" s="539">
        <f t="shared" si="28"/>
        <v>0</v>
      </c>
      <c r="P78" s="539">
        <f t="shared" si="28"/>
        <v>0</v>
      </c>
      <c r="Q78" s="539">
        <f t="shared" si="28"/>
        <v>0</v>
      </c>
      <c r="R78" s="539">
        <f t="shared" si="28"/>
        <v>0</v>
      </c>
      <c r="S78" s="24"/>
    </row>
    <row r="79" spans="1:19">
      <c r="A79" s="636" t="s">
        <v>467</v>
      </c>
      <c r="B79" s="671">
        <v>0</v>
      </c>
      <c r="C79" s="34"/>
      <c r="D79" s="646">
        <v>0</v>
      </c>
      <c r="E79" s="646">
        <v>0</v>
      </c>
      <c r="F79" s="646">
        <v>0</v>
      </c>
      <c r="G79" s="646">
        <v>0</v>
      </c>
      <c r="H79" s="394">
        <f>G79*H90</f>
        <v>0</v>
      </c>
      <c r="I79" s="539">
        <f t="shared" ref="I79:R79" si="29">H79*I90</f>
        <v>0</v>
      </c>
      <c r="J79" s="539">
        <f t="shared" si="29"/>
        <v>0</v>
      </c>
      <c r="K79" s="539">
        <f t="shared" si="29"/>
        <v>0</v>
      </c>
      <c r="L79" s="539">
        <f t="shared" si="29"/>
        <v>0</v>
      </c>
      <c r="M79" s="539">
        <f t="shared" si="29"/>
        <v>0</v>
      </c>
      <c r="N79" s="539">
        <f t="shared" si="29"/>
        <v>0</v>
      </c>
      <c r="O79" s="539">
        <f t="shared" si="29"/>
        <v>0</v>
      </c>
      <c r="P79" s="539">
        <f t="shared" si="29"/>
        <v>0</v>
      </c>
      <c r="Q79" s="539">
        <f t="shared" si="29"/>
        <v>0</v>
      </c>
      <c r="R79" s="539">
        <f t="shared" si="29"/>
        <v>0</v>
      </c>
      <c r="S79" s="24"/>
    </row>
    <row r="80" spans="1:19">
      <c r="A80" s="6" t="s">
        <v>462</v>
      </c>
      <c r="B80" s="671">
        <v>0</v>
      </c>
      <c r="C80" s="34"/>
      <c r="D80" s="646"/>
      <c r="E80" s="646">
        <f>$B$80*31884</f>
        <v>0</v>
      </c>
      <c r="F80" s="646">
        <f>$B$80*29637</f>
        <v>0</v>
      </c>
      <c r="G80" s="646">
        <f>$B$80*29231</f>
        <v>0</v>
      </c>
      <c r="H80" s="217">
        <f>G80*H91</f>
        <v>0</v>
      </c>
      <c r="I80" s="539">
        <f t="shared" ref="I80:R80" si="30">H80*I91</f>
        <v>0</v>
      </c>
      <c r="J80" s="539">
        <f t="shared" si="30"/>
        <v>0</v>
      </c>
      <c r="K80" s="539">
        <f t="shared" si="30"/>
        <v>0</v>
      </c>
      <c r="L80" s="539">
        <f t="shared" si="30"/>
        <v>0</v>
      </c>
      <c r="M80" s="539">
        <f t="shared" si="30"/>
        <v>0</v>
      </c>
      <c r="N80" s="539">
        <f t="shared" si="30"/>
        <v>0</v>
      </c>
      <c r="O80" s="539">
        <f t="shared" si="30"/>
        <v>0</v>
      </c>
      <c r="P80" s="539">
        <f t="shared" si="30"/>
        <v>0</v>
      </c>
      <c r="Q80" s="539">
        <f t="shared" si="30"/>
        <v>0</v>
      </c>
      <c r="R80" s="539">
        <f t="shared" si="30"/>
        <v>0</v>
      </c>
      <c r="S80" s="24"/>
    </row>
    <row r="81" spans="1:19">
      <c r="A81" s="6" t="s">
        <v>463</v>
      </c>
      <c r="B81" s="671">
        <v>1</v>
      </c>
      <c r="C81" s="34"/>
      <c r="D81" s="646">
        <f>2337+32702</f>
        <v>35039</v>
      </c>
      <c r="E81" s="646">
        <f>6412+27202</f>
        <v>33614</v>
      </c>
      <c r="F81" s="646">
        <v>38311</v>
      </c>
      <c r="G81" s="646">
        <v>39601</v>
      </c>
      <c r="H81" s="781">
        <v>43310</v>
      </c>
      <c r="I81" s="539">
        <v>53037</v>
      </c>
      <c r="J81" s="539">
        <f t="shared" ref="J81:R81" si="31">I81*J92</f>
        <v>53037</v>
      </c>
      <c r="K81" s="539">
        <f t="shared" si="31"/>
        <v>53037</v>
      </c>
      <c r="L81" s="539">
        <f t="shared" si="31"/>
        <v>53037</v>
      </c>
      <c r="M81" s="539">
        <f t="shared" si="31"/>
        <v>53037</v>
      </c>
      <c r="N81" s="539">
        <f t="shared" si="31"/>
        <v>53037</v>
      </c>
      <c r="O81" s="539">
        <f t="shared" si="31"/>
        <v>53037</v>
      </c>
      <c r="P81" s="539">
        <f t="shared" si="31"/>
        <v>53037</v>
      </c>
      <c r="Q81" s="539">
        <f t="shared" si="31"/>
        <v>53037</v>
      </c>
      <c r="R81" s="539">
        <f t="shared" si="31"/>
        <v>53037</v>
      </c>
      <c r="S81" s="24"/>
    </row>
    <row r="82" spans="1:19">
      <c r="A82" s="357" t="s">
        <v>464</v>
      </c>
      <c r="B82" s="672">
        <v>1</v>
      </c>
      <c r="C82" s="292"/>
      <c r="D82" s="546">
        <v>6180</v>
      </c>
      <c r="E82" s="546">
        <v>11027</v>
      </c>
      <c r="F82" s="546">
        <v>10849</v>
      </c>
      <c r="G82" s="546">
        <v>11163</v>
      </c>
      <c r="H82" s="782">
        <v>11092</v>
      </c>
      <c r="I82" s="657">
        <v>10829</v>
      </c>
      <c r="J82" s="657">
        <f t="shared" ref="J82:R82" si="32">I82*J93</f>
        <v>10829</v>
      </c>
      <c r="K82" s="657">
        <f t="shared" si="32"/>
        <v>10829</v>
      </c>
      <c r="L82" s="657">
        <f t="shared" si="32"/>
        <v>10829</v>
      </c>
      <c r="M82" s="657">
        <f t="shared" si="32"/>
        <v>10829</v>
      </c>
      <c r="N82" s="657">
        <f t="shared" si="32"/>
        <v>10829</v>
      </c>
      <c r="O82" s="657">
        <f t="shared" si="32"/>
        <v>10829</v>
      </c>
      <c r="P82" s="657">
        <f t="shared" si="32"/>
        <v>10829</v>
      </c>
      <c r="Q82" s="657">
        <f t="shared" si="32"/>
        <v>10829</v>
      </c>
      <c r="R82" s="657">
        <f t="shared" si="32"/>
        <v>10829</v>
      </c>
      <c r="S82" s="24"/>
    </row>
    <row r="83" spans="1:19">
      <c r="A83" s="551" t="s">
        <v>279</v>
      </c>
      <c r="B83" s="656"/>
      <c r="C83" s="310"/>
      <c r="D83" s="565">
        <f t="shared" ref="D83:R83" si="33">SUM(D75:D82)</f>
        <v>41219</v>
      </c>
      <c r="E83" s="565">
        <f t="shared" si="33"/>
        <v>44641</v>
      </c>
      <c r="F83" s="565">
        <f t="shared" si="33"/>
        <v>49160</v>
      </c>
      <c r="G83" s="565">
        <f t="shared" si="33"/>
        <v>50764</v>
      </c>
      <c r="H83" s="566">
        <f t="shared" si="33"/>
        <v>54402</v>
      </c>
      <c r="I83" s="566">
        <f t="shared" si="33"/>
        <v>63866</v>
      </c>
      <c r="J83" s="566">
        <f t="shared" si="33"/>
        <v>63866</v>
      </c>
      <c r="K83" s="566">
        <f t="shared" si="33"/>
        <v>63866</v>
      </c>
      <c r="L83" s="566">
        <f t="shared" si="33"/>
        <v>63866</v>
      </c>
      <c r="M83" s="566">
        <f t="shared" si="33"/>
        <v>63866</v>
      </c>
      <c r="N83" s="566">
        <f t="shared" si="33"/>
        <v>63866</v>
      </c>
      <c r="O83" s="566">
        <f t="shared" si="33"/>
        <v>63866</v>
      </c>
      <c r="P83" s="566">
        <f t="shared" si="33"/>
        <v>63866</v>
      </c>
      <c r="Q83" s="566">
        <f t="shared" si="33"/>
        <v>63866</v>
      </c>
      <c r="R83" s="566">
        <f t="shared" si="33"/>
        <v>63866</v>
      </c>
      <c r="S83" s="24"/>
    </row>
    <row r="84" spans="1:19">
      <c r="C84" s="34"/>
      <c r="D84" s="34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24"/>
    </row>
    <row r="85" spans="1:19" ht="15.75" hidden="1" outlineLevel="1">
      <c r="A85" s="651" t="s">
        <v>327</v>
      </c>
      <c r="B85" s="412"/>
      <c r="C85" s="647"/>
      <c r="D85" s="647"/>
      <c r="E85" s="648"/>
      <c r="F85" s="412"/>
      <c r="G85" s="649"/>
      <c r="H85" s="650"/>
      <c r="I85" s="650"/>
      <c r="J85" s="650"/>
      <c r="K85" s="650"/>
      <c r="L85" s="650"/>
      <c r="M85" s="650"/>
      <c r="N85" s="650"/>
      <c r="O85" s="650"/>
      <c r="P85" s="650"/>
      <c r="Q85" s="650"/>
      <c r="R85" s="650"/>
      <c r="S85" s="662"/>
    </row>
    <row r="86" spans="1:19" hidden="1" outlineLevel="1">
      <c r="A86" s="6" t="s">
        <v>328</v>
      </c>
      <c r="C86" s="310"/>
      <c r="D86" s="310"/>
      <c r="E86" s="549"/>
      <c r="H86" s="642">
        <v>1.01</v>
      </c>
      <c r="I86" s="642">
        <v>1.01</v>
      </c>
      <c r="J86" s="642">
        <v>1.01</v>
      </c>
      <c r="K86" s="642">
        <v>1.01</v>
      </c>
      <c r="L86" s="642">
        <v>1.01</v>
      </c>
      <c r="M86" s="642">
        <v>1.01</v>
      </c>
      <c r="N86" s="642">
        <v>1.01</v>
      </c>
      <c r="O86" s="642">
        <v>1.01</v>
      </c>
      <c r="P86" s="642">
        <v>1.01</v>
      </c>
      <c r="Q86" s="642">
        <v>1.01</v>
      </c>
      <c r="R86" s="642">
        <v>1.01</v>
      </c>
      <c r="S86" s="24"/>
    </row>
    <row r="87" spans="1:19" hidden="1" outlineLevel="1">
      <c r="A87" s="673" t="s">
        <v>335</v>
      </c>
      <c r="C87" s="310"/>
      <c r="D87" s="310"/>
      <c r="E87" s="549"/>
      <c r="G87" s="77"/>
      <c r="H87" s="642">
        <v>1.25</v>
      </c>
      <c r="I87" s="642">
        <v>1.25</v>
      </c>
      <c r="J87" s="642">
        <v>1.25</v>
      </c>
      <c r="K87" s="642">
        <v>1.1499999999999999</v>
      </c>
      <c r="L87" s="642">
        <v>1.1499999999999999</v>
      </c>
      <c r="M87" s="642">
        <v>1.05</v>
      </c>
      <c r="N87" s="642">
        <v>1.05</v>
      </c>
      <c r="O87" s="642">
        <v>0.95</v>
      </c>
      <c r="P87" s="642">
        <v>0.95</v>
      </c>
      <c r="Q87" s="642">
        <v>0.85</v>
      </c>
      <c r="R87" s="642">
        <v>0.85</v>
      </c>
      <c r="S87" s="24"/>
    </row>
    <row r="88" spans="1:19" hidden="1" outlineLevel="1">
      <c r="A88" s="6" t="s">
        <v>329</v>
      </c>
      <c r="C88" s="310"/>
      <c r="D88" s="310"/>
      <c r="E88" s="549"/>
      <c r="G88" s="77"/>
      <c r="H88" s="642">
        <v>1.03</v>
      </c>
      <c r="I88" s="642">
        <v>1.03</v>
      </c>
      <c r="J88" s="642">
        <v>1.03</v>
      </c>
      <c r="K88" s="642">
        <v>1.03</v>
      </c>
      <c r="L88" s="642">
        <v>1.03</v>
      </c>
      <c r="M88" s="642">
        <v>1.03</v>
      </c>
      <c r="N88" s="642">
        <v>1.03</v>
      </c>
      <c r="O88" s="642">
        <v>1.03</v>
      </c>
      <c r="P88" s="642">
        <v>1.03</v>
      </c>
      <c r="Q88" s="642">
        <v>1.03</v>
      </c>
      <c r="R88" s="642">
        <v>1.03</v>
      </c>
      <c r="S88" s="24"/>
    </row>
    <row r="89" spans="1:19" hidden="1" outlineLevel="1">
      <c r="A89" s="6" t="s">
        <v>330</v>
      </c>
      <c r="C89" s="310"/>
      <c r="D89" s="310"/>
      <c r="E89" s="549"/>
      <c r="G89" s="77"/>
      <c r="H89" s="642">
        <v>1.02</v>
      </c>
      <c r="I89" s="642">
        <v>1.02</v>
      </c>
      <c r="J89" s="642">
        <v>1.02</v>
      </c>
      <c r="K89" s="642">
        <v>1.02</v>
      </c>
      <c r="L89" s="642">
        <v>1.02</v>
      </c>
      <c r="M89" s="642">
        <v>1.02</v>
      </c>
      <c r="N89" s="642">
        <v>1.02</v>
      </c>
      <c r="O89" s="642">
        <v>1.02</v>
      </c>
      <c r="P89" s="642">
        <v>1.02</v>
      </c>
      <c r="Q89" s="642">
        <v>1.02</v>
      </c>
      <c r="R89" s="642">
        <v>1.02</v>
      </c>
      <c r="S89" s="24"/>
    </row>
    <row r="90" spans="1:19" hidden="1" outlineLevel="1">
      <c r="A90" s="636" t="str">
        <f>A79</f>
        <v>Cost of Sales</v>
      </c>
      <c r="C90" s="310"/>
      <c r="D90" s="783"/>
      <c r="E90" s="78"/>
      <c r="F90" s="78"/>
      <c r="G90" s="78"/>
      <c r="H90" s="642">
        <v>1.1000000000000001</v>
      </c>
      <c r="I90" s="642">
        <f>H90</f>
        <v>1.1000000000000001</v>
      </c>
      <c r="J90" s="642">
        <f>I90</f>
        <v>1.1000000000000001</v>
      </c>
      <c r="K90" s="642">
        <f>J90</f>
        <v>1.1000000000000001</v>
      </c>
      <c r="L90" s="642">
        <f>K90</f>
        <v>1.1000000000000001</v>
      </c>
      <c r="M90" s="642">
        <v>1.05</v>
      </c>
      <c r="N90" s="642">
        <f>M90</f>
        <v>1.05</v>
      </c>
      <c r="O90" s="642">
        <v>1.05</v>
      </c>
      <c r="P90" s="642">
        <v>1.05</v>
      </c>
      <c r="Q90" s="642">
        <v>1</v>
      </c>
      <c r="R90" s="642">
        <v>1</v>
      </c>
      <c r="S90" s="24"/>
    </row>
    <row r="91" spans="1:19" hidden="1" outlineLevel="1">
      <c r="A91" s="6" t="s">
        <v>462</v>
      </c>
      <c r="C91" s="310"/>
      <c r="D91" s="310"/>
      <c r="E91" s="78"/>
      <c r="F91" s="78"/>
      <c r="G91" s="78"/>
      <c r="H91" s="642">
        <v>1.01</v>
      </c>
      <c r="I91" s="642">
        <v>1.01</v>
      </c>
      <c r="J91" s="642">
        <v>1.01</v>
      </c>
      <c r="K91" s="642">
        <v>1.01</v>
      </c>
      <c r="L91" s="642">
        <v>1.01</v>
      </c>
      <c r="M91" s="642">
        <v>1.01</v>
      </c>
      <c r="N91" s="642">
        <v>1.01</v>
      </c>
      <c r="O91" s="642">
        <v>1.01</v>
      </c>
      <c r="P91" s="642">
        <v>1.01</v>
      </c>
      <c r="Q91" s="642">
        <v>1.01</v>
      </c>
      <c r="R91" s="642">
        <v>1.01</v>
      </c>
      <c r="S91" s="24"/>
    </row>
    <row r="92" spans="1:19" hidden="1" outlineLevel="1">
      <c r="A92" s="6" t="s">
        <v>463</v>
      </c>
      <c r="C92" s="310"/>
      <c r="D92" s="784"/>
      <c r="E92" s="78">
        <f t="shared" ref="E92:G93" si="34">E81/D81</f>
        <v>0.95933103113673335</v>
      </c>
      <c r="F92" s="78">
        <f t="shared" si="34"/>
        <v>1.1397334443981675</v>
      </c>
      <c r="G92" s="78">
        <f t="shared" si="34"/>
        <v>1.0336717913915063</v>
      </c>
      <c r="H92" s="996">
        <f>AVERAGE(E92:G92)</f>
        <v>1.0442454223088022</v>
      </c>
      <c r="I92" s="642">
        <v>1.03</v>
      </c>
      <c r="J92" s="642">
        <v>1</v>
      </c>
      <c r="K92" s="642">
        <f t="shared" ref="K92:R92" si="35">J92</f>
        <v>1</v>
      </c>
      <c r="L92" s="642">
        <f t="shared" si="35"/>
        <v>1</v>
      </c>
      <c r="M92" s="642">
        <f t="shared" si="35"/>
        <v>1</v>
      </c>
      <c r="N92" s="642">
        <f t="shared" si="35"/>
        <v>1</v>
      </c>
      <c r="O92" s="642">
        <f t="shared" si="35"/>
        <v>1</v>
      </c>
      <c r="P92" s="642">
        <v>1</v>
      </c>
      <c r="Q92" s="642">
        <f t="shared" si="35"/>
        <v>1</v>
      </c>
      <c r="R92" s="642">
        <f t="shared" si="35"/>
        <v>1</v>
      </c>
      <c r="S92" s="24"/>
    </row>
    <row r="93" spans="1:19" hidden="1" outlineLevel="1">
      <c r="A93" s="357" t="s">
        <v>464</v>
      </c>
      <c r="C93" s="310"/>
      <c r="D93" s="784"/>
      <c r="E93" s="78">
        <f t="shared" si="34"/>
        <v>1.784304207119741</v>
      </c>
      <c r="F93" s="78">
        <f t="shared" si="34"/>
        <v>0.98385780357304797</v>
      </c>
      <c r="G93" s="78">
        <f t="shared" si="34"/>
        <v>1.028942759701355</v>
      </c>
      <c r="H93" s="642">
        <v>0.7</v>
      </c>
      <c r="I93" s="642">
        <v>1.4</v>
      </c>
      <c r="J93" s="642">
        <v>1</v>
      </c>
      <c r="K93" s="642">
        <f t="shared" ref="K93:R93" si="36">J93</f>
        <v>1</v>
      </c>
      <c r="L93" s="642">
        <f t="shared" si="36"/>
        <v>1</v>
      </c>
      <c r="M93" s="642">
        <f t="shared" si="36"/>
        <v>1</v>
      </c>
      <c r="N93" s="642">
        <f t="shared" si="36"/>
        <v>1</v>
      </c>
      <c r="O93" s="642">
        <f t="shared" si="36"/>
        <v>1</v>
      </c>
      <c r="P93" s="642">
        <f t="shared" si="36"/>
        <v>1</v>
      </c>
      <c r="Q93" s="642">
        <f t="shared" si="36"/>
        <v>1</v>
      </c>
      <c r="R93" s="642">
        <f t="shared" si="36"/>
        <v>1</v>
      </c>
      <c r="S93" s="24"/>
    </row>
    <row r="94" spans="1:19" hidden="1" outlineLevel="1">
      <c r="S94" s="24"/>
    </row>
    <row r="95" spans="1:19" ht="15.75" collapsed="1">
      <c r="A95" s="483" t="s">
        <v>282</v>
      </c>
      <c r="B95" s="379"/>
      <c r="C95" s="379"/>
      <c r="D95" s="379"/>
      <c r="E95" s="379"/>
      <c r="F95" s="379"/>
      <c r="G95" s="379"/>
      <c r="H95" s="379"/>
      <c r="I95" s="379"/>
      <c r="J95" s="379"/>
      <c r="K95" s="379"/>
      <c r="L95" s="379"/>
      <c r="M95" s="379"/>
      <c r="N95" s="379"/>
      <c r="O95" s="379"/>
      <c r="P95" s="379"/>
      <c r="Q95" s="379"/>
      <c r="R95" s="379"/>
      <c r="S95" s="24"/>
    </row>
    <row r="96" spans="1:19" s="24" customFormat="1" ht="12.75" customHeight="1">
      <c r="A96" s="488"/>
      <c r="E96" s="480"/>
      <c r="F96" s="480"/>
      <c r="G96" s="323"/>
      <c r="H96" s="309" t="s">
        <v>203</v>
      </c>
      <c r="I96" s="328"/>
      <c r="J96" s="323"/>
      <c r="K96" s="323"/>
      <c r="L96" s="246"/>
      <c r="M96" s="323"/>
      <c r="N96" s="246"/>
      <c r="O96" s="246"/>
      <c r="P96" s="246"/>
      <c r="Q96" s="246"/>
      <c r="R96" s="292"/>
    </row>
    <row r="97" spans="1:19" s="24" customFormat="1" ht="12.75" customHeight="1">
      <c r="A97" s="488"/>
      <c r="D97" s="387">
        <v>1997</v>
      </c>
      <c r="E97" s="256">
        <v>1998</v>
      </c>
      <c r="F97" s="256">
        <v>1999</v>
      </c>
      <c r="G97" s="256">
        <v>2000</v>
      </c>
      <c r="H97" s="256">
        <v>2001</v>
      </c>
      <c r="I97" s="289">
        <v>2002</v>
      </c>
      <c r="J97" s="289">
        <v>2003</v>
      </c>
      <c r="K97" s="289">
        <v>2004</v>
      </c>
      <c r="L97" s="289">
        <v>2005</v>
      </c>
      <c r="M97" s="289">
        <v>2006</v>
      </c>
      <c r="N97" s="293">
        <v>2007</v>
      </c>
      <c r="O97" s="293">
        <v>2008</v>
      </c>
      <c r="P97" s="293">
        <v>2009</v>
      </c>
      <c r="Q97" s="293">
        <v>2010</v>
      </c>
      <c r="R97" s="465">
        <v>2011</v>
      </c>
    </row>
    <row r="98" spans="1:19" s="24" customFormat="1" ht="12.75" customHeight="1">
      <c r="A98" s="488"/>
      <c r="B98" s="39" t="s">
        <v>57</v>
      </c>
      <c r="G98" s="487" t="s">
        <v>213</v>
      </c>
      <c r="H98" s="256">
        <v>1</v>
      </c>
      <c r="I98" s="289">
        <v>2</v>
      </c>
      <c r="J98" s="289">
        <v>3</v>
      </c>
      <c r="K98" s="289">
        <v>4</v>
      </c>
      <c r="L98" s="289">
        <v>5</v>
      </c>
      <c r="M98" s="289">
        <v>6</v>
      </c>
      <c r="N98" s="289">
        <v>7</v>
      </c>
      <c r="O98" s="289">
        <v>8</v>
      </c>
      <c r="P98" s="289">
        <v>9</v>
      </c>
      <c r="Q98" s="289">
        <v>10</v>
      </c>
      <c r="R98" s="389">
        <v>11</v>
      </c>
    </row>
    <row r="99" spans="1:19">
      <c r="A99" s="6" t="s">
        <v>331</v>
      </c>
      <c r="B99" s="671">
        <v>0</v>
      </c>
      <c r="D99" s="540"/>
      <c r="E99" s="540"/>
      <c r="F99" s="540"/>
      <c r="G99" s="540"/>
      <c r="H99" s="572">
        <f>$B$99*555</f>
        <v>0</v>
      </c>
      <c r="I99" s="572">
        <f>$B$99*555</f>
        <v>0</v>
      </c>
      <c r="J99" s="572">
        <f>$B$99*355</f>
        <v>0</v>
      </c>
      <c r="K99" s="572">
        <f t="shared" ref="K99:R106" si="37">J99*K110</f>
        <v>0</v>
      </c>
      <c r="L99" s="572">
        <f t="shared" si="37"/>
        <v>0</v>
      </c>
      <c r="M99" s="539">
        <f t="shared" si="37"/>
        <v>0</v>
      </c>
      <c r="N99" s="539">
        <f t="shared" si="37"/>
        <v>0</v>
      </c>
      <c r="O99" s="539">
        <f t="shared" si="37"/>
        <v>0</v>
      </c>
      <c r="P99" s="539">
        <f t="shared" si="37"/>
        <v>0</v>
      </c>
      <c r="Q99" s="539">
        <f t="shared" si="37"/>
        <v>0</v>
      </c>
      <c r="R99" s="539">
        <f t="shared" si="37"/>
        <v>0</v>
      </c>
      <c r="S99" s="24"/>
    </row>
    <row r="100" spans="1:19">
      <c r="A100" s="6" t="s">
        <v>332</v>
      </c>
      <c r="B100" s="671">
        <v>0</v>
      </c>
      <c r="D100" s="540"/>
      <c r="E100" s="540"/>
      <c r="F100" s="540"/>
      <c r="G100" s="540"/>
      <c r="H100" s="572">
        <f>$B$100*145</f>
        <v>0</v>
      </c>
      <c r="I100" s="572">
        <f>$B$100*145</f>
        <v>0</v>
      </c>
      <c r="J100" s="572">
        <f>$B$100*135</f>
        <v>0</v>
      </c>
      <c r="K100" s="572">
        <f t="shared" si="37"/>
        <v>0</v>
      </c>
      <c r="L100" s="572">
        <f t="shared" si="37"/>
        <v>0</v>
      </c>
      <c r="M100" s="539">
        <f t="shared" si="37"/>
        <v>0</v>
      </c>
      <c r="N100" s="539">
        <f t="shared" si="37"/>
        <v>0</v>
      </c>
      <c r="O100" s="539">
        <f t="shared" si="37"/>
        <v>0</v>
      </c>
      <c r="P100" s="539">
        <f t="shared" si="37"/>
        <v>0</v>
      </c>
      <c r="Q100" s="539">
        <f t="shared" si="37"/>
        <v>0</v>
      </c>
      <c r="R100" s="539">
        <f t="shared" si="37"/>
        <v>0</v>
      </c>
      <c r="S100" s="24"/>
    </row>
    <row r="101" spans="1:19">
      <c r="A101" s="6" t="s">
        <v>468</v>
      </c>
      <c r="B101" s="671">
        <v>1</v>
      </c>
      <c r="D101" s="540">
        <v>31812</v>
      </c>
      <c r="E101" s="540">
        <v>18416</v>
      </c>
      <c r="F101" s="536">
        <v>33252</v>
      </c>
      <c r="G101" s="536">
        <v>26445</v>
      </c>
      <c r="H101" s="781">
        <v>67900</v>
      </c>
      <c r="I101" s="572">
        <v>61400</v>
      </c>
      <c r="J101" s="572">
        <v>20000</v>
      </c>
      <c r="K101" s="572">
        <v>20000</v>
      </c>
      <c r="L101" s="572">
        <f t="shared" si="37"/>
        <v>20000</v>
      </c>
      <c r="M101" s="572">
        <f t="shared" si="37"/>
        <v>20000</v>
      </c>
      <c r="N101" s="572">
        <f t="shared" si="37"/>
        <v>20000</v>
      </c>
      <c r="O101" s="572">
        <f t="shared" si="37"/>
        <v>20000</v>
      </c>
      <c r="P101" s="572">
        <f t="shared" si="37"/>
        <v>20000</v>
      </c>
      <c r="Q101" s="572">
        <f t="shared" si="37"/>
        <v>20000</v>
      </c>
      <c r="R101" s="572">
        <f t="shared" si="37"/>
        <v>20000</v>
      </c>
      <c r="S101" s="24"/>
    </row>
    <row r="102" spans="1:19">
      <c r="A102" s="6" t="s">
        <v>469</v>
      </c>
      <c r="B102" s="671">
        <v>1</v>
      </c>
      <c r="D102" s="540">
        <v>-1573</v>
      </c>
      <c r="E102" s="540">
        <v>354</v>
      </c>
      <c r="F102" s="536">
        <v>859</v>
      </c>
      <c r="G102" s="536">
        <v>3221</v>
      </c>
      <c r="H102" s="781">
        <v>237</v>
      </c>
      <c r="I102" s="572">
        <v>0</v>
      </c>
      <c r="J102" s="572">
        <f>I102*J113</f>
        <v>0</v>
      </c>
      <c r="K102" s="572">
        <f t="shared" si="37"/>
        <v>0</v>
      </c>
      <c r="L102" s="572">
        <f t="shared" si="37"/>
        <v>0</v>
      </c>
      <c r="M102" s="572">
        <f t="shared" si="37"/>
        <v>0</v>
      </c>
      <c r="N102" s="572">
        <f t="shared" si="37"/>
        <v>0</v>
      </c>
      <c r="O102" s="572">
        <f t="shared" si="37"/>
        <v>0</v>
      </c>
      <c r="P102" s="572">
        <f t="shared" si="37"/>
        <v>0</v>
      </c>
      <c r="Q102" s="572">
        <f t="shared" si="37"/>
        <v>0</v>
      </c>
      <c r="R102" s="572">
        <f t="shared" si="37"/>
        <v>0</v>
      </c>
      <c r="S102" s="24"/>
    </row>
    <row r="103" spans="1:19">
      <c r="A103" s="6" t="s">
        <v>470</v>
      </c>
      <c r="B103" s="671">
        <v>0</v>
      </c>
      <c r="D103" s="646">
        <f>$B$103*22580</f>
        <v>0</v>
      </c>
      <c r="E103" s="646">
        <f>$B$103*65549</f>
        <v>0</v>
      </c>
      <c r="F103" s="655">
        <f>$B$103*47960</f>
        <v>0</v>
      </c>
      <c r="G103" s="655">
        <f>$B$103*82028</f>
        <v>0</v>
      </c>
      <c r="H103" s="394">
        <f>G103*H114</f>
        <v>0</v>
      </c>
      <c r="I103" s="394">
        <f>H103*I114</f>
        <v>0</v>
      </c>
      <c r="J103" s="394">
        <f>I103*J114</f>
        <v>0</v>
      </c>
      <c r="K103" s="394">
        <f t="shared" si="37"/>
        <v>0</v>
      </c>
      <c r="L103" s="394">
        <f t="shared" si="37"/>
        <v>0</v>
      </c>
      <c r="M103" s="394">
        <f t="shared" si="37"/>
        <v>0</v>
      </c>
      <c r="N103" s="394">
        <f t="shared" si="37"/>
        <v>0</v>
      </c>
      <c r="O103" s="394">
        <f t="shared" si="37"/>
        <v>0</v>
      </c>
      <c r="P103" s="394">
        <f t="shared" si="37"/>
        <v>0</v>
      </c>
      <c r="Q103" s="394">
        <f t="shared" si="37"/>
        <v>0</v>
      </c>
      <c r="R103" s="394">
        <f t="shared" si="37"/>
        <v>0</v>
      </c>
      <c r="S103" s="24"/>
    </row>
    <row r="104" spans="1:19">
      <c r="A104" s="6" t="s">
        <v>471</v>
      </c>
      <c r="B104" s="671">
        <v>1</v>
      </c>
      <c r="D104" s="540">
        <v>-250</v>
      </c>
      <c r="E104" s="540">
        <v>-70</v>
      </c>
      <c r="F104" s="540">
        <v>-2817</v>
      </c>
      <c r="G104" s="540">
        <v>-117</v>
      </c>
      <c r="H104" s="394">
        <v>-32</v>
      </c>
      <c r="I104" s="394">
        <v>0</v>
      </c>
      <c r="J104" s="394">
        <f>I104*J115</f>
        <v>0</v>
      </c>
      <c r="K104" s="394">
        <f t="shared" si="37"/>
        <v>0</v>
      </c>
      <c r="L104" s="394">
        <f t="shared" si="37"/>
        <v>0</v>
      </c>
      <c r="M104" s="394">
        <f t="shared" si="37"/>
        <v>0</v>
      </c>
      <c r="N104" s="394">
        <f t="shared" si="37"/>
        <v>0</v>
      </c>
      <c r="O104" s="394">
        <f t="shared" si="37"/>
        <v>0</v>
      </c>
      <c r="P104" s="394">
        <f t="shared" si="37"/>
        <v>0</v>
      </c>
      <c r="Q104" s="394">
        <f t="shared" si="37"/>
        <v>0</v>
      </c>
      <c r="R104" s="394">
        <f t="shared" si="37"/>
        <v>0</v>
      </c>
      <c r="S104" s="24"/>
    </row>
    <row r="105" spans="1:19">
      <c r="A105" s="6" t="s">
        <v>326</v>
      </c>
      <c r="B105" s="671">
        <v>0</v>
      </c>
      <c r="D105" s="540"/>
      <c r="E105" s="540"/>
      <c r="F105" s="540"/>
      <c r="G105" s="540"/>
      <c r="H105" s="572">
        <f>$B$105*60</f>
        <v>0</v>
      </c>
      <c r="I105" s="572">
        <f>$B$105*5</f>
        <v>0</v>
      </c>
      <c r="J105" s="572">
        <f>$B$105*5</f>
        <v>0</v>
      </c>
      <c r="K105" s="572">
        <f t="shared" si="37"/>
        <v>0</v>
      </c>
      <c r="L105" s="572">
        <f t="shared" si="37"/>
        <v>0</v>
      </c>
      <c r="M105" s="539">
        <f t="shared" si="37"/>
        <v>0</v>
      </c>
      <c r="N105" s="539">
        <f t="shared" si="37"/>
        <v>0</v>
      </c>
      <c r="O105" s="539">
        <f t="shared" si="37"/>
        <v>0</v>
      </c>
      <c r="P105" s="539">
        <f t="shared" si="37"/>
        <v>0</v>
      </c>
      <c r="Q105" s="539">
        <f t="shared" si="37"/>
        <v>0</v>
      </c>
      <c r="R105" s="539">
        <f t="shared" si="37"/>
        <v>0</v>
      </c>
      <c r="S105" s="24"/>
    </row>
    <row r="106" spans="1:19">
      <c r="A106" s="357" t="s">
        <v>58</v>
      </c>
      <c r="B106" s="672">
        <v>0</v>
      </c>
      <c r="C106" s="292"/>
      <c r="D106" s="546"/>
      <c r="E106" s="546"/>
      <c r="F106" s="546"/>
      <c r="G106" s="546"/>
      <c r="H106" s="428">
        <f>$B$106*30</f>
        <v>0</v>
      </c>
      <c r="I106" s="428">
        <f>$B$106*25</f>
        <v>0</v>
      </c>
      <c r="J106" s="428">
        <f>$B$106*5</f>
        <v>0</v>
      </c>
      <c r="K106" s="428">
        <f t="shared" si="37"/>
        <v>0</v>
      </c>
      <c r="L106" s="428">
        <f t="shared" si="37"/>
        <v>0</v>
      </c>
      <c r="M106" s="657">
        <f t="shared" si="37"/>
        <v>0</v>
      </c>
      <c r="N106" s="657">
        <f t="shared" si="37"/>
        <v>0</v>
      </c>
      <c r="O106" s="657">
        <f t="shared" si="37"/>
        <v>0</v>
      </c>
      <c r="P106" s="657">
        <f t="shared" si="37"/>
        <v>0</v>
      </c>
      <c r="Q106" s="657">
        <f t="shared" si="37"/>
        <v>0</v>
      </c>
      <c r="R106" s="657">
        <f t="shared" si="37"/>
        <v>0</v>
      </c>
      <c r="S106" s="24"/>
    </row>
    <row r="107" spans="1:19">
      <c r="A107" s="38" t="s">
        <v>283</v>
      </c>
      <c r="D107" s="565">
        <f t="shared" ref="D107:R107" si="38">SUM(D99:D106)</f>
        <v>29989</v>
      </c>
      <c r="E107" s="565">
        <f t="shared" si="38"/>
        <v>18700</v>
      </c>
      <c r="F107" s="565">
        <f t="shared" si="38"/>
        <v>31294</v>
      </c>
      <c r="G107" s="565">
        <f t="shared" si="38"/>
        <v>29549</v>
      </c>
      <c r="H107" s="566">
        <f t="shared" si="38"/>
        <v>68105</v>
      </c>
      <c r="I107" s="566">
        <f t="shared" si="38"/>
        <v>61400</v>
      </c>
      <c r="J107" s="566">
        <f t="shared" si="38"/>
        <v>20000</v>
      </c>
      <c r="K107" s="566">
        <f t="shared" si="38"/>
        <v>20000</v>
      </c>
      <c r="L107" s="566">
        <f t="shared" si="38"/>
        <v>20000</v>
      </c>
      <c r="M107" s="566">
        <f t="shared" si="38"/>
        <v>20000</v>
      </c>
      <c r="N107" s="566">
        <f t="shared" si="38"/>
        <v>20000</v>
      </c>
      <c r="O107" s="566">
        <f t="shared" si="38"/>
        <v>20000</v>
      </c>
      <c r="P107" s="566">
        <f t="shared" si="38"/>
        <v>20000</v>
      </c>
      <c r="Q107" s="566">
        <f t="shared" si="38"/>
        <v>20000</v>
      </c>
      <c r="R107" s="566">
        <f t="shared" si="38"/>
        <v>20000</v>
      </c>
      <c r="S107" s="24"/>
    </row>
    <row r="108" spans="1:19">
      <c r="A108" s="38"/>
      <c r="E108" s="658"/>
      <c r="F108" s="658"/>
      <c r="G108" s="658"/>
      <c r="H108" s="566"/>
      <c r="I108" s="566"/>
      <c r="J108" s="566"/>
      <c r="K108" s="566"/>
      <c r="L108" s="566"/>
      <c r="M108" s="566"/>
      <c r="N108" s="566"/>
      <c r="O108" s="566"/>
      <c r="P108" s="566"/>
      <c r="Q108" s="566"/>
      <c r="R108" s="566"/>
      <c r="S108" s="24"/>
    </row>
    <row r="109" spans="1:19" ht="15.75" hidden="1" outlineLevel="1">
      <c r="A109" s="651" t="s">
        <v>327</v>
      </c>
      <c r="B109" s="412"/>
      <c r="C109" s="647"/>
      <c r="D109" s="647"/>
      <c r="E109" s="648"/>
      <c r="F109" s="412"/>
      <c r="G109" s="649"/>
      <c r="H109" s="650"/>
      <c r="I109" s="650"/>
      <c r="J109" s="650"/>
      <c r="K109" s="650"/>
      <c r="L109" s="650"/>
      <c r="M109" s="650"/>
      <c r="N109" s="650"/>
      <c r="O109" s="650"/>
      <c r="P109" s="650"/>
      <c r="Q109" s="650"/>
      <c r="R109" s="650"/>
      <c r="S109" s="662"/>
    </row>
    <row r="110" spans="1:19" hidden="1" outlineLevel="1">
      <c r="A110" s="6" t="s">
        <v>331</v>
      </c>
      <c r="C110" s="310"/>
      <c r="D110" s="310"/>
      <c r="E110" s="549"/>
      <c r="G110" s="77"/>
      <c r="H110" s="642"/>
      <c r="I110" s="286"/>
      <c r="J110" s="286"/>
      <c r="K110" s="642"/>
      <c r="L110" s="642"/>
      <c r="M110" s="642">
        <v>1.01</v>
      </c>
      <c r="N110" s="642">
        <v>1.01</v>
      </c>
      <c r="O110" s="642">
        <v>1.01</v>
      </c>
      <c r="P110" s="642">
        <v>1.01</v>
      </c>
      <c r="Q110" s="642">
        <v>1.01</v>
      </c>
      <c r="R110" s="642">
        <v>1.01</v>
      </c>
      <c r="S110" s="24"/>
    </row>
    <row r="111" spans="1:19" hidden="1" outlineLevel="1">
      <c r="A111" s="6" t="s">
        <v>332</v>
      </c>
      <c r="C111" s="310"/>
      <c r="D111" s="310"/>
      <c r="E111" s="549"/>
      <c r="G111" s="77"/>
      <c r="H111" s="642"/>
      <c r="I111" s="286"/>
      <c r="J111" s="286"/>
      <c r="K111" s="642"/>
      <c r="L111" s="642"/>
      <c r="M111" s="642">
        <v>1.02</v>
      </c>
      <c r="N111" s="642">
        <v>1.02</v>
      </c>
      <c r="O111" s="642">
        <v>1.02</v>
      </c>
      <c r="P111" s="642">
        <v>1.02</v>
      </c>
      <c r="Q111" s="642">
        <v>1.02</v>
      </c>
      <c r="R111" s="642">
        <v>1.02</v>
      </c>
      <c r="S111" s="24"/>
    </row>
    <row r="112" spans="1:19" hidden="1" outlineLevel="1">
      <c r="A112" s="6" t="s">
        <v>468</v>
      </c>
      <c r="C112" s="310"/>
      <c r="D112" s="310"/>
      <c r="E112" s="78">
        <f>E101/D101</f>
        <v>0.5789010436313341</v>
      </c>
      <c r="F112" s="78">
        <f>F101/E101</f>
        <v>1.8056038227628148</v>
      </c>
      <c r="G112" s="78">
        <f>G101/F101</f>
        <v>0.79529050884157348</v>
      </c>
      <c r="H112" s="78">
        <f>H101/G101</f>
        <v>2.5675931177916431</v>
      </c>
      <c r="I112" s="286">
        <v>1</v>
      </c>
      <c r="J112" s="286">
        <v>1</v>
      </c>
      <c r="K112" s="286">
        <v>1</v>
      </c>
      <c r="L112" s="286">
        <v>1</v>
      </c>
      <c r="M112" s="286">
        <f t="shared" ref="M112:R112" si="39">L112</f>
        <v>1</v>
      </c>
      <c r="N112" s="286">
        <f t="shared" si="39"/>
        <v>1</v>
      </c>
      <c r="O112" s="286">
        <f t="shared" si="39"/>
        <v>1</v>
      </c>
      <c r="P112" s="286">
        <f t="shared" si="39"/>
        <v>1</v>
      </c>
      <c r="Q112" s="286">
        <f t="shared" si="39"/>
        <v>1</v>
      </c>
      <c r="R112" s="286">
        <f t="shared" si="39"/>
        <v>1</v>
      </c>
      <c r="S112" s="24"/>
    </row>
    <row r="113" spans="1:19" hidden="1" outlineLevel="1">
      <c r="A113" s="6" t="s">
        <v>469</v>
      </c>
      <c r="C113" s="310"/>
      <c r="D113" s="310"/>
      <c r="E113" s="78">
        <f>E102/D102</f>
        <v>-0.22504767959313413</v>
      </c>
      <c r="F113" s="78"/>
      <c r="G113" s="78">
        <f>G102/F102</f>
        <v>3.7497089639115249</v>
      </c>
      <c r="H113" s="642">
        <v>0.2</v>
      </c>
      <c r="I113" s="642">
        <v>1</v>
      </c>
      <c r="J113" s="642">
        <f>I113</f>
        <v>1</v>
      </c>
      <c r="K113" s="642">
        <f t="shared" ref="K113:R113" si="40">J113</f>
        <v>1</v>
      </c>
      <c r="L113" s="642">
        <f t="shared" si="40"/>
        <v>1</v>
      </c>
      <c r="M113" s="642">
        <f t="shared" si="40"/>
        <v>1</v>
      </c>
      <c r="N113" s="642">
        <f t="shared" si="40"/>
        <v>1</v>
      </c>
      <c r="O113" s="642">
        <f t="shared" si="40"/>
        <v>1</v>
      </c>
      <c r="P113" s="642">
        <f t="shared" si="40"/>
        <v>1</v>
      </c>
      <c r="Q113" s="642">
        <f t="shared" si="40"/>
        <v>1</v>
      </c>
      <c r="R113" s="642">
        <f t="shared" si="40"/>
        <v>1</v>
      </c>
      <c r="S113" s="24"/>
    </row>
    <row r="114" spans="1:19" hidden="1" outlineLevel="1">
      <c r="A114" s="6" t="s">
        <v>470</v>
      </c>
      <c r="C114" s="310"/>
      <c r="D114" s="310"/>
      <c r="E114" s="78"/>
      <c r="F114" s="78"/>
      <c r="G114" s="78"/>
      <c r="H114" s="642">
        <v>0</v>
      </c>
      <c r="I114" s="642">
        <v>0</v>
      </c>
      <c r="J114" s="642">
        <v>0</v>
      </c>
      <c r="K114" s="642">
        <v>0</v>
      </c>
      <c r="L114" s="642">
        <v>0</v>
      </c>
      <c r="M114" s="642">
        <v>0</v>
      </c>
      <c r="N114" s="642">
        <v>0</v>
      </c>
      <c r="O114" s="642">
        <v>0</v>
      </c>
      <c r="P114" s="642">
        <v>0</v>
      </c>
      <c r="Q114" s="642">
        <v>0</v>
      </c>
      <c r="R114" s="642">
        <v>0</v>
      </c>
      <c r="S114" s="24"/>
    </row>
    <row r="115" spans="1:19" hidden="1" outlineLevel="1">
      <c r="A115" s="6" t="s">
        <v>471</v>
      </c>
      <c r="C115" s="310"/>
      <c r="D115" s="310"/>
      <c r="E115" s="78">
        <f>E104/D104</f>
        <v>0.28000000000000003</v>
      </c>
      <c r="F115" s="78">
        <f>F104/E104</f>
        <v>40.24285714285714</v>
      </c>
      <c r="G115" s="78">
        <f>G104/F104</f>
        <v>4.1533546325878593E-2</v>
      </c>
      <c r="H115" s="642">
        <v>1</v>
      </c>
      <c r="I115" s="642">
        <f>H115</f>
        <v>1</v>
      </c>
      <c r="J115" s="642">
        <f>I115</f>
        <v>1</v>
      </c>
      <c r="K115" s="642">
        <f>J115</f>
        <v>1</v>
      </c>
      <c r="L115" s="642">
        <f>K115</f>
        <v>1</v>
      </c>
      <c r="M115" s="642">
        <v>0</v>
      </c>
      <c r="N115" s="642">
        <v>0</v>
      </c>
      <c r="O115" s="642">
        <v>0</v>
      </c>
      <c r="P115" s="642">
        <v>0</v>
      </c>
      <c r="Q115" s="642">
        <v>0</v>
      </c>
      <c r="R115" s="642">
        <v>0</v>
      </c>
      <c r="S115" s="24"/>
    </row>
    <row r="116" spans="1:19" hidden="1" outlineLevel="1">
      <c r="A116" s="6" t="s">
        <v>326</v>
      </c>
      <c r="C116" s="310"/>
      <c r="D116" s="310"/>
      <c r="E116" s="549"/>
      <c r="G116" s="77"/>
      <c r="H116" s="642"/>
      <c r="I116" s="286"/>
      <c r="J116" s="286"/>
      <c r="K116" s="642"/>
      <c r="L116" s="642"/>
      <c r="M116" s="642">
        <v>1.01</v>
      </c>
      <c r="N116" s="642">
        <v>1.01</v>
      </c>
      <c r="O116" s="642">
        <v>1.01</v>
      </c>
      <c r="P116" s="642">
        <v>1.01</v>
      </c>
      <c r="Q116" s="642">
        <v>1.01</v>
      </c>
      <c r="R116" s="642">
        <v>1.01</v>
      </c>
      <c r="S116" s="24"/>
    </row>
    <row r="117" spans="1:19" hidden="1" outlineLevel="1">
      <c r="A117" s="106" t="s">
        <v>58</v>
      </c>
      <c r="C117" s="310"/>
      <c r="D117" s="310"/>
      <c r="E117" s="549"/>
      <c r="G117" s="77"/>
      <c r="H117" s="642"/>
      <c r="I117" s="286"/>
      <c r="J117" s="286"/>
      <c r="K117" s="642"/>
      <c r="L117" s="642"/>
      <c r="M117" s="642">
        <v>1.01</v>
      </c>
      <c r="N117" s="642">
        <v>1.01</v>
      </c>
      <c r="O117" s="642">
        <v>1.01</v>
      </c>
      <c r="P117" s="642">
        <v>1.01</v>
      </c>
      <c r="Q117" s="642">
        <v>1.01</v>
      </c>
      <c r="R117" s="642">
        <v>1.01</v>
      </c>
      <c r="S117" s="24"/>
    </row>
    <row r="118" spans="1:19" hidden="1" outlineLevel="1">
      <c r="A118" s="38"/>
      <c r="E118" s="658"/>
      <c r="F118" s="658"/>
      <c r="G118" s="658"/>
      <c r="H118" s="566"/>
      <c r="I118" s="566"/>
      <c r="J118" s="566"/>
      <c r="K118" s="566"/>
      <c r="L118" s="566"/>
      <c r="M118" s="566"/>
      <c r="N118" s="566"/>
      <c r="O118" s="566"/>
      <c r="P118" s="566"/>
      <c r="Q118" s="566"/>
      <c r="R118" s="566"/>
      <c r="S118" s="24"/>
    </row>
    <row r="119" spans="1:19" hidden="1" outlineLevel="1">
      <c r="A119" s="8"/>
      <c r="S119" s="24"/>
    </row>
    <row r="120" spans="1:19" collapsed="1">
      <c r="A120" s="8"/>
      <c r="S120" s="24"/>
    </row>
    <row r="121" spans="1:19" ht="15.75">
      <c r="A121" s="483" t="s">
        <v>314</v>
      </c>
      <c r="B121" s="412"/>
      <c r="C121" s="412"/>
      <c r="D121" s="412"/>
      <c r="E121" s="412"/>
      <c r="F121" s="412"/>
      <c r="G121" s="412"/>
      <c r="H121" s="412"/>
      <c r="I121" s="412"/>
      <c r="J121" s="412"/>
      <c r="K121" s="412"/>
      <c r="L121" s="412"/>
      <c r="M121" s="412"/>
      <c r="N121" s="412"/>
      <c r="O121" s="412"/>
      <c r="P121" s="412"/>
      <c r="Q121" s="412"/>
      <c r="R121" s="412"/>
      <c r="S121" s="24"/>
    </row>
    <row r="122" spans="1:19">
      <c r="E122" s="480"/>
      <c r="F122" s="480"/>
      <c r="G122" s="323"/>
      <c r="H122" s="309" t="s">
        <v>203</v>
      </c>
      <c r="I122" s="328"/>
      <c r="J122" s="323"/>
      <c r="K122" s="323"/>
      <c r="L122" s="246"/>
      <c r="M122" s="323"/>
      <c r="N122" s="246"/>
      <c r="O122" s="246"/>
      <c r="P122" s="246"/>
      <c r="Q122" s="246"/>
      <c r="R122" s="292"/>
    </row>
    <row r="123" spans="1:19">
      <c r="D123" s="387">
        <v>1997</v>
      </c>
      <c r="E123" s="256">
        <v>1998</v>
      </c>
      <c r="F123" s="256">
        <v>1999</v>
      </c>
      <c r="G123" s="256">
        <v>2000</v>
      </c>
      <c r="H123" s="256">
        <v>2001</v>
      </c>
      <c r="I123" s="289">
        <v>2002</v>
      </c>
      <c r="J123" s="289">
        <v>2003</v>
      </c>
      <c r="K123" s="289">
        <v>2004</v>
      </c>
      <c r="L123" s="289">
        <v>2005</v>
      </c>
      <c r="M123" s="289">
        <v>2006</v>
      </c>
      <c r="N123" s="293">
        <v>2007</v>
      </c>
      <c r="O123" s="293">
        <v>2008</v>
      </c>
      <c r="P123" s="293">
        <v>2009</v>
      </c>
      <c r="Q123" s="293">
        <v>2010</v>
      </c>
      <c r="R123" s="465">
        <v>2011</v>
      </c>
    </row>
    <row r="124" spans="1:19">
      <c r="G124" s="487" t="s">
        <v>213</v>
      </c>
      <c r="H124" s="256">
        <v>1</v>
      </c>
      <c r="I124" s="289">
        <v>2</v>
      </c>
      <c r="J124" s="289">
        <v>3</v>
      </c>
      <c r="K124" s="289">
        <v>4</v>
      </c>
      <c r="L124" s="289">
        <v>5</v>
      </c>
      <c r="M124" s="289">
        <v>6</v>
      </c>
      <c r="N124" s="289">
        <v>7</v>
      </c>
      <c r="O124" s="289">
        <v>8</v>
      </c>
      <c r="P124" s="289">
        <v>9</v>
      </c>
      <c r="Q124" s="289">
        <v>10</v>
      </c>
      <c r="R124" s="389">
        <v>11</v>
      </c>
    </row>
    <row r="125" spans="1:19">
      <c r="A125" s="67" t="s">
        <v>33</v>
      </c>
      <c r="B125" s="23"/>
      <c r="C125" s="195">
        <v>987107</v>
      </c>
      <c r="D125" s="18"/>
      <c r="E125" s="206"/>
      <c r="F125" s="206"/>
      <c r="G125" s="18"/>
      <c r="H125" s="946">
        <v>1.4999999999999999E-2</v>
      </c>
      <c r="I125" s="788">
        <f>+H125</f>
        <v>1.4999999999999999E-2</v>
      </c>
      <c r="J125" s="788">
        <f t="shared" ref="J125:R125" si="41">I125</f>
        <v>1.4999999999999999E-2</v>
      </c>
      <c r="K125" s="788">
        <f t="shared" si="41"/>
        <v>1.4999999999999999E-2</v>
      </c>
      <c r="L125" s="788">
        <f t="shared" si="41"/>
        <v>1.4999999999999999E-2</v>
      </c>
      <c r="M125" s="788">
        <f t="shared" si="41"/>
        <v>1.4999999999999999E-2</v>
      </c>
      <c r="N125" s="788">
        <f t="shared" si="41"/>
        <v>1.4999999999999999E-2</v>
      </c>
      <c r="O125" s="788">
        <f t="shared" si="41"/>
        <v>1.4999999999999999E-2</v>
      </c>
      <c r="P125" s="788">
        <f t="shared" si="41"/>
        <v>1.4999999999999999E-2</v>
      </c>
      <c r="Q125" s="788">
        <f t="shared" si="41"/>
        <v>1.4999999999999999E-2</v>
      </c>
      <c r="R125" s="788">
        <f t="shared" si="41"/>
        <v>1.4999999999999999E-2</v>
      </c>
      <c r="S125" s="789">
        <f>R125</f>
        <v>1.4999999999999999E-2</v>
      </c>
    </row>
    <row r="126" spans="1:19">
      <c r="A126" s="2" t="s">
        <v>472</v>
      </c>
      <c r="C126" s="659"/>
      <c r="D126" s="790"/>
      <c r="E126" s="206"/>
      <c r="F126" s="206"/>
      <c r="G126" s="18"/>
      <c r="H126" s="29">
        <f>+H128-H127</f>
        <v>19996.764999999999</v>
      </c>
      <c r="I126" s="29">
        <f>+H128</f>
        <v>20440</v>
      </c>
      <c r="J126" s="29">
        <f t="shared" ref="J126:S126" si="42">+I126</f>
        <v>20440</v>
      </c>
      <c r="K126" s="29">
        <f t="shared" si="42"/>
        <v>20440</v>
      </c>
      <c r="L126" s="29">
        <f t="shared" si="42"/>
        <v>20440</v>
      </c>
      <c r="M126" s="29">
        <f t="shared" si="42"/>
        <v>20440</v>
      </c>
      <c r="N126" s="29">
        <f t="shared" si="42"/>
        <v>20440</v>
      </c>
      <c r="O126" s="29">
        <f t="shared" si="42"/>
        <v>20440</v>
      </c>
      <c r="P126" s="29">
        <f t="shared" si="42"/>
        <v>20440</v>
      </c>
      <c r="Q126" s="29">
        <f t="shared" si="42"/>
        <v>20440</v>
      </c>
      <c r="R126" s="29">
        <f t="shared" si="42"/>
        <v>20440</v>
      </c>
      <c r="S126" s="29">
        <f t="shared" si="42"/>
        <v>20440</v>
      </c>
    </row>
    <row r="127" spans="1:19">
      <c r="A127" s="2" t="s">
        <v>9</v>
      </c>
      <c r="D127" s="16"/>
      <c r="E127" s="660"/>
      <c r="F127" s="660"/>
      <c r="G127" s="213"/>
      <c r="H127" s="614">
        <f>H149</f>
        <v>443.23499999999996</v>
      </c>
      <c r="I127" s="614">
        <f t="shared" ref="I127:R127" si="43">I149</f>
        <v>1464.81</v>
      </c>
      <c r="J127" s="614">
        <f t="shared" si="43"/>
        <v>2385.81</v>
      </c>
      <c r="K127" s="614">
        <f t="shared" si="43"/>
        <v>2685.81</v>
      </c>
      <c r="L127" s="614">
        <f t="shared" si="43"/>
        <v>2985.81</v>
      </c>
      <c r="M127" s="614">
        <f t="shared" si="43"/>
        <v>3285.81</v>
      </c>
      <c r="N127" s="614">
        <f t="shared" si="43"/>
        <v>3585.81</v>
      </c>
      <c r="O127" s="614">
        <f t="shared" si="43"/>
        <v>3885.81</v>
      </c>
      <c r="P127" s="614">
        <f t="shared" si="43"/>
        <v>4185.8099999999995</v>
      </c>
      <c r="Q127" s="614">
        <f t="shared" si="43"/>
        <v>4485.8099999999995</v>
      </c>
      <c r="R127" s="614">
        <f t="shared" si="43"/>
        <v>4785.8099999999995</v>
      </c>
      <c r="S127" s="614"/>
    </row>
    <row r="128" spans="1:19">
      <c r="A128" s="38" t="s">
        <v>221</v>
      </c>
      <c r="D128" s="941">
        <f>D21</f>
        <v>22644</v>
      </c>
      <c r="E128" s="941">
        <f>E21</f>
        <v>23137</v>
      </c>
      <c r="F128" s="941">
        <f>F21</f>
        <v>23733</v>
      </c>
      <c r="G128" s="941">
        <f>G21</f>
        <v>24407</v>
      </c>
      <c r="H128" s="615">
        <v>20440</v>
      </c>
      <c r="I128" s="615">
        <f t="shared" ref="I128:R128" si="44">SUM(I126:I127)</f>
        <v>21904.81</v>
      </c>
      <c r="J128" s="615">
        <f t="shared" si="44"/>
        <v>22825.81</v>
      </c>
      <c r="K128" s="615">
        <f t="shared" si="44"/>
        <v>23125.81</v>
      </c>
      <c r="L128" s="566">
        <f t="shared" si="44"/>
        <v>23425.81</v>
      </c>
      <c r="M128" s="566">
        <f t="shared" si="44"/>
        <v>23725.81</v>
      </c>
      <c r="N128" s="615">
        <f t="shared" si="44"/>
        <v>24025.81</v>
      </c>
      <c r="O128" s="615">
        <f t="shared" si="44"/>
        <v>24325.81</v>
      </c>
      <c r="P128" s="615">
        <f t="shared" si="44"/>
        <v>24625.809999999998</v>
      </c>
      <c r="Q128" s="615">
        <f t="shared" si="44"/>
        <v>24925.809999999998</v>
      </c>
      <c r="R128" s="615">
        <f t="shared" si="44"/>
        <v>25225.809999999998</v>
      </c>
      <c r="S128" s="615"/>
    </row>
    <row r="129" spans="1:19">
      <c r="A129" s="1"/>
      <c r="D129" s="16"/>
      <c r="E129" s="206"/>
      <c r="F129" s="206"/>
      <c r="G129" s="18"/>
      <c r="H129" s="12"/>
      <c r="I129" s="1"/>
      <c r="J129" s="1"/>
      <c r="K129" s="12"/>
      <c r="L129" s="12"/>
      <c r="M129" s="1"/>
      <c r="N129" s="1"/>
      <c r="O129" s="1"/>
      <c r="P129" s="1"/>
      <c r="Q129" s="1"/>
      <c r="R129" s="1"/>
    </row>
    <row r="130" spans="1:19">
      <c r="A130" s="69" t="s">
        <v>7</v>
      </c>
      <c r="D130" s="16"/>
      <c r="E130" s="206"/>
      <c r="F130" s="206"/>
      <c r="G130" s="18"/>
      <c r="H130" s="964">
        <v>3.5000000000000003E-2</v>
      </c>
      <c r="I130" s="987">
        <v>0.04</v>
      </c>
      <c r="J130" s="987">
        <v>0.04</v>
      </c>
      <c r="K130" s="987">
        <f t="shared" ref="K130:R130" si="45">J130</f>
        <v>0.04</v>
      </c>
      <c r="L130" s="987">
        <v>0.03</v>
      </c>
      <c r="M130" s="987">
        <f t="shared" si="45"/>
        <v>0.03</v>
      </c>
      <c r="N130" s="987">
        <f t="shared" si="45"/>
        <v>0.03</v>
      </c>
      <c r="O130" s="987">
        <f t="shared" si="45"/>
        <v>0.03</v>
      </c>
      <c r="P130" s="987">
        <v>0.02</v>
      </c>
      <c r="Q130" s="987">
        <f t="shared" si="45"/>
        <v>0.02</v>
      </c>
      <c r="R130" s="987">
        <f t="shared" si="45"/>
        <v>0.02</v>
      </c>
    </row>
    <row r="131" spans="1:19">
      <c r="D131" s="792"/>
      <c r="E131" s="792"/>
      <c r="F131" s="792"/>
      <c r="G131" s="792"/>
      <c r="H131" s="964">
        <v>0.05</v>
      </c>
      <c r="I131" s="987">
        <v>9.5000000000000001E-2</v>
      </c>
      <c r="J131" s="987">
        <v>8.5500000000000007E-2</v>
      </c>
      <c r="K131" s="987">
        <v>7.6999999999999999E-2</v>
      </c>
      <c r="L131" s="987">
        <v>6.93E-2</v>
      </c>
      <c r="M131" s="987">
        <v>6.2300000000000001E-2</v>
      </c>
      <c r="N131" s="987">
        <v>5.8999999999999997E-2</v>
      </c>
      <c r="O131" s="987">
        <v>5.8999999999999997E-2</v>
      </c>
      <c r="P131" s="987">
        <v>5.91E-2</v>
      </c>
      <c r="Q131" s="987">
        <v>5.8999999999999997E-2</v>
      </c>
      <c r="R131" s="990">
        <v>5.91E-2</v>
      </c>
      <c r="S131" s="789">
        <v>5.91E-2</v>
      </c>
    </row>
    <row r="132" spans="1:19">
      <c r="A132" s="2" t="s">
        <v>472</v>
      </c>
      <c r="B132" s="14"/>
      <c r="D132" s="16"/>
      <c r="E132" s="206"/>
      <c r="F132" s="206"/>
      <c r="G132" s="18"/>
      <c r="H132" s="1">
        <f>H130*$C$125</f>
        <v>34548.745000000003</v>
      </c>
      <c r="I132" s="1">
        <f t="shared" ref="I132:R132" si="46">I130*$C$125</f>
        <v>39484.28</v>
      </c>
      <c r="J132" s="1">
        <f t="shared" si="46"/>
        <v>39484.28</v>
      </c>
      <c r="K132" s="1">
        <f t="shared" si="46"/>
        <v>39484.28</v>
      </c>
      <c r="L132" s="1">
        <f t="shared" si="46"/>
        <v>29613.21</v>
      </c>
      <c r="M132" s="1">
        <f t="shared" si="46"/>
        <v>29613.21</v>
      </c>
      <c r="N132" s="1">
        <f t="shared" si="46"/>
        <v>29613.21</v>
      </c>
      <c r="O132" s="1">
        <f t="shared" si="46"/>
        <v>29613.21</v>
      </c>
      <c r="P132" s="1">
        <f t="shared" si="46"/>
        <v>19742.14</v>
      </c>
      <c r="Q132" s="1">
        <f t="shared" si="46"/>
        <v>19742.14</v>
      </c>
      <c r="R132" s="1">
        <f t="shared" si="46"/>
        <v>19742.14</v>
      </c>
      <c r="S132" s="1">
        <f>S131*$C$125</f>
        <v>58338.023699999998</v>
      </c>
    </row>
    <row r="133" spans="1:19" ht="15">
      <c r="A133" s="2" t="s">
        <v>9</v>
      </c>
      <c r="B133" s="15"/>
      <c r="D133" s="16"/>
      <c r="E133" s="208"/>
      <c r="F133" s="208"/>
      <c r="G133" s="18"/>
      <c r="H133" s="5">
        <f>H162</f>
        <v>1477.45</v>
      </c>
      <c r="I133" s="5">
        <f t="shared" ref="I133:R133" si="47">I162</f>
        <v>6212.4050000000007</v>
      </c>
      <c r="J133" s="5">
        <f t="shared" si="47"/>
        <v>12066.414500000001</v>
      </c>
      <c r="K133" s="5">
        <f t="shared" si="47"/>
        <v>14931.250500000002</v>
      </c>
      <c r="L133" s="5">
        <f t="shared" si="47"/>
        <v>15441.530700000001</v>
      </c>
      <c r="M133" s="5">
        <f t="shared" si="47"/>
        <v>15898.379199999999</v>
      </c>
      <c r="N133" s="5">
        <f t="shared" si="47"/>
        <v>16391.352500000001</v>
      </c>
      <c r="O133" s="5">
        <f t="shared" si="47"/>
        <v>17122.806</v>
      </c>
      <c r="P133" s="5">
        <f t="shared" si="47"/>
        <v>18169.140899999999</v>
      </c>
      <c r="Q133" s="5">
        <f t="shared" si="47"/>
        <v>19352.996500000001</v>
      </c>
      <c r="R133" s="5">
        <f t="shared" si="47"/>
        <v>20535.280900000002</v>
      </c>
      <c r="S133" s="5"/>
    </row>
    <row r="134" spans="1:19">
      <c r="A134" s="38" t="s">
        <v>220</v>
      </c>
      <c r="C134" s="716">
        <v>1.5</v>
      </c>
      <c r="D134" s="791">
        <f>D128*$C$134</f>
        <v>33966</v>
      </c>
      <c r="E134" s="791">
        <f>E128*$C$134</f>
        <v>34705.5</v>
      </c>
      <c r="F134" s="791">
        <f>F128*$C$134</f>
        <v>35599.5</v>
      </c>
      <c r="G134" s="791">
        <f>G128*$C$134</f>
        <v>36610.5</v>
      </c>
      <c r="H134" s="1">
        <f t="shared" ref="H134:R134" si="48">SUM(H132:H133)</f>
        <v>36026.195</v>
      </c>
      <c r="I134" s="1">
        <f t="shared" si="48"/>
        <v>45696.684999999998</v>
      </c>
      <c r="J134" s="1">
        <f t="shared" si="48"/>
        <v>51550.694499999998</v>
      </c>
      <c r="K134" s="1">
        <f t="shared" si="48"/>
        <v>54415.530500000001</v>
      </c>
      <c r="L134" s="12">
        <f t="shared" si="48"/>
        <v>45054.740700000002</v>
      </c>
      <c r="M134" s="12">
        <f t="shared" si="48"/>
        <v>45511.589200000002</v>
      </c>
      <c r="N134" s="1">
        <f t="shared" si="48"/>
        <v>46004.5625</v>
      </c>
      <c r="O134" s="1">
        <f t="shared" si="48"/>
        <v>46736.016000000003</v>
      </c>
      <c r="P134" s="1">
        <f t="shared" si="48"/>
        <v>37911.280899999998</v>
      </c>
      <c r="Q134" s="1">
        <f t="shared" si="48"/>
        <v>39095.136500000001</v>
      </c>
      <c r="R134" s="1">
        <f t="shared" si="48"/>
        <v>40277.420899999997</v>
      </c>
      <c r="S134" s="1"/>
    </row>
    <row r="135" spans="1:19">
      <c r="D135" s="10">
        <f>(D134-D128)*0.385</f>
        <v>4358.97</v>
      </c>
      <c r="E135" s="10">
        <f>(E134-E128)*0.385</f>
        <v>4453.8725000000004</v>
      </c>
      <c r="F135" s="10">
        <f>(F134-F128)*0.385</f>
        <v>4568.6025</v>
      </c>
      <c r="G135" s="10">
        <f>(G134-G128)*0.385</f>
        <v>4698.3474999999999</v>
      </c>
      <c r="H135" s="10">
        <f t="shared" ref="H135:R135" si="49">(H134-H128)*0.385</f>
        <v>6000.6850750000003</v>
      </c>
      <c r="I135" s="10">
        <f t="shared" si="49"/>
        <v>9159.8718749999989</v>
      </c>
      <c r="J135" s="10">
        <f t="shared" si="49"/>
        <v>11059.080532499998</v>
      </c>
      <c r="K135" s="10">
        <f t="shared" si="49"/>
        <v>12046.5423925</v>
      </c>
      <c r="L135" s="10">
        <f t="shared" si="49"/>
        <v>8327.1383194999999</v>
      </c>
      <c r="M135" s="10">
        <f t="shared" si="49"/>
        <v>8387.5249920000006</v>
      </c>
      <c r="N135" s="10">
        <f t="shared" si="49"/>
        <v>8461.8197124999988</v>
      </c>
      <c r="O135" s="10">
        <f t="shared" si="49"/>
        <v>8627.9293100000014</v>
      </c>
      <c r="P135" s="10">
        <f t="shared" si="49"/>
        <v>5114.9062965000003</v>
      </c>
      <c r="Q135" s="10">
        <f t="shared" si="49"/>
        <v>5455.190702500001</v>
      </c>
      <c r="R135" s="10">
        <f t="shared" si="49"/>
        <v>5794.8701965</v>
      </c>
    </row>
    <row r="136" spans="1:19" hidden="1" outlineLevel="1">
      <c r="A136" t="s">
        <v>506</v>
      </c>
    </row>
    <row r="137" spans="1:19" hidden="1" outlineLevel="1">
      <c r="H137" s="256">
        <v>2001</v>
      </c>
      <c r="I137" s="289">
        <v>2002</v>
      </c>
      <c r="J137" s="289">
        <v>2003</v>
      </c>
      <c r="K137" s="289">
        <v>2004</v>
      </c>
      <c r="L137" s="289">
        <v>2005</v>
      </c>
      <c r="M137" s="289">
        <v>2006</v>
      </c>
      <c r="N137" s="293">
        <v>2007</v>
      </c>
      <c r="O137" s="293">
        <v>2008</v>
      </c>
      <c r="P137" s="293">
        <v>2009</v>
      </c>
      <c r="Q137" s="293">
        <v>2010</v>
      </c>
      <c r="R137" s="858">
        <v>2011</v>
      </c>
    </row>
    <row r="138" spans="1:19" hidden="1" outlineLevel="1">
      <c r="A138">
        <v>2000</v>
      </c>
      <c r="B138" t="s">
        <v>559</v>
      </c>
      <c r="H138" s="26">
        <f>G$107*H$125</f>
        <v>443.23499999999996</v>
      </c>
      <c r="I138" s="26">
        <f>H138</f>
        <v>443.23499999999996</v>
      </c>
      <c r="J138" s="26">
        <f t="shared" ref="J138:R146" si="50">I138</f>
        <v>443.23499999999996</v>
      </c>
      <c r="K138" s="26">
        <f t="shared" si="50"/>
        <v>443.23499999999996</v>
      </c>
      <c r="L138" s="26">
        <f t="shared" si="50"/>
        <v>443.23499999999996</v>
      </c>
      <c r="M138" s="26">
        <f t="shared" si="50"/>
        <v>443.23499999999996</v>
      </c>
      <c r="N138" s="26">
        <f t="shared" si="50"/>
        <v>443.23499999999996</v>
      </c>
      <c r="O138" s="26">
        <f t="shared" si="50"/>
        <v>443.23499999999996</v>
      </c>
      <c r="P138" s="26">
        <f t="shared" si="50"/>
        <v>443.23499999999996</v>
      </c>
      <c r="Q138" s="26">
        <f t="shared" si="50"/>
        <v>443.23499999999996</v>
      </c>
      <c r="R138" s="26">
        <f t="shared" si="50"/>
        <v>443.23499999999996</v>
      </c>
    </row>
    <row r="139" spans="1:19" hidden="1" outlineLevel="1">
      <c r="A139">
        <v>2001</v>
      </c>
      <c r="B139" t="s">
        <v>559</v>
      </c>
      <c r="H139" s="26"/>
      <c r="I139" s="26">
        <f>H$107*I$125</f>
        <v>1021.5749999999999</v>
      </c>
      <c r="J139" s="26">
        <f>I139</f>
        <v>1021.5749999999999</v>
      </c>
      <c r="K139" s="26">
        <f t="shared" si="50"/>
        <v>1021.5749999999999</v>
      </c>
      <c r="L139" s="26">
        <f t="shared" si="50"/>
        <v>1021.5749999999999</v>
      </c>
      <c r="M139" s="26">
        <f t="shared" si="50"/>
        <v>1021.5749999999999</v>
      </c>
      <c r="N139" s="26">
        <f t="shared" si="50"/>
        <v>1021.5749999999999</v>
      </c>
      <c r="O139" s="26">
        <f t="shared" si="50"/>
        <v>1021.5749999999999</v>
      </c>
      <c r="P139" s="26">
        <f t="shared" si="50"/>
        <v>1021.5749999999999</v>
      </c>
      <c r="Q139" s="26">
        <f t="shared" si="50"/>
        <v>1021.5749999999999</v>
      </c>
      <c r="R139" s="26">
        <f t="shared" si="50"/>
        <v>1021.5749999999999</v>
      </c>
    </row>
    <row r="140" spans="1:19" hidden="1" outlineLevel="1">
      <c r="A140">
        <v>2002</v>
      </c>
      <c r="B140" t="s">
        <v>559</v>
      </c>
      <c r="H140" s="26"/>
      <c r="I140" s="26"/>
      <c r="J140" s="26">
        <f>I$107*J$125</f>
        <v>921</v>
      </c>
      <c r="K140" s="26">
        <f>J140</f>
        <v>921</v>
      </c>
      <c r="L140" s="26">
        <f t="shared" si="50"/>
        <v>921</v>
      </c>
      <c r="M140" s="26">
        <f t="shared" si="50"/>
        <v>921</v>
      </c>
      <c r="N140" s="26">
        <f t="shared" si="50"/>
        <v>921</v>
      </c>
      <c r="O140" s="26">
        <f t="shared" si="50"/>
        <v>921</v>
      </c>
      <c r="P140" s="26">
        <f t="shared" si="50"/>
        <v>921</v>
      </c>
      <c r="Q140" s="26">
        <f t="shared" si="50"/>
        <v>921</v>
      </c>
      <c r="R140" s="26">
        <f t="shared" si="50"/>
        <v>921</v>
      </c>
    </row>
    <row r="141" spans="1:19" hidden="1" outlineLevel="1">
      <c r="A141">
        <v>2003</v>
      </c>
      <c r="B141" t="s">
        <v>559</v>
      </c>
      <c r="H141" s="26"/>
      <c r="I141" s="26"/>
      <c r="J141" s="26"/>
      <c r="K141" s="26">
        <f>J$107*K$125</f>
        <v>300</v>
      </c>
      <c r="L141" s="26">
        <f>K141</f>
        <v>300</v>
      </c>
      <c r="M141" s="26">
        <f t="shared" si="50"/>
        <v>300</v>
      </c>
      <c r="N141" s="26">
        <f t="shared" si="50"/>
        <v>300</v>
      </c>
      <c r="O141" s="26">
        <f t="shared" si="50"/>
        <v>300</v>
      </c>
      <c r="P141" s="26">
        <f t="shared" si="50"/>
        <v>300</v>
      </c>
      <c r="Q141" s="26">
        <f t="shared" si="50"/>
        <v>300</v>
      </c>
      <c r="R141" s="26">
        <f t="shared" si="50"/>
        <v>300</v>
      </c>
    </row>
    <row r="142" spans="1:19" hidden="1" outlineLevel="1">
      <c r="A142">
        <v>2004</v>
      </c>
      <c r="B142" t="s">
        <v>559</v>
      </c>
      <c r="H142" s="26"/>
      <c r="I142" s="26"/>
      <c r="J142" s="26"/>
      <c r="K142" s="26"/>
      <c r="L142" s="26">
        <f>K$107*L$125</f>
        <v>300</v>
      </c>
      <c r="M142" s="26">
        <f>L142</f>
        <v>300</v>
      </c>
      <c r="N142" s="26">
        <f t="shared" si="50"/>
        <v>300</v>
      </c>
      <c r="O142" s="26">
        <f t="shared" si="50"/>
        <v>300</v>
      </c>
      <c r="P142" s="26">
        <f t="shared" si="50"/>
        <v>300</v>
      </c>
      <c r="Q142" s="26">
        <f t="shared" si="50"/>
        <v>300</v>
      </c>
      <c r="R142" s="26">
        <f t="shared" si="50"/>
        <v>300</v>
      </c>
    </row>
    <row r="143" spans="1:19" hidden="1" outlineLevel="1">
      <c r="A143">
        <v>2005</v>
      </c>
      <c r="B143" t="s">
        <v>559</v>
      </c>
      <c r="H143" s="26"/>
      <c r="I143" s="26"/>
      <c r="J143" s="26"/>
      <c r="K143" s="26"/>
      <c r="L143" s="26"/>
      <c r="M143" s="26">
        <f>L$107*M$125</f>
        <v>300</v>
      </c>
      <c r="N143" s="26">
        <f>M143</f>
        <v>300</v>
      </c>
      <c r="O143" s="26">
        <f t="shared" si="50"/>
        <v>300</v>
      </c>
      <c r="P143" s="26">
        <f t="shared" si="50"/>
        <v>300</v>
      </c>
      <c r="Q143" s="26">
        <f t="shared" si="50"/>
        <v>300</v>
      </c>
      <c r="R143" s="26">
        <f t="shared" si="50"/>
        <v>300</v>
      </c>
    </row>
    <row r="144" spans="1:19" hidden="1" outlineLevel="1">
      <c r="A144">
        <v>2006</v>
      </c>
      <c r="B144" t="s">
        <v>559</v>
      </c>
      <c r="H144" s="26"/>
      <c r="I144" s="26"/>
      <c r="J144" s="26"/>
      <c r="K144" s="26"/>
      <c r="L144" s="26"/>
      <c r="M144" s="26"/>
      <c r="N144" s="26">
        <f>M$107*N$125</f>
        <v>300</v>
      </c>
      <c r="O144" s="26">
        <f>N144</f>
        <v>300</v>
      </c>
      <c r="P144" s="26">
        <f t="shared" si="50"/>
        <v>300</v>
      </c>
      <c r="Q144" s="26">
        <f t="shared" si="50"/>
        <v>300</v>
      </c>
      <c r="R144" s="26">
        <f t="shared" si="50"/>
        <v>300</v>
      </c>
    </row>
    <row r="145" spans="1:18" hidden="1" outlineLevel="1">
      <c r="A145">
        <v>2007</v>
      </c>
      <c r="B145" t="s">
        <v>559</v>
      </c>
      <c r="H145" s="26"/>
      <c r="I145" s="26"/>
      <c r="J145" s="26"/>
      <c r="K145" s="26"/>
      <c r="L145" s="26"/>
      <c r="M145" s="26"/>
      <c r="N145" s="26"/>
      <c r="O145" s="26">
        <f>N$107*O$125</f>
        <v>300</v>
      </c>
      <c r="P145" s="26">
        <f>O145</f>
        <v>300</v>
      </c>
      <c r="Q145" s="26">
        <f t="shared" si="50"/>
        <v>300</v>
      </c>
      <c r="R145" s="26">
        <f t="shared" si="50"/>
        <v>300</v>
      </c>
    </row>
    <row r="146" spans="1:18" hidden="1" outlineLevel="1">
      <c r="A146">
        <v>2008</v>
      </c>
      <c r="B146" t="s">
        <v>559</v>
      </c>
      <c r="H146" s="26"/>
      <c r="I146" s="26"/>
      <c r="J146" s="26"/>
      <c r="K146" s="26"/>
      <c r="L146" s="26"/>
      <c r="M146" s="26"/>
      <c r="N146" s="26"/>
      <c r="O146" s="26"/>
      <c r="P146" s="26">
        <f>O$107*P$125</f>
        <v>300</v>
      </c>
      <c r="Q146" s="26">
        <f>P146</f>
        <v>300</v>
      </c>
      <c r="R146" s="26">
        <f t="shared" si="50"/>
        <v>300</v>
      </c>
    </row>
    <row r="147" spans="1:18" hidden="1" outlineLevel="1">
      <c r="A147">
        <v>2009</v>
      </c>
      <c r="B147" t="s">
        <v>559</v>
      </c>
      <c r="H147" s="26"/>
      <c r="I147" s="26"/>
      <c r="J147" s="26"/>
      <c r="K147" s="26"/>
      <c r="L147" s="26"/>
      <c r="M147" s="26"/>
      <c r="N147" s="26"/>
      <c r="O147" s="26"/>
      <c r="P147" s="26"/>
      <c r="Q147" s="26">
        <f>P$107*Q$125</f>
        <v>300</v>
      </c>
      <c r="R147" s="26">
        <f>Q147</f>
        <v>300</v>
      </c>
    </row>
    <row r="148" spans="1:18" hidden="1" outlineLevel="1">
      <c r="A148">
        <v>2010</v>
      </c>
      <c r="B148" t="s">
        <v>559</v>
      </c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>
        <f>Q$107*R$125</f>
        <v>300</v>
      </c>
    </row>
    <row r="149" spans="1:18" hidden="1" outlineLevel="1">
      <c r="A149" t="s">
        <v>221</v>
      </c>
      <c r="H149" s="859">
        <f>SUM(H138:H148)</f>
        <v>443.23499999999996</v>
      </c>
      <c r="I149" s="859">
        <f t="shared" ref="I149:R149" si="51">SUM(I138:I148)</f>
        <v>1464.81</v>
      </c>
      <c r="J149" s="859">
        <f t="shared" si="51"/>
        <v>2385.81</v>
      </c>
      <c r="K149" s="859">
        <f t="shared" si="51"/>
        <v>2685.81</v>
      </c>
      <c r="L149" s="859">
        <f t="shared" si="51"/>
        <v>2985.81</v>
      </c>
      <c r="M149" s="859">
        <f t="shared" si="51"/>
        <v>3285.81</v>
      </c>
      <c r="N149" s="859">
        <f t="shared" si="51"/>
        <v>3585.81</v>
      </c>
      <c r="O149" s="859">
        <f t="shared" si="51"/>
        <v>3885.81</v>
      </c>
      <c r="P149" s="859">
        <f t="shared" si="51"/>
        <v>4185.8099999999995</v>
      </c>
      <c r="Q149" s="859">
        <f t="shared" si="51"/>
        <v>4485.8099999999995</v>
      </c>
      <c r="R149" s="859">
        <f t="shared" si="51"/>
        <v>4785.8099999999995</v>
      </c>
    </row>
    <row r="150" spans="1:18" hidden="1" outlineLevel="1"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 spans="1:18" hidden="1" outlineLevel="1">
      <c r="A151">
        <v>2000</v>
      </c>
      <c r="B151" t="s">
        <v>559</v>
      </c>
      <c r="H151" s="26">
        <f>$G$107*H$131</f>
        <v>1477.45</v>
      </c>
      <c r="I151" s="26">
        <f t="shared" ref="I151:R151" si="52">$G$107*I$131</f>
        <v>2807.1550000000002</v>
      </c>
      <c r="J151" s="26">
        <f t="shared" si="52"/>
        <v>2526.4395000000004</v>
      </c>
      <c r="K151" s="26">
        <f t="shared" si="52"/>
        <v>2275.2730000000001</v>
      </c>
      <c r="L151" s="26">
        <f t="shared" si="52"/>
        <v>2047.7456999999999</v>
      </c>
      <c r="M151" s="26">
        <f t="shared" si="52"/>
        <v>1840.9027000000001</v>
      </c>
      <c r="N151" s="26">
        <f t="shared" si="52"/>
        <v>1743.3909999999998</v>
      </c>
      <c r="O151" s="26">
        <f t="shared" si="52"/>
        <v>1743.3909999999998</v>
      </c>
      <c r="P151" s="26">
        <f t="shared" si="52"/>
        <v>1746.3459</v>
      </c>
      <c r="Q151" s="26">
        <f t="shared" si="52"/>
        <v>1743.3909999999998</v>
      </c>
      <c r="R151" s="26">
        <f t="shared" si="52"/>
        <v>1746.3459</v>
      </c>
    </row>
    <row r="152" spans="1:18" hidden="1" outlineLevel="1">
      <c r="A152">
        <v>2001</v>
      </c>
      <c r="B152" t="s">
        <v>559</v>
      </c>
      <c r="H152" s="26"/>
      <c r="I152" s="26">
        <f>$H$107*H$131</f>
        <v>3405.25</v>
      </c>
      <c r="J152" s="26">
        <f t="shared" ref="J152:R152" si="53">$H$107*I$131</f>
        <v>6469.9750000000004</v>
      </c>
      <c r="K152" s="26">
        <f t="shared" si="53"/>
        <v>5822.9775000000009</v>
      </c>
      <c r="L152" s="26">
        <f t="shared" si="53"/>
        <v>5244.085</v>
      </c>
      <c r="M152" s="26">
        <f t="shared" si="53"/>
        <v>4719.6765000000005</v>
      </c>
      <c r="N152" s="26">
        <f t="shared" si="53"/>
        <v>4242.9414999999999</v>
      </c>
      <c r="O152" s="26">
        <f t="shared" si="53"/>
        <v>4018.1949999999997</v>
      </c>
      <c r="P152" s="26">
        <f t="shared" si="53"/>
        <v>4018.1949999999997</v>
      </c>
      <c r="Q152" s="26">
        <f t="shared" si="53"/>
        <v>4025.0054999999998</v>
      </c>
      <c r="R152" s="26">
        <f t="shared" si="53"/>
        <v>4018.1949999999997</v>
      </c>
    </row>
    <row r="153" spans="1:18" hidden="1" outlineLevel="1">
      <c r="A153">
        <v>2002</v>
      </c>
      <c r="B153" t="s">
        <v>559</v>
      </c>
      <c r="H153" s="26"/>
      <c r="I153" s="26"/>
      <c r="J153" s="26">
        <f>$I$107*H$131</f>
        <v>3070</v>
      </c>
      <c r="K153" s="26">
        <f t="shared" ref="K153:R153" si="54">$I$107*I$131</f>
        <v>5833</v>
      </c>
      <c r="L153" s="26">
        <f t="shared" si="54"/>
        <v>5249.7000000000007</v>
      </c>
      <c r="M153" s="26">
        <f t="shared" si="54"/>
        <v>4727.8</v>
      </c>
      <c r="N153" s="26">
        <f t="shared" si="54"/>
        <v>4255.0200000000004</v>
      </c>
      <c r="O153" s="26">
        <f t="shared" si="54"/>
        <v>3825.2200000000003</v>
      </c>
      <c r="P153" s="26">
        <f t="shared" si="54"/>
        <v>3622.6</v>
      </c>
      <c r="Q153" s="26">
        <f t="shared" si="54"/>
        <v>3622.6</v>
      </c>
      <c r="R153" s="26">
        <f t="shared" si="54"/>
        <v>3628.74</v>
      </c>
    </row>
    <row r="154" spans="1:18" hidden="1" outlineLevel="1">
      <c r="A154">
        <v>2003</v>
      </c>
      <c r="B154" t="s">
        <v>559</v>
      </c>
      <c r="H154" s="26"/>
      <c r="I154" s="26"/>
      <c r="J154" s="26"/>
      <c r="K154" s="26">
        <f>$J$107*H$131</f>
        <v>1000</v>
      </c>
      <c r="L154" s="26">
        <f t="shared" ref="L154:R154" si="55">$J$107*I$131</f>
        <v>1900</v>
      </c>
      <c r="M154" s="26">
        <f t="shared" si="55"/>
        <v>1710.0000000000002</v>
      </c>
      <c r="N154" s="26">
        <f t="shared" si="55"/>
        <v>1540</v>
      </c>
      <c r="O154" s="26">
        <f t="shared" si="55"/>
        <v>1386</v>
      </c>
      <c r="P154" s="26">
        <f t="shared" si="55"/>
        <v>1246</v>
      </c>
      <c r="Q154" s="26">
        <f t="shared" si="55"/>
        <v>1180</v>
      </c>
      <c r="R154" s="26">
        <f t="shared" si="55"/>
        <v>1180</v>
      </c>
    </row>
    <row r="155" spans="1:18" hidden="1" outlineLevel="1">
      <c r="A155">
        <v>2004</v>
      </c>
      <c r="B155" t="s">
        <v>559</v>
      </c>
      <c r="H155" s="26"/>
      <c r="I155" s="26"/>
      <c r="J155" s="26"/>
      <c r="K155" s="26"/>
      <c r="L155" s="26">
        <f>$K$107*H$131</f>
        <v>1000</v>
      </c>
      <c r="M155" s="26">
        <f t="shared" ref="M155:R155" si="56">$K$107*I$131</f>
        <v>1900</v>
      </c>
      <c r="N155" s="26">
        <f t="shared" si="56"/>
        <v>1710.0000000000002</v>
      </c>
      <c r="O155" s="26">
        <f t="shared" si="56"/>
        <v>1540</v>
      </c>
      <c r="P155" s="26">
        <f t="shared" si="56"/>
        <v>1386</v>
      </c>
      <c r="Q155" s="26">
        <f t="shared" si="56"/>
        <v>1246</v>
      </c>
      <c r="R155" s="26">
        <f t="shared" si="56"/>
        <v>1180</v>
      </c>
    </row>
    <row r="156" spans="1:18" hidden="1" outlineLevel="1">
      <c r="A156">
        <v>2005</v>
      </c>
      <c r="B156" t="s">
        <v>559</v>
      </c>
      <c r="H156" s="26"/>
      <c r="I156" s="26"/>
      <c r="J156" s="26"/>
      <c r="K156" s="26"/>
      <c r="L156" s="26"/>
      <c r="M156" s="26">
        <f t="shared" ref="M156:R156" si="57">$L$107*H$131</f>
        <v>1000</v>
      </c>
      <c r="N156" s="26">
        <f t="shared" si="57"/>
        <v>1900</v>
      </c>
      <c r="O156" s="26">
        <f t="shared" si="57"/>
        <v>1710.0000000000002</v>
      </c>
      <c r="P156" s="26">
        <f t="shared" si="57"/>
        <v>1540</v>
      </c>
      <c r="Q156" s="26">
        <f t="shared" si="57"/>
        <v>1386</v>
      </c>
      <c r="R156" s="26">
        <f t="shared" si="57"/>
        <v>1246</v>
      </c>
    </row>
    <row r="157" spans="1:18" hidden="1" outlineLevel="1">
      <c r="A157">
        <v>2006</v>
      </c>
      <c r="B157" t="s">
        <v>559</v>
      </c>
      <c r="H157" s="26"/>
      <c r="I157" s="26"/>
      <c r="J157" s="26"/>
      <c r="K157" s="26"/>
      <c r="L157" s="26"/>
      <c r="M157" s="26"/>
      <c r="N157" s="26">
        <f>$M$107*H$131</f>
        <v>1000</v>
      </c>
      <c r="O157" s="26">
        <f>$M$107*I$131</f>
        <v>1900</v>
      </c>
      <c r="P157" s="26">
        <f>$M$107*J$131</f>
        <v>1710.0000000000002</v>
      </c>
      <c r="Q157" s="26">
        <f>$M$107*K$131</f>
        <v>1540</v>
      </c>
      <c r="R157" s="26">
        <f>$M$107*L$131</f>
        <v>1386</v>
      </c>
    </row>
    <row r="158" spans="1:18" hidden="1" outlineLevel="1">
      <c r="A158">
        <v>2007</v>
      </c>
      <c r="B158" t="s">
        <v>559</v>
      </c>
      <c r="H158" s="26"/>
      <c r="I158" s="26"/>
      <c r="J158" s="26"/>
      <c r="K158" s="26"/>
      <c r="L158" s="26"/>
      <c r="M158" s="26"/>
      <c r="N158" s="26"/>
      <c r="O158" s="26">
        <f>$N$107*H$131</f>
        <v>1000</v>
      </c>
      <c r="P158" s="26">
        <f>$N$107*I$131</f>
        <v>1900</v>
      </c>
      <c r="Q158" s="26">
        <f>$N$107*J$131</f>
        <v>1710.0000000000002</v>
      </c>
      <c r="R158" s="26">
        <f>$N$107*K$131</f>
        <v>1540</v>
      </c>
    </row>
    <row r="159" spans="1:18" hidden="1" outlineLevel="1">
      <c r="A159">
        <v>2008</v>
      </c>
      <c r="B159" t="s">
        <v>559</v>
      </c>
      <c r="H159" s="26"/>
      <c r="I159" s="26"/>
      <c r="J159" s="26"/>
      <c r="K159" s="26"/>
      <c r="L159" s="26"/>
      <c r="M159" s="26"/>
      <c r="N159" s="26"/>
      <c r="O159" s="26"/>
      <c r="P159" s="26">
        <f>$O$107*H$131</f>
        <v>1000</v>
      </c>
      <c r="Q159" s="26">
        <f>$O$107*I$131</f>
        <v>1900</v>
      </c>
      <c r="R159" s="26">
        <f>$O$107*J$131</f>
        <v>1710.0000000000002</v>
      </c>
    </row>
    <row r="160" spans="1:18" hidden="1" outlineLevel="1">
      <c r="A160">
        <v>2009</v>
      </c>
      <c r="B160" t="s">
        <v>559</v>
      </c>
      <c r="H160" s="26"/>
      <c r="I160" s="26"/>
      <c r="J160" s="26"/>
      <c r="K160" s="26"/>
      <c r="L160" s="26"/>
      <c r="M160" s="26"/>
      <c r="N160" s="26"/>
      <c r="O160" s="26"/>
      <c r="P160" s="26"/>
      <c r="Q160" s="26">
        <f>$P$107*H$131</f>
        <v>1000</v>
      </c>
      <c r="R160" s="26">
        <f>$P$107*I$131</f>
        <v>1900</v>
      </c>
    </row>
    <row r="161" spans="1:18" hidden="1" outlineLevel="1">
      <c r="A161">
        <v>2010</v>
      </c>
      <c r="B161" t="s">
        <v>559</v>
      </c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>
        <f>Q$107*H$131</f>
        <v>1000</v>
      </c>
    </row>
    <row r="162" spans="1:18" hidden="1" outlineLevel="1">
      <c r="H162" s="859">
        <f>SUM(H151:H161)</f>
        <v>1477.45</v>
      </c>
      <c r="I162" s="859">
        <f t="shared" ref="I162:R162" si="58">SUM(I151:I161)</f>
        <v>6212.4050000000007</v>
      </c>
      <c r="J162" s="859">
        <f t="shared" si="58"/>
        <v>12066.414500000001</v>
      </c>
      <c r="K162" s="859">
        <f t="shared" si="58"/>
        <v>14931.250500000002</v>
      </c>
      <c r="L162" s="859">
        <f t="shared" si="58"/>
        <v>15441.530700000001</v>
      </c>
      <c r="M162" s="859">
        <f t="shared" si="58"/>
        <v>15898.379199999999</v>
      </c>
      <c r="N162" s="859">
        <f t="shared" si="58"/>
        <v>16391.352500000001</v>
      </c>
      <c r="O162" s="859">
        <f t="shared" si="58"/>
        <v>17122.806</v>
      </c>
      <c r="P162" s="859">
        <f t="shared" si="58"/>
        <v>18169.140899999999</v>
      </c>
      <c r="Q162" s="859">
        <f t="shared" si="58"/>
        <v>19352.996500000001</v>
      </c>
      <c r="R162" s="859">
        <f t="shared" si="58"/>
        <v>20535.280900000002</v>
      </c>
    </row>
    <row r="163" spans="1:18" collapsed="1">
      <c r="D163" s="10">
        <v>-3661</v>
      </c>
      <c r="E163" s="25">
        <v>6524</v>
      </c>
      <c r="F163" s="25">
        <v>1383</v>
      </c>
      <c r="G163" s="25">
        <v>4314</v>
      </c>
    </row>
  </sheetData>
  <mergeCells count="1">
    <mergeCell ref="L40:N40"/>
  </mergeCells>
  <phoneticPr fontId="0" type="noConversion"/>
  <conditionalFormatting sqref="C11">
    <cfRule type="cellIs" dxfId="4" priority="1" stopIfTrue="1" operator="notBetween">
      <formula>0.25</formula>
      <formula>-0.25</formula>
    </cfRule>
  </conditionalFormatting>
  <pageMargins left="0" right="0" top="0" bottom="0.25" header="0" footer="0.2"/>
  <pageSetup scale="48" fitToHeight="0" orientation="landscape" r:id="rId1"/>
  <headerFooter alignWithMargins="0">
    <oddFooter>&amp;L&amp;F&amp;C&amp;A&amp;R&amp;D, &amp;T</oddFooter>
  </headerFooter>
  <rowBreaks count="1" manualBreakCount="1">
    <brk id="47" max="17" man="1"/>
  </row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">
    <pageSetUpPr fitToPage="1"/>
  </sheetPr>
  <dimension ref="A1:R122"/>
  <sheetViews>
    <sheetView topLeftCell="F1" zoomScale="75" zoomScaleNormal="75" zoomScaleSheetLayoutView="50" workbookViewId="0">
      <selection activeCell="G38" sqref="G38"/>
    </sheetView>
  </sheetViews>
  <sheetFormatPr defaultRowHeight="12.75" outlineLevelRow="1"/>
  <cols>
    <col min="1" max="1" width="27.5703125" customWidth="1"/>
    <col min="2" max="2" width="14.28515625" bestFit="1" customWidth="1"/>
    <col min="3" max="3" width="12.85546875" customWidth="1"/>
    <col min="4" max="4" width="11.85546875" customWidth="1"/>
    <col min="5" max="5" width="14.28515625" style="24" customWidth="1"/>
    <col min="6" max="6" width="14.140625" style="24" bestFit="1" customWidth="1"/>
    <col min="7" max="7" width="16.28515625" customWidth="1"/>
    <col min="8" max="9" width="14.42578125" bestFit="1" customWidth="1"/>
    <col min="10" max="10" width="14.140625" bestFit="1" customWidth="1"/>
    <col min="11" max="13" width="16.85546875" customWidth="1"/>
    <col min="14" max="14" width="13.42578125" customWidth="1"/>
    <col min="15" max="16" width="12.28515625" customWidth="1"/>
    <col min="17" max="17" width="13.42578125" customWidth="1"/>
  </cols>
  <sheetData>
    <row r="1" spans="1:17" ht="20.25">
      <c r="A1" s="714" t="str">
        <f>"Project "&amp;Assumptions!D6</f>
        <v>Project ETS</v>
      </c>
      <c r="B1" s="114"/>
      <c r="C1" s="115"/>
    </row>
    <row r="2" spans="1:17" ht="18">
      <c r="A2" s="922" t="s">
        <v>484</v>
      </c>
      <c r="B2" s="34"/>
      <c r="C2" s="117"/>
      <c r="E2" s="56"/>
    </row>
    <row r="3" spans="1:17" ht="16.5" thickBot="1">
      <c r="A3" s="639" t="s">
        <v>346</v>
      </c>
      <c r="B3" s="640"/>
      <c r="C3" s="121"/>
      <c r="E3" s="45"/>
      <c r="F3" s="284"/>
      <c r="G3" s="54"/>
      <c r="H3" s="54"/>
      <c r="I3" s="54"/>
      <c r="Q3" s="24"/>
    </row>
    <row r="4" spans="1:17">
      <c r="A4" s="142"/>
      <c r="B4" s="141"/>
      <c r="E4" s="45"/>
      <c r="F4" s="796"/>
      <c r="G4" s="54"/>
      <c r="H4" s="54"/>
      <c r="I4" s="54"/>
      <c r="Q4" s="24"/>
    </row>
    <row r="5" spans="1:17" ht="15.75">
      <c r="A5" s="483" t="s">
        <v>54</v>
      </c>
      <c r="B5" s="379"/>
      <c r="C5" s="379"/>
      <c r="D5" s="379"/>
      <c r="E5" s="379"/>
      <c r="F5" s="379"/>
      <c r="G5" s="379"/>
      <c r="H5" s="379"/>
      <c r="I5" s="379"/>
      <c r="J5" s="379"/>
      <c r="K5" s="379"/>
      <c r="L5" s="379"/>
      <c r="M5" s="379"/>
      <c r="N5" s="379"/>
      <c r="O5" s="379"/>
      <c r="P5" s="379"/>
      <c r="Q5" s="24"/>
    </row>
    <row r="6" spans="1:17">
      <c r="C6" s="878">
        <v>1998</v>
      </c>
      <c r="D6" s="878">
        <v>1999</v>
      </c>
      <c r="E6" s="878">
        <v>2000</v>
      </c>
      <c r="F6" s="879">
        <f>G6-1</f>
        <v>2001</v>
      </c>
      <c r="G6" s="880">
        <v>2002</v>
      </c>
      <c r="H6" s="880">
        <f t="shared" ref="H6:P6" si="0">G6+1</f>
        <v>2003</v>
      </c>
      <c r="I6" s="880">
        <f t="shared" si="0"/>
        <v>2004</v>
      </c>
      <c r="J6" s="880">
        <f t="shared" si="0"/>
        <v>2005</v>
      </c>
      <c r="K6" s="880">
        <f t="shared" si="0"/>
        <v>2006</v>
      </c>
      <c r="L6" s="880">
        <f t="shared" si="0"/>
        <v>2007</v>
      </c>
      <c r="M6" s="880">
        <f t="shared" si="0"/>
        <v>2008</v>
      </c>
      <c r="N6" s="880">
        <f t="shared" si="0"/>
        <v>2009</v>
      </c>
      <c r="O6" s="880">
        <f t="shared" si="0"/>
        <v>2010</v>
      </c>
      <c r="P6" s="880">
        <f t="shared" si="0"/>
        <v>2011</v>
      </c>
      <c r="Q6" s="24"/>
    </row>
    <row r="7" spans="1:17">
      <c r="C7" s="18"/>
      <c r="D7" s="18"/>
      <c r="E7" s="18"/>
      <c r="F7" s="12"/>
      <c r="G7" s="1"/>
      <c r="H7" s="1"/>
      <c r="I7" s="1"/>
      <c r="J7" s="12"/>
      <c r="K7" s="12"/>
      <c r="L7" s="1"/>
      <c r="M7" s="1"/>
      <c r="N7" s="1"/>
      <c r="O7" s="1"/>
      <c r="P7" s="1"/>
      <c r="Q7" s="24"/>
    </row>
    <row r="8" spans="1:17">
      <c r="C8" s="18"/>
      <c r="D8" s="18"/>
      <c r="E8" s="18"/>
      <c r="F8" s="12"/>
      <c r="H8" s="1"/>
      <c r="I8" s="1"/>
      <c r="J8" s="12"/>
      <c r="K8" s="12"/>
      <c r="L8" s="1"/>
      <c r="M8" s="1"/>
      <c r="N8" s="1"/>
      <c r="O8" s="1"/>
      <c r="P8" s="1"/>
      <c r="Q8" s="24"/>
    </row>
    <row r="9" spans="1:17">
      <c r="C9" s="18"/>
      <c r="D9" s="18"/>
      <c r="E9" s="18"/>
      <c r="F9" s="12"/>
      <c r="G9" s="58" t="str">
        <f>IF(C45=1,A48,IF(C45=2,A53,A56))</f>
        <v>1. Base Case</v>
      </c>
      <c r="H9" s="1"/>
      <c r="I9" s="1"/>
      <c r="J9" s="12"/>
      <c r="K9" s="12"/>
      <c r="L9" s="1"/>
      <c r="M9" s="1"/>
      <c r="N9" s="1"/>
      <c r="O9" s="1"/>
      <c r="P9" s="1"/>
      <c r="Q9" s="24"/>
    </row>
    <row r="10" spans="1:17">
      <c r="A10" s="559" t="s">
        <v>473</v>
      </c>
      <c r="B10" s="80"/>
      <c r="C10" s="798"/>
      <c r="D10" s="798"/>
      <c r="E10" s="798">
        <f t="shared" ref="E10:P10" si="1">E45</f>
        <v>339732</v>
      </c>
      <c r="F10" s="70">
        <f t="shared" si="1"/>
        <v>491411</v>
      </c>
      <c r="G10" s="70">
        <f t="shared" si="1"/>
        <v>576963</v>
      </c>
      <c r="H10" s="70">
        <f t="shared" si="1"/>
        <v>590878</v>
      </c>
      <c r="I10" s="70">
        <f t="shared" si="1"/>
        <v>606875</v>
      </c>
      <c r="J10" s="70">
        <f t="shared" si="1"/>
        <v>611153</v>
      </c>
      <c r="K10" s="70">
        <f t="shared" si="1"/>
        <v>611153</v>
      </c>
      <c r="L10" s="70">
        <f t="shared" si="1"/>
        <v>611153</v>
      </c>
      <c r="M10" s="70">
        <f t="shared" si="1"/>
        <v>611153</v>
      </c>
      <c r="N10" s="70">
        <f t="shared" si="1"/>
        <v>611153</v>
      </c>
      <c r="O10" s="70">
        <f t="shared" si="1"/>
        <v>611153</v>
      </c>
      <c r="P10" s="70">
        <f t="shared" si="1"/>
        <v>611153</v>
      </c>
      <c r="Q10" s="24"/>
    </row>
    <row r="11" spans="1:17">
      <c r="A11" s="6"/>
      <c r="C11" s="799"/>
      <c r="D11" s="799"/>
      <c r="E11" s="799"/>
      <c r="F11" s="77"/>
      <c r="G11" s="12"/>
      <c r="H11" s="12"/>
      <c r="I11" s="12"/>
      <c r="J11" s="12"/>
      <c r="K11" s="12"/>
      <c r="L11" s="1"/>
      <c r="M11" s="1"/>
      <c r="N11" s="1"/>
      <c r="O11" s="1"/>
      <c r="P11" s="1"/>
      <c r="Q11" s="24"/>
    </row>
    <row r="12" spans="1:17">
      <c r="A12" s="6"/>
      <c r="C12" s="18"/>
      <c r="D12" s="18"/>
      <c r="E12" s="18"/>
      <c r="F12" s="12"/>
      <c r="G12" s="58" t="str">
        <f>IF(C62=1,A65,IF(C62=2,A71,A74))</f>
        <v>1. Base Case</v>
      </c>
      <c r="H12" s="12"/>
      <c r="I12" s="12"/>
      <c r="J12" s="12"/>
      <c r="K12" s="12"/>
      <c r="L12" s="1"/>
      <c r="M12" s="1"/>
      <c r="N12" s="1"/>
      <c r="O12" s="1"/>
      <c r="P12" s="1"/>
      <c r="Q12" s="24"/>
    </row>
    <row r="13" spans="1:17">
      <c r="A13" s="106" t="s">
        <v>474</v>
      </c>
      <c r="B13" s="79"/>
      <c r="C13" s="798"/>
      <c r="D13" s="798"/>
      <c r="E13" s="798">
        <f t="shared" ref="E13:P13" si="2">E62</f>
        <v>90731</v>
      </c>
      <c r="F13" s="70">
        <f t="shared" si="2"/>
        <v>182081</v>
      </c>
      <c r="G13" s="70">
        <f t="shared" si="2"/>
        <v>234850</v>
      </c>
      <c r="H13" s="70">
        <f t="shared" si="2"/>
        <v>243830</v>
      </c>
      <c r="I13" s="70">
        <f t="shared" si="2"/>
        <v>246767</v>
      </c>
      <c r="J13" s="70">
        <f t="shared" si="2"/>
        <v>245757</v>
      </c>
      <c r="K13" s="70">
        <f t="shared" si="2"/>
        <v>245757</v>
      </c>
      <c r="L13" s="70">
        <f t="shared" si="2"/>
        <v>245757</v>
      </c>
      <c r="M13" s="70">
        <f t="shared" si="2"/>
        <v>245757</v>
      </c>
      <c r="N13" s="70">
        <f t="shared" si="2"/>
        <v>245757</v>
      </c>
      <c r="O13" s="70">
        <f t="shared" si="2"/>
        <v>245757</v>
      </c>
      <c r="P13" s="70">
        <f t="shared" si="2"/>
        <v>245757</v>
      </c>
      <c r="Q13" s="24"/>
    </row>
    <row r="14" spans="1:17">
      <c r="A14" s="530" t="s">
        <v>1</v>
      </c>
      <c r="B14" s="33"/>
      <c r="C14" s="679"/>
      <c r="D14" s="679"/>
      <c r="E14" s="679">
        <f t="shared" ref="E14:P14" si="3">(E10-E13)</f>
        <v>249001</v>
      </c>
      <c r="F14" s="680">
        <f t="shared" si="3"/>
        <v>309330</v>
      </c>
      <c r="G14" s="680">
        <f t="shared" si="3"/>
        <v>342113</v>
      </c>
      <c r="H14" s="680">
        <f t="shared" si="3"/>
        <v>347048</v>
      </c>
      <c r="I14" s="680">
        <f t="shared" si="3"/>
        <v>360108</v>
      </c>
      <c r="J14" s="680">
        <f t="shared" si="3"/>
        <v>365396</v>
      </c>
      <c r="K14" s="680">
        <f t="shared" si="3"/>
        <v>365396</v>
      </c>
      <c r="L14" s="680">
        <f t="shared" si="3"/>
        <v>365396</v>
      </c>
      <c r="M14" s="680">
        <f t="shared" si="3"/>
        <v>365396</v>
      </c>
      <c r="N14" s="680">
        <f t="shared" si="3"/>
        <v>365396</v>
      </c>
      <c r="O14" s="680">
        <f t="shared" si="3"/>
        <v>365396</v>
      </c>
      <c r="P14" s="680">
        <f t="shared" si="3"/>
        <v>365396</v>
      </c>
      <c r="Q14" s="217"/>
    </row>
    <row r="15" spans="1:17">
      <c r="A15" s="7" t="s">
        <v>53</v>
      </c>
      <c r="B15" s="7"/>
      <c r="C15" s="82"/>
      <c r="D15" s="82"/>
      <c r="E15" s="82">
        <f t="shared" ref="E15:P15" si="4">E10/E13</f>
        <v>3.7443872546318238</v>
      </c>
      <c r="F15" s="83">
        <f t="shared" si="4"/>
        <v>2.6988592988834639</v>
      </c>
      <c r="G15" s="83">
        <f t="shared" si="4"/>
        <v>2.4567298275494998</v>
      </c>
      <c r="H15" s="83">
        <f t="shared" si="4"/>
        <v>2.423319525899192</v>
      </c>
      <c r="I15" s="83">
        <f t="shared" si="4"/>
        <v>2.4593037156507962</v>
      </c>
      <c r="J15" s="83">
        <f t="shared" si="4"/>
        <v>2.4868182798455383</v>
      </c>
      <c r="K15" s="83">
        <f t="shared" si="4"/>
        <v>2.4868182798455383</v>
      </c>
      <c r="L15" s="83">
        <f t="shared" si="4"/>
        <v>2.4868182798455383</v>
      </c>
      <c r="M15" s="83">
        <f t="shared" si="4"/>
        <v>2.4868182798455383</v>
      </c>
      <c r="N15" s="83">
        <f t="shared" si="4"/>
        <v>2.4868182798455383</v>
      </c>
      <c r="O15" s="83">
        <f t="shared" si="4"/>
        <v>2.4868182798455383</v>
      </c>
      <c r="P15" s="83">
        <f t="shared" si="4"/>
        <v>2.4868182798455383</v>
      </c>
      <c r="Q15" s="24"/>
    </row>
    <row r="16" spans="1:17">
      <c r="A16" s="586" t="s">
        <v>281</v>
      </c>
      <c r="B16" s="7"/>
      <c r="C16" s="82"/>
      <c r="D16" s="82"/>
      <c r="E16" s="895">
        <f>E14/E10</f>
        <v>0.73293360648982142</v>
      </c>
      <c r="F16" s="896">
        <f>F14/F10</f>
        <v>0.62947308871799779</v>
      </c>
      <c r="G16" s="896">
        <f t="shared" ref="G16:P16" si="5">G14/G10</f>
        <v>0.59295483419214057</v>
      </c>
      <c r="H16" s="896">
        <f t="shared" si="5"/>
        <v>0.58734290327275684</v>
      </c>
      <c r="I16" s="896">
        <f t="shared" si="5"/>
        <v>0.59338084449021622</v>
      </c>
      <c r="J16" s="896">
        <f t="shared" si="5"/>
        <v>0.59787974533381982</v>
      </c>
      <c r="K16" s="896">
        <f t="shared" si="5"/>
        <v>0.59787974533381982</v>
      </c>
      <c r="L16" s="896">
        <f t="shared" si="5"/>
        <v>0.59787974533381982</v>
      </c>
      <c r="M16" s="896">
        <f t="shared" si="5"/>
        <v>0.59787974533381982</v>
      </c>
      <c r="N16" s="896">
        <f t="shared" si="5"/>
        <v>0.59787974533381982</v>
      </c>
      <c r="O16" s="896">
        <f t="shared" si="5"/>
        <v>0.59787974533381982</v>
      </c>
      <c r="P16" s="896">
        <f t="shared" si="5"/>
        <v>0.59787974533381982</v>
      </c>
      <c r="Q16" s="24"/>
    </row>
    <row r="17" spans="1:17">
      <c r="A17" s="7"/>
      <c r="B17" s="7"/>
      <c r="C17" s="82"/>
      <c r="D17" s="82"/>
      <c r="E17" s="82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24"/>
    </row>
    <row r="18" spans="1:17">
      <c r="A18" s="284" t="s">
        <v>500</v>
      </c>
      <c r="C18" s="18"/>
      <c r="D18" s="18"/>
      <c r="E18" s="536">
        <f>8032</f>
        <v>8032</v>
      </c>
      <c r="F18" s="12"/>
      <c r="G18" s="1"/>
      <c r="H18" s="1"/>
      <c r="I18" s="1"/>
      <c r="J18" s="12"/>
      <c r="K18" s="12"/>
      <c r="L18" s="1"/>
      <c r="M18" s="1"/>
      <c r="N18" s="1"/>
      <c r="O18" s="1"/>
      <c r="P18" s="1"/>
      <c r="Q18" s="24"/>
    </row>
    <row r="19" spans="1:17">
      <c r="A19" s="6" t="s">
        <v>223</v>
      </c>
      <c r="C19" s="18"/>
      <c r="D19" s="18"/>
      <c r="E19" s="536">
        <v>38119</v>
      </c>
      <c r="F19" s="12"/>
      <c r="G19" s="1"/>
      <c r="H19" s="1"/>
      <c r="I19" s="1"/>
      <c r="J19" s="12"/>
      <c r="K19" s="12"/>
      <c r="L19" s="1"/>
      <c r="M19" s="1"/>
      <c r="N19" s="1"/>
      <c r="O19" s="1"/>
      <c r="P19" s="1"/>
      <c r="Q19" s="24"/>
    </row>
    <row r="20" spans="1:17">
      <c r="A20" s="6" t="s">
        <v>475</v>
      </c>
      <c r="B20" s="15"/>
      <c r="C20" s="18"/>
      <c r="D20" s="18"/>
      <c r="E20" s="21">
        <f t="shared" ref="E20:P20" si="6">E87</f>
        <v>61054</v>
      </c>
      <c r="F20" s="29">
        <f t="shared" si="6"/>
        <v>55679.377500000002</v>
      </c>
      <c r="G20" s="29">
        <f t="shared" si="6"/>
        <v>56300.2425</v>
      </c>
      <c r="H20" s="29">
        <f t="shared" si="6"/>
        <v>58262.827499999999</v>
      </c>
      <c r="I20" s="29">
        <f t="shared" si="6"/>
        <v>60478.604999999996</v>
      </c>
      <c r="J20" s="29">
        <f t="shared" si="6"/>
        <v>61820.392500000002</v>
      </c>
      <c r="K20" s="29">
        <f t="shared" si="6"/>
        <v>62741.744999999995</v>
      </c>
      <c r="L20" s="29">
        <f t="shared" si="6"/>
        <v>63663.097499999996</v>
      </c>
      <c r="M20" s="29">
        <f t="shared" si="6"/>
        <v>64584.45</v>
      </c>
      <c r="N20" s="29">
        <f t="shared" si="6"/>
        <v>65505.802499999998</v>
      </c>
      <c r="O20" s="29">
        <f t="shared" si="6"/>
        <v>66427.154999999999</v>
      </c>
      <c r="P20" s="29">
        <f t="shared" si="6"/>
        <v>67348.507500000007</v>
      </c>
      <c r="Q20" s="24"/>
    </row>
    <row r="21" spans="1:17">
      <c r="C21" s="18"/>
      <c r="D21" s="18"/>
      <c r="E21" s="18"/>
      <c r="F21" s="12"/>
      <c r="G21" s="1"/>
      <c r="H21" s="1"/>
      <c r="I21" s="1"/>
      <c r="J21" s="12"/>
      <c r="K21" s="12"/>
      <c r="L21" s="1"/>
      <c r="M21" s="1"/>
      <c r="N21" s="1"/>
      <c r="O21" s="1"/>
      <c r="P21" s="1"/>
      <c r="Q21" s="24"/>
    </row>
    <row r="22" spans="1:17">
      <c r="A22" s="530" t="s">
        <v>2</v>
      </c>
      <c r="B22" s="33"/>
      <c r="C22" s="679"/>
      <c r="D22" s="679"/>
      <c r="E22" s="679">
        <f>E14+E18+E19-E20</f>
        <v>234098</v>
      </c>
      <c r="F22" s="680">
        <f>F14+F18+F19-F20</f>
        <v>253650.6225</v>
      </c>
      <c r="G22" s="849">
        <f>G14+G18+G19-G20</f>
        <v>285812.75750000001</v>
      </c>
      <c r="H22" s="849">
        <f t="shared" ref="H22:P22" si="7">H14+H18+H19-H20</f>
        <v>288785.17249999999</v>
      </c>
      <c r="I22" s="849">
        <f t="shared" si="7"/>
        <v>299629.39500000002</v>
      </c>
      <c r="J22" s="680">
        <f t="shared" si="7"/>
        <v>303575.60749999998</v>
      </c>
      <c r="K22" s="680">
        <f t="shared" si="7"/>
        <v>302654.255</v>
      </c>
      <c r="L22" s="849">
        <f t="shared" si="7"/>
        <v>301732.90250000003</v>
      </c>
      <c r="M22" s="849">
        <f t="shared" si="7"/>
        <v>300811.55</v>
      </c>
      <c r="N22" s="849">
        <f t="shared" si="7"/>
        <v>299890.19750000001</v>
      </c>
      <c r="O22" s="849">
        <f t="shared" si="7"/>
        <v>298968.84499999997</v>
      </c>
      <c r="P22" s="849">
        <f t="shared" si="7"/>
        <v>298047.49249999999</v>
      </c>
      <c r="Q22" s="24"/>
    </row>
    <row r="23" spans="1:17">
      <c r="C23" s="18"/>
      <c r="D23" s="18"/>
      <c r="E23" s="18"/>
      <c r="F23" s="12"/>
      <c r="G23" s="1"/>
      <c r="H23" s="1"/>
      <c r="I23" s="1"/>
      <c r="J23" s="12"/>
      <c r="K23" s="12"/>
      <c r="L23" s="1"/>
      <c r="M23" s="1"/>
      <c r="N23" s="1"/>
      <c r="O23" s="1"/>
      <c r="P23" s="1"/>
      <c r="Q23" s="24"/>
    </row>
    <row r="24" spans="1:17">
      <c r="A24" s="2" t="s">
        <v>3</v>
      </c>
      <c r="C24" s="18"/>
      <c r="D24" s="18"/>
      <c r="E24" s="18">
        <f>$B$26*(E14+E18+E19-E93)</f>
        <v>113633.52</v>
      </c>
      <c r="F24" s="1">
        <f>$B$26*(F14+F18+F19-F93)</f>
        <v>80906.683550000002</v>
      </c>
      <c r="G24" s="1">
        <f t="shared" ref="G24:P24" si="8">$B$26*(G14+G18+G19-G93)</f>
        <v>92655.287725000002</v>
      </c>
      <c r="H24" s="1">
        <f t="shared" si="8"/>
        <v>92470.22573250001</v>
      </c>
      <c r="I24" s="1">
        <f t="shared" si="8"/>
        <v>94256.87655999999</v>
      </c>
      <c r="J24" s="1">
        <f t="shared" si="8"/>
        <v>103357.86179949999</v>
      </c>
      <c r="K24" s="1">
        <f t="shared" si="8"/>
        <v>102317.00171</v>
      </c>
      <c r="L24" s="1">
        <f t="shared" si="8"/>
        <v>101717.68241250001</v>
      </c>
      <c r="M24" s="1">
        <f t="shared" si="8"/>
        <v>101126.97248500001</v>
      </c>
      <c r="N24" s="1">
        <f t="shared" si="8"/>
        <v>109916.72391700001</v>
      </c>
      <c r="O24" s="1">
        <f t="shared" si="8"/>
        <v>109109.71490650001</v>
      </c>
      <c r="P24" s="1">
        <f t="shared" si="8"/>
        <v>108200.243844</v>
      </c>
      <c r="Q24" s="24"/>
    </row>
    <row r="25" spans="1:17" ht="15">
      <c r="A25" s="2" t="s">
        <v>4</v>
      </c>
      <c r="C25" s="17"/>
      <c r="D25" s="17"/>
      <c r="E25" s="17">
        <f>E26-E24</f>
        <v>-23505.790000000008</v>
      </c>
      <c r="F25" s="3">
        <f>F26-F24</f>
        <v>16748.806112499995</v>
      </c>
      <c r="G25" s="3">
        <f t="shared" ref="G25:P25" si="9">G26-G24</f>
        <v>17382.623912499999</v>
      </c>
      <c r="H25" s="3">
        <f t="shared" si="9"/>
        <v>18712.065679999985</v>
      </c>
      <c r="I25" s="3">
        <f t="shared" si="9"/>
        <v>21100.440515000024</v>
      </c>
      <c r="J25" s="3">
        <f t="shared" si="9"/>
        <v>13518.747088000004</v>
      </c>
      <c r="K25" s="3">
        <f t="shared" si="9"/>
        <v>14204.886465000003</v>
      </c>
      <c r="L25" s="3">
        <f t="shared" si="9"/>
        <v>14449.485050000003</v>
      </c>
      <c r="M25" s="3">
        <f t="shared" si="9"/>
        <v>14685.474264999997</v>
      </c>
      <c r="N25" s="3">
        <f t="shared" si="9"/>
        <v>5541.0021204999939</v>
      </c>
      <c r="O25" s="3">
        <f t="shared" si="9"/>
        <v>5993.2904184999788</v>
      </c>
      <c r="P25" s="3">
        <f t="shared" si="9"/>
        <v>6548.04076850001</v>
      </c>
      <c r="Q25" s="24"/>
    </row>
    <row r="26" spans="1:17">
      <c r="A26" s="803" t="s">
        <v>0</v>
      </c>
      <c r="B26" s="804">
        <f>Assumptions!D10</f>
        <v>0.38500000000000001</v>
      </c>
      <c r="C26" s="18"/>
      <c r="D26" s="18"/>
      <c r="E26" s="18">
        <f t="shared" ref="E26:P26" si="10">$B$26*E22</f>
        <v>90127.73</v>
      </c>
      <c r="F26" s="1">
        <f t="shared" si="10"/>
        <v>97655.489662499996</v>
      </c>
      <c r="G26" s="1">
        <f t="shared" si="10"/>
        <v>110037.9116375</v>
      </c>
      <c r="H26" s="1">
        <f t="shared" si="10"/>
        <v>111182.2914125</v>
      </c>
      <c r="I26" s="1">
        <f t="shared" si="10"/>
        <v>115357.31707500001</v>
      </c>
      <c r="J26" s="1">
        <f t="shared" si="10"/>
        <v>116876.6088875</v>
      </c>
      <c r="K26" s="1">
        <f t="shared" si="10"/>
        <v>116521.888175</v>
      </c>
      <c r="L26" s="1">
        <f t="shared" si="10"/>
        <v>116167.16746250002</v>
      </c>
      <c r="M26" s="1">
        <f t="shared" si="10"/>
        <v>115812.44675</v>
      </c>
      <c r="N26" s="1">
        <f t="shared" si="10"/>
        <v>115457.7260375</v>
      </c>
      <c r="O26" s="1">
        <f t="shared" si="10"/>
        <v>115103.00532499999</v>
      </c>
      <c r="P26" s="1">
        <f t="shared" si="10"/>
        <v>114748.28461250001</v>
      </c>
      <c r="Q26" s="24"/>
    </row>
    <row r="27" spans="1:17">
      <c r="A27" s="1"/>
      <c r="C27" s="18"/>
      <c r="D27" s="18"/>
      <c r="E27" s="18"/>
      <c r="F27" s="12"/>
      <c r="G27" s="1"/>
      <c r="H27" s="1"/>
      <c r="I27" s="1"/>
      <c r="J27" s="12"/>
      <c r="K27" s="12"/>
      <c r="L27" s="1"/>
      <c r="M27" s="1"/>
      <c r="N27" s="1"/>
      <c r="O27" s="1"/>
      <c r="P27" s="1"/>
      <c r="Q27" s="24"/>
    </row>
    <row r="28" spans="1:17">
      <c r="A28" s="66" t="s">
        <v>13</v>
      </c>
      <c r="B28" s="33"/>
      <c r="C28" s="679"/>
      <c r="D28" s="679"/>
      <c r="E28" s="679">
        <f t="shared" ref="E28:P28" si="11">E22-E26</f>
        <v>143970.27000000002</v>
      </c>
      <c r="F28" s="680">
        <f t="shared" si="11"/>
        <v>155995.13283750002</v>
      </c>
      <c r="G28" s="849">
        <f t="shared" si="11"/>
        <v>175774.84586250002</v>
      </c>
      <c r="H28" s="849">
        <f t="shared" si="11"/>
        <v>177602.88108749999</v>
      </c>
      <c r="I28" s="849">
        <f t="shared" si="11"/>
        <v>184272.07792499999</v>
      </c>
      <c r="J28" s="680">
        <f t="shared" si="11"/>
        <v>186698.99861249997</v>
      </c>
      <c r="K28" s="680">
        <f t="shared" si="11"/>
        <v>186132.366825</v>
      </c>
      <c r="L28" s="849">
        <f t="shared" si="11"/>
        <v>185565.73503750001</v>
      </c>
      <c r="M28" s="849">
        <f t="shared" si="11"/>
        <v>184999.10324999999</v>
      </c>
      <c r="N28" s="849">
        <f t="shared" si="11"/>
        <v>184432.47146249999</v>
      </c>
      <c r="O28" s="849">
        <f t="shared" si="11"/>
        <v>183865.839675</v>
      </c>
      <c r="P28" s="849">
        <f t="shared" si="11"/>
        <v>183299.2078875</v>
      </c>
    </row>
    <row r="29" spans="1:17">
      <c r="A29" s="2"/>
      <c r="C29" s="18"/>
      <c r="D29" s="18"/>
      <c r="E29" s="18"/>
      <c r="F29" s="12"/>
      <c r="G29" s="1"/>
      <c r="H29" s="1"/>
      <c r="I29" s="1"/>
      <c r="J29" s="12"/>
      <c r="K29" s="12"/>
      <c r="L29" s="1"/>
      <c r="M29" s="1"/>
      <c r="N29" s="1"/>
      <c r="O29" s="1"/>
      <c r="P29" s="1"/>
      <c r="Q29" s="19" t="s">
        <v>1</v>
      </c>
    </row>
    <row r="30" spans="1:17">
      <c r="A30" s="69" t="s">
        <v>298</v>
      </c>
      <c r="C30" s="18"/>
      <c r="D30" s="18"/>
      <c r="E30" s="18">
        <f t="shared" ref="E30:P30" si="12">E28+E25+E20</f>
        <v>181518.48</v>
      </c>
      <c r="F30" s="12">
        <f t="shared" si="12"/>
        <v>228423.31645000001</v>
      </c>
      <c r="G30" s="1">
        <f t="shared" si="12"/>
        <v>249457.712275</v>
      </c>
      <c r="H30" s="1">
        <f t="shared" si="12"/>
        <v>254577.77426749998</v>
      </c>
      <c r="I30" s="1">
        <f t="shared" si="12"/>
        <v>265851.12344</v>
      </c>
      <c r="J30" s="12">
        <f t="shared" si="12"/>
        <v>262038.13820049999</v>
      </c>
      <c r="K30" s="12">
        <f t="shared" si="12"/>
        <v>263078.99829000002</v>
      </c>
      <c r="L30" s="1">
        <f t="shared" si="12"/>
        <v>263678.31758749997</v>
      </c>
      <c r="M30" s="1">
        <f t="shared" si="12"/>
        <v>264269.02751499997</v>
      </c>
      <c r="N30" s="1">
        <f t="shared" si="12"/>
        <v>255479.27608299998</v>
      </c>
      <c r="O30" s="1">
        <f t="shared" si="12"/>
        <v>256286.28509349996</v>
      </c>
      <c r="P30" s="1">
        <f t="shared" si="12"/>
        <v>257195.75615600002</v>
      </c>
      <c r="Q30" s="19" t="s">
        <v>42</v>
      </c>
    </row>
    <row r="31" spans="1:17">
      <c r="A31" s="69" t="s">
        <v>17</v>
      </c>
      <c r="B31" s="101"/>
      <c r="C31" s="18"/>
      <c r="D31" s="18"/>
      <c r="E31" s="18">
        <f t="shared" ref="E31:P31" si="13">E80</f>
        <v>19721</v>
      </c>
      <c r="F31" s="12">
        <f t="shared" si="13"/>
        <v>27594</v>
      </c>
      <c r="G31" s="12">
        <f t="shared" si="13"/>
        <v>87226</v>
      </c>
      <c r="H31" s="12">
        <f t="shared" si="13"/>
        <v>98479</v>
      </c>
      <c r="I31" s="12">
        <f t="shared" si="13"/>
        <v>59635</v>
      </c>
      <c r="J31" s="12">
        <f t="shared" si="13"/>
        <v>40949</v>
      </c>
      <c r="K31" s="12">
        <f t="shared" si="13"/>
        <v>40949</v>
      </c>
      <c r="L31" s="12">
        <f t="shared" si="13"/>
        <v>40949</v>
      </c>
      <c r="M31" s="12">
        <f t="shared" si="13"/>
        <v>40949</v>
      </c>
      <c r="N31" s="12">
        <f t="shared" si="13"/>
        <v>40949</v>
      </c>
      <c r="O31" s="12">
        <f t="shared" si="13"/>
        <v>40949</v>
      </c>
      <c r="P31" s="12">
        <f t="shared" si="13"/>
        <v>40949</v>
      </c>
      <c r="Q31" s="845">
        <f>Scenarios!C5</f>
        <v>9</v>
      </c>
    </row>
    <row r="32" spans="1:17">
      <c r="A32" s="847" t="s">
        <v>476</v>
      </c>
      <c r="B32" s="33"/>
      <c r="C32" s="679"/>
      <c r="D32" s="679"/>
      <c r="E32" s="679">
        <f t="shared" ref="E32:O32" si="14">E30-E31</f>
        <v>161797.48000000001</v>
      </c>
      <c r="F32" s="680">
        <f t="shared" si="14"/>
        <v>200829.31645000001</v>
      </c>
      <c r="G32" s="680">
        <f t="shared" si="14"/>
        <v>162231.712275</v>
      </c>
      <c r="H32" s="680">
        <f t="shared" si="14"/>
        <v>156098.77426749998</v>
      </c>
      <c r="I32" s="680">
        <f t="shared" si="14"/>
        <v>206216.12344</v>
      </c>
      <c r="J32" s="680">
        <f t="shared" si="14"/>
        <v>221089.13820049999</v>
      </c>
      <c r="K32" s="680">
        <f t="shared" si="14"/>
        <v>222129.99829000002</v>
      </c>
      <c r="L32" s="680">
        <f t="shared" si="14"/>
        <v>222729.31758749997</v>
      </c>
      <c r="M32" s="680">
        <f t="shared" si="14"/>
        <v>223320.02751499997</v>
      </c>
      <c r="N32" s="680">
        <f t="shared" si="14"/>
        <v>214530.27608299998</v>
      </c>
      <c r="O32" s="680">
        <f t="shared" si="14"/>
        <v>215337.28509349996</v>
      </c>
      <c r="P32" s="680">
        <f>P30-P31+Q32</f>
        <v>3504810.7561559998</v>
      </c>
      <c r="Q32" s="681">
        <f>P14*$Q$31</f>
        <v>3288564</v>
      </c>
    </row>
    <row r="33" spans="1:17">
      <c r="A33" s="803"/>
      <c r="D33" s="8"/>
      <c r="E33" s="805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ht="13.5" thickBot="1">
      <c r="Q34" s="12"/>
    </row>
    <row r="35" spans="1:17" ht="15">
      <c r="F35"/>
      <c r="G35" s="145" t="s">
        <v>10</v>
      </c>
      <c r="H35" s="146" t="str">
        <f>(Assumptions!D8-1&amp;" EBITDA")</f>
        <v>2001 EBITDA</v>
      </c>
      <c r="I35" s="146" t="s">
        <v>44</v>
      </c>
      <c r="J35" s="147"/>
      <c r="K35" s="1028" t="s">
        <v>11</v>
      </c>
      <c r="L35" s="1028"/>
      <c r="M35" s="1029"/>
      <c r="P35" s="1"/>
      <c r="Q35" s="1"/>
    </row>
    <row r="36" spans="1:17" ht="15">
      <c r="F36"/>
      <c r="G36" s="148" t="s">
        <v>12</v>
      </c>
      <c r="H36" s="149" t="s">
        <v>18</v>
      </c>
      <c r="I36" s="149" t="s">
        <v>45</v>
      </c>
      <c r="J36" s="150"/>
      <c r="K36" s="151">
        <v>8.8999999999999996E-2</v>
      </c>
      <c r="L36" s="599">
        <f>Scenarios!C6</f>
        <v>7.4999999999999997E-2</v>
      </c>
      <c r="M36" s="152">
        <f>Asset1Drate+0.025</f>
        <v>0.1</v>
      </c>
      <c r="P36" s="1"/>
      <c r="Q36" s="1"/>
    </row>
    <row r="37" spans="1:17">
      <c r="F37" s="8" t="s">
        <v>16</v>
      </c>
      <c r="G37" s="153"/>
      <c r="H37" s="154"/>
      <c r="I37" s="154"/>
      <c r="J37" s="143"/>
      <c r="K37" s="143"/>
      <c r="L37" s="143"/>
      <c r="M37" s="155"/>
      <c r="P37" s="1"/>
      <c r="Q37" s="1"/>
    </row>
    <row r="38" spans="1:17" ht="13.5" thickBot="1">
      <c r="F38">
        <f>IF(ABS(G38-L38)&lt;0.05,0,1)</f>
        <v>0</v>
      </c>
      <c r="G38" s="838">
        <v>2984308.8011700213</v>
      </c>
      <c r="H38" s="182">
        <f>G38/F14</f>
        <v>9.647653965570818</v>
      </c>
      <c r="I38" s="183"/>
      <c r="J38" s="184"/>
      <c r="K38" s="839">
        <f>NPV(K36,$G$32:$P$32)</f>
        <v>2701550.4525594371</v>
      </c>
      <c r="L38" s="881">
        <f>NPV(L36,$G$32:$P$32)</f>
        <v>2984308.8011700213</v>
      </c>
      <c r="M38" s="840">
        <f>NPV(M36,$G$32:$P$32)</f>
        <v>2503339.5935387085</v>
      </c>
      <c r="P38" s="1"/>
      <c r="Q38" s="1"/>
    </row>
    <row r="39" spans="1:17">
      <c r="F39"/>
      <c r="G39" s="12"/>
      <c r="H39" s="144"/>
      <c r="I39" s="144"/>
      <c r="J39" s="12"/>
      <c r="K39" s="70"/>
      <c r="L39" s="70"/>
      <c r="M39" s="70"/>
      <c r="P39" s="1"/>
      <c r="Q39" s="1"/>
    </row>
    <row r="40" spans="1:17">
      <c r="F40" s="12"/>
      <c r="G40" s="1"/>
      <c r="H40" s="1"/>
      <c r="I40" s="1"/>
      <c r="J40" s="1"/>
      <c r="K40" s="1"/>
      <c r="L40" s="1"/>
      <c r="N40" s="1"/>
      <c r="O40" s="1"/>
      <c r="P40" s="1"/>
    </row>
    <row r="41" spans="1:17">
      <c r="E41" s="12"/>
      <c r="F41" s="12"/>
      <c r="G41" s="12"/>
      <c r="I41" s="24"/>
      <c r="J41" s="24"/>
      <c r="K41" s="24"/>
      <c r="L41" s="24"/>
      <c r="M41" s="24"/>
      <c r="N41" s="24"/>
      <c r="O41" s="24"/>
      <c r="P41" s="24"/>
    </row>
    <row r="42" spans="1:17">
      <c r="E42" s="12"/>
      <c r="F42" s="12"/>
      <c r="G42" s="12"/>
      <c r="H42" s="12"/>
      <c r="I42" s="24"/>
      <c r="J42" s="24"/>
      <c r="K42" s="24"/>
      <c r="L42" s="24"/>
      <c r="M42" s="24"/>
      <c r="N42" s="24"/>
      <c r="O42" s="24"/>
      <c r="P42" s="24"/>
    </row>
    <row r="43" spans="1:17" ht="16.5" thickBot="1">
      <c r="A43" s="483" t="s">
        <v>47</v>
      </c>
      <c r="B43" s="379"/>
      <c r="C43" s="379"/>
      <c r="D43" s="379"/>
      <c r="E43" s="379"/>
      <c r="F43" s="379"/>
      <c r="G43" s="379"/>
      <c r="H43" s="379"/>
      <c r="I43" s="379"/>
      <c r="J43" s="379"/>
      <c r="K43" s="379"/>
      <c r="L43" s="379"/>
      <c r="M43" s="379"/>
      <c r="N43" s="379"/>
      <c r="O43" s="379"/>
      <c r="P43" s="379"/>
      <c r="Q43" s="24"/>
    </row>
    <row r="44" spans="1:17" ht="13.5" thickBot="1">
      <c r="B44" s="20" t="s">
        <v>477</v>
      </c>
      <c r="C44" s="806" t="s">
        <v>478</v>
      </c>
      <c r="E44" s="56">
        <v>2000</v>
      </c>
      <c r="F44" s="56">
        <f>G44-1</f>
        <v>2001</v>
      </c>
      <c r="G44" s="6">
        <f>Assumptions!D8</f>
        <v>2002</v>
      </c>
      <c r="H44" s="6">
        <f t="shared" ref="H44:P44" si="15">G44+1</f>
        <v>2003</v>
      </c>
      <c r="I44" s="6">
        <f t="shared" si="15"/>
        <v>2004</v>
      </c>
      <c r="J44" s="6">
        <f t="shared" si="15"/>
        <v>2005</v>
      </c>
      <c r="K44" s="6">
        <f t="shared" si="15"/>
        <v>2006</v>
      </c>
      <c r="L44" s="6">
        <f t="shared" si="15"/>
        <v>2007</v>
      </c>
      <c r="M44" s="6">
        <f t="shared" si="15"/>
        <v>2008</v>
      </c>
      <c r="N44" s="6">
        <f t="shared" si="15"/>
        <v>2009</v>
      </c>
      <c r="O44" s="6">
        <f t="shared" si="15"/>
        <v>2010</v>
      </c>
      <c r="P44" s="6">
        <f t="shared" si="15"/>
        <v>2011</v>
      </c>
    </row>
    <row r="45" spans="1:17" ht="13.5" thickBot="1">
      <c r="A45" s="807" t="str">
        <f>A2</f>
        <v>Northern Border Partners</v>
      </c>
      <c r="B45" s="808">
        <f>Assumptions!C26</f>
        <v>1</v>
      </c>
      <c r="C45" s="809">
        <v>1</v>
      </c>
      <c r="D45" s="33"/>
      <c r="E45" s="44">
        <f>E50*$B$45</f>
        <v>339732</v>
      </c>
      <c r="F45" s="44">
        <f>F50*$B$45</f>
        <v>491411</v>
      </c>
      <c r="G45" s="46">
        <f t="shared" ref="G45:P45" si="16">CHOOSE($C$45,G50,G53,G56)*$B$45+G46</f>
        <v>576963</v>
      </c>
      <c r="H45" s="46">
        <f t="shared" si="16"/>
        <v>590878</v>
      </c>
      <c r="I45" s="46">
        <f t="shared" si="16"/>
        <v>606875</v>
      </c>
      <c r="J45" s="46">
        <f t="shared" si="16"/>
        <v>611153</v>
      </c>
      <c r="K45" s="46">
        <f t="shared" si="16"/>
        <v>611153</v>
      </c>
      <c r="L45" s="46">
        <f t="shared" si="16"/>
        <v>611153</v>
      </c>
      <c r="M45" s="46">
        <f t="shared" si="16"/>
        <v>611153</v>
      </c>
      <c r="N45" s="46">
        <f t="shared" si="16"/>
        <v>611153</v>
      </c>
      <c r="O45" s="46">
        <f t="shared" si="16"/>
        <v>611153</v>
      </c>
      <c r="P45" s="46">
        <f t="shared" si="16"/>
        <v>611153</v>
      </c>
    </row>
    <row r="46" spans="1:17">
      <c r="C46" s="810"/>
      <c r="F46" s="77" t="s">
        <v>479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7">
      <c r="C47" s="811"/>
      <c r="D47" s="797"/>
      <c r="F47" s="77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7">
      <c r="A48" s="7" t="str">
        <f>Assumptions!B33</f>
        <v>1. Base Case</v>
      </c>
      <c r="C48" s="811">
        <v>1</v>
      </c>
    </row>
    <row r="49" spans="1:16" ht="15">
      <c r="C49" s="811"/>
      <c r="D49" s="812"/>
      <c r="E49" s="877">
        <v>339732</v>
      </c>
      <c r="F49" s="873">
        <v>491411</v>
      </c>
      <c r="G49" s="873">
        <v>576963</v>
      </c>
      <c r="H49" s="873">
        <v>590878</v>
      </c>
      <c r="I49" s="873">
        <v>606875</v>
      </c>
      <c r="J49" s="873">
        <v>611153</v>
      </c>
      <c r="K49" s="5">
        <f t="shared" ref="K49:P49" si="17">J49</f>
        <v>611153</v>
      </c>
      <c r="L49" s="5">
        <f t="shared" si="17"/>
        <v>611153</v>
      </c>
      <c r="M49" s="5">
        <f t="shared" si="17"/>
        <v>611153</v>
      </c>
      <c r="N49" s="5">
        <f t="shared" si="17"/>
        <v>611153</v>
      </c>
      <c r="O49" s="5">
        <f t="shared" si="17"/>
        <v>611153</v>
      </c>
      <c r="P49" s="5">
        <f t="shared" si="17"/>
        <v>611153</v>
      </c>
    </row>
    <row r="50" spans="1:16">
      <c r="A50" s="54" t="s">
        <v>0</v>
      </c>
      <c r="B50" s="813">
        <v>1</v>
      </c>
      <c r="C50" s="811"/>
      <c r="D50" s="814"/>
      <c r="E50" s="70">
        <f>SUM(E49:E49)*$B$50</f>
        <v>339732</v>
      </c>
      <c r="F50" s="70">
        <f>SUM(F49:F49)*$B$50</f>
        <v>491411</v>
      </c>
      <c r="G50" s="70">
        <f t="shared" ref="G50:P50" si="18">SUM(G49:G49)*$B$50+G51</f>
        <v>576963</v>
      </c>
      <c r="H50" s="70">
        <f t="shared" si="18"/>
        <v>590878</v>
      </c>
      <c r="I50" s="70">
        <f t="shared" si="18"/>
        <v>606875</v>
      </c>
      <c r="J50" s="70">
        <f t="shared" si="18"/>
        <v>611153</v>
      </c>
      <c r="K50" s="70">
        <f t="shared" si="18"/>
        <v>611153</v>
      </c>
      <c r="L50" s="70">
        <f t="shared" si="18"/>
        <v>611153</v>
      </c>
      <c r="M50" s="70">
        <f t="shared" si="18"/>
        <v>611153</v>
      </c>
      <c r="N50" s="70">
        <f t="shared" si="18"/>
        <v>611153</v>
      </c>
      <c r="O50" s="70">
        <f t="shared" si="18"/>
        <v>611153</v>
      </c>
      <c r="P50" s="70">
        <f t="shared" si="18"/>
        <v>611153</v>
      </c>
    </row>
    <row r="51" spans="1:16">
      <c r="C51" s="811"/>
      <c r="F51" s="77" t="s">
        <v>479</v>
      </c>
      <c r="G51" s="1">
        <v>0</v>
      </c>
      <c r="H51" s="1">
        <v>0</v>
      </c>
      <c r="I51" s="1">
        <f t="shared" ref="I51:P51" si="19">H51</f>
        <v>0</v>
      </c>
      <c r="J51" s="12">
        <f t="shared" si="19"/>
        <v>0</v>
      </c>
      <c r="K51" s="12">
        <f t="shared" si="19"/>
        <v>0</v>
      </c>
      <c r="L51" s="1">
        <f t="shared" si="19"/>
        <v>0</v>
      </c>
      <c r="M51" s="1">
        <f t="shared" si="19"/>
        <v>0</v>
      </c>
      <c r="N51" s="1">
        <f t="shared" si="19"/>
        <v>0</v>
      </c>
      <c r="O51" s="1">
        <f t="shared" si="19"/>
        <v>0</v>
      </c>
      <c r="P51" s="1">
        <f t="shared" si="19"/>
        <v>0</v>
      </c>
    </row>
    <row r="52" spans="1:16" hidden="1" outlineLevel="1">
      <c r="C52" s="811"/>
    </row>
    <row r="53" spans="1:16" hidden="1" outlineLevel="1">
      <c r="A53" s="7" t="str">
        <f>Assumptions!B34</f>
        <v>2. Optimistic</v>
      </c>
      <c r="B53" s="813">
        <v>1.1000000000000001</v>
      </c>
      <c r="C53" s="811">
        <v>2</v>
      </c>
      <c r="D53" s="814"/>
      <c r="F53" s="675">
        <v>376548</v>
      </c>
      <c r="G53" s="876">
        <v>416684</v>
      </c>
      <c r="H53" s="876">
        <v>430053</v>
      </c>
      <c r="I53" s="876">
        <v>436102</v>
      </c>
      <c r="J53" s="876">
        <v>434676</v>
      </c>
      <c r="K53" s="26">
        <f t="shared" ref="K53:P53" si="20">J53*$B$53+K54</f>
        <v>478143.60000000003</v>
      </c>
      <c r="L53" s="26">
        <f t="shared" si="20"/>
        <v>525957.96000000008</v>
      </c>
      <c r="M53" s="26">
        <f t="shared" si="20"/>
        <v>578553.75600000017</v>
      </c>
      <c r="N53" s="26">
        <f t="shared" si="20"/>
        <v>636409.1316000002</v>
      </c>
      <c r="O53" s="26">
        <f t="shared" si="20"/>
        <v>700050.04476000031</v>
      </c>
      <c r="P53" s="26">
        <f t="shared" si="20"/>
        <v>770055.0492360004</v>
      </c>
    </row>
    <row r="54" spans="1:16" hidden="1" outlineLevel="1">
      <c r="C54" s="811"/>
      <c r="F54" s="77" t="s">
        <v>479</v>
      </c>
      <c r="G54" s="1">
        <v>0</v>
      </c>
      <c r="H54" s="1">
        <v>0</v>
      </c>
      <c r="I54" s="1">
        <f t="shared" ref="I54:P54" si="21">H54</f>
        <v>0</v>
      </c>
      <c r="J54" s="12">
        <f t="shared" si="21"/>
        <v>0</v>
      </c>
      <c r="K54" s="12">
        <f t="shared" si="21"/>
        <v>0</v>
      </c>
      <c r="L54" s="1">
        <f t="shared" si="21"/>
        <v>0</v>
      </c>
      <c r="M54" s="1">
        <f t="shared" si="21"/>
        <v>0</v>
      </c>
      <c r="N54" s="1">
        <f t="shared" si="21"/>
        <v>0</v>
      </c>
      <c r="O54" s="1">
        <f t="shared" si="21"/>
        <v>0</v>
      </c>
      <c r="P54" s="1">
        <f t="shared" si="21"/>
        <v>0</v>
      </c>
    </row>
    <row r="55" spans="1:16" hidden="1" outlineLevel="1">
      <c r="C55" s="811"/>
    </row>
    <row r="56" spans="1:16" hidden="1" outlineLevel="1">
      <c r="A56" s="7" t="str">
        <f>Assumptions!B35</f>
        <v>3. Pessimistic</v>
      </c>
      <c r="B56" s="813">
        <v>1</v>
      </c>
      <c r="C56" s="811">
        <v>3</v>
      </c>
      <c r="D56" s="814"/>
      <c r="F56" s="70">
        <f>F50</f>
        <v>491411</v>
      </c>
      <c r="G56" s="26">
        <f>G50</f>
        <v>576963</v>
      </c>
      <c r="H56" s="26">
        <f>H50</f>
        <v>590878</v>
      </c>
      <c r="I56" s="26">
        <f t="shared" ref="I56:P56" si="22">H56*$B$56+I57</f>
        <v>590878</v>
      </c>
      <c r="J56" s="26">
        <f t="shared" si="22"/>
        <v>590878</v>
      </c>
      <c r="K56" s="26">
        <f t="shared" si="22"/>
        <v>590878</v>
      </c>
      <c r="L56" s="26">
        <f t="shared" si="22"/>
        <v>590878</v>
      </c>
      <c r="M56" s="26">
        <f t="shared" si="22"/>
        <v>590878</v>
      </c>
      <c r="N56" s="26">
        <f t="shared" si="22"/>
        <v>590878</v>
      </c>
      <c r="O56" s="26">
        <f t="shared" si="22"/>
        <v>590878</v>
      </c>
      <c r="P56" s="26">
        <f t="shared" si="22"/>
        <v>590878</v>
      </c>
    </row>
    <row r="57" spans="1:16" ht="13.5" hidden="1" outlineLevel="1" thickBot="1">
      <c r="C57" s="815"/>
      <c r="F57" s="77" t="s">
        <v>479</v>
      </c>
      <c r="G57" s="1">
        <v>0</v>
      </c>
      <c r="H57" s="1">
        <v>0</v>
      </c>
      <c r="I57" s="1">
        <f t="shared" ref="I57:P57" si="23">H57</f>
        <v>0</v>
      </c>
      <c r="J57" s="12">
        <f t="shared" si="23"/>
        <v>0</v>
      </c>
      <c r="K57" s="12">
        <f t="shared" si="23"/>
        <v>0</v>
      </c>
      <c r="L57" s="1">
        <f t="shared" si="23"/>
        <v>0</v>
      </c>
      <c r="M57" s="1">
        <f t="shared" si="23"/>
        <v>0</v>
      </c>
      <c r="N57" s="1">
        <f t="shared" si="23"/>
        <v>0</v>
      </c>
      <c r="O57" s="1">
        <f t="shared" si="23"/>
        <v>0</v>
      </c>
      <c r="P57" s="1">
        <f t="shared" si="23"/>
        <v>0</v>
      </c>
    </row>
    <row r="58" spans="1:16" hidden="1" outlineLevel="1"/>
    <row r="59" spans="1:16" collapsed="1"/>
    <row r="60" spans="1:16" ht="16.5" thickBot="1">
      <c r="A60" s="483" t="s">
        <v>480</v>
      </c>
      <c r="B60" s="379"/>
      <c r="C60" s="379"/>
      <c r="D60" s="379"/>
      <c r="E60" s="379"/>
      <c r="F60" s="379"/>
      <c r="G60" s="379"/>
      <c r="H60" s="379"/>
      <c r="I60" s="379"/>
      <c r="J60" s="379"/>
      <c r="K60" s="379"/>
      <c r="L60" s="379"/>
      <c r="M60" s="379"/>
      <c r="N60" s="379"/>
      <c r="O60" s="379"/>
      <c r="P60" s="379"/>
    </row>
    <row r="61" spans="1:16" ht="13.5" thickBot="1">
      <c r="B61" s="20" t="s">
        <v>477</v>
      </c>
      <c r="C61" s="806" t="s">
        <v>478</v>
      </c>
      <c r="F61" s="56">
        <f>G61-1</f>
        <v>2001</v>
      </c>
      <c r="G61" s="6">
        <f>Assumptions!D8</f>
        <v>2002</v>
      </c>
      <c r="H61" s="6">
        <f t="shared" ref="H61:P61" si="24">G61+1</f>
        <v>2003</v>
      </c>
      <c r="I61" s="6">
        <f t="shared" si="24"/>
        <v>2004</v>
      </c>
      <c r="J61" s="6">
        <f t="shared" si="24"/>
        <v>2005</v>
      </c>
      <c r="K61" s="6">
        <f t="shared" si="24"/>
        <v>2006</v>
      </c>
      <c r="L61" s="6">
        <f t="shared" si="24"/>
        <v>2007</v>
      </c>
      <c r="M61" s="6">
        <f t="shared" si="24"/>
        <v>2008</v>
      </c>
      <c r="N61" s="6">
        <f t="shared" si="24"/>
        <v>2009</v>
      </c>
      <c r="O61" s="6">
        <f t="shared" si="24"/>
        <v>2010</v>
      </c>
      <c r="P61" s="6">
        <f t="shared" si="24"/>
        <v>2011</v>
      </c>
    </row>
    <row r="62" spans="1:16" ht="13.5" thickBot="1">
      <c r="A62" s="807" t="str">
        <f>A2</f>
        <v>Northern Border Partners</v>
      </c>
      <c r="B62" s="808">
        <f>Assumptions!C26</f>
        <v>1</v>
      </c>
      <c r="C62" s="816">
        <v>1</v>
      </c>
      <c r="D62" s="33"/>
      <c r="E62" s="870">
        <f>E68*$B$62</f>
        <v>90731</v>
      </c>
      <c r="F62" s="870">
        <f>F68*$B$62</f>
        <v>182081</v>
      </c>
      <c r="G62" s="46">
        <f t="shared" ref="G62:P62" si="25">CHOOSE($C$62,G68,G71,G74)*$B$62+G63</f>
        <v>234850</v>
      </c>
      <c r="H62" s="46">
        <f t="shared" si="25"/>
        <v>243830</v>
      </c>
      <c r="I62" s="46">
        <f t="shared" si="25"/>
        <v>246767</v>
      </c>
      <c r="J62" s="46">
        <f t="shared" si="25"/>
        <v>245757</v>
      </c>
      <c r="K62" s="46">
        <f t="shared" si="25"/>
        <v>245757</v>
      </c>
      <c r="L62" s="46">
        <f t="shared" si="25"/>
        <v>245757</v>
      </c>
      <c r="M62" s="46">
        <f t="shared" si="25"/>
        <v>245757</v>
      </c>
      <c r="N62" s="46">
        <f t="shared" si="25"/>
        <v>245757</v>
      </c>
      <c r="O62" s="46">
        <f t="shared" si="25"/>
        <v>245757</v>
      </c>
      <c r="P62" s="46">
        <f t="shared" si="25"/>
        <v>245757</v>
      </c>
    </row>
    <row r="63" spans="1:16">
      <c r="C63" s="817"/>
      <c r="F63" s="77" t="s">
        <v>479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>
      <c r="C64" s="818"/>
      <c r="D64" s="797"/>
      <c r="E64" s="800"/>
    </row>
    <row r="65" spans="1:16">
      <c r="A65" s="7" t="str">
        <f>Assumptions!B39</f>
        <v>1. Base Case</v>
      </c>
      <c r="C65" s="818"/>
    </row>
    <row r="66" spans="1:16">
      <c r="C66" s="818"/>
    </row>
    <row r="67" spans="1:16" ht="15">
      <c r="C67" s="818"/>
      <c r="D67" s="814"/>
      <c r="E67" s="873">
        <f>62097+28634</f>
        <v>90731</v>
      </c>
      <c r="F67" s="873">
        <v>182081</v>
      </c>
      <c r="G67" s="873">
        <v>234850</v>
      </c>
      <c r="H67" s="874">
        <v>243830</v>
      </c>
      <c r="I67" s="874">
        <v>246767</v>
      </c>
      <c r="J67" s="874">
        <v>245757</v>
      </c>
      <c r="K67" s="32">
        <f t="shared" ref="K67:P67" si="26">J67</f>
        <v>245757</v>
      </c>
      <c r="L67" s="32">
        <f t="shared" si="26"/>
        <v>245757</v>
      </c>
      <c r="M67" s="32">
        <f t="shared" si="26"/>
        <v>245757</v>
      </c>
      <c r="N67" s="32">
        <f t="shared" si="26"/>
        <v>245757</v>
      </c>
      <c r="O67" s="32">
        <f t="shared" si="26"/>
        <v>245757</v>
      </c>
      <c r="P67" s="32">
        <f t="shared" si="26"/>
        <v>245757</v>
      </c>
    </row>
    <row r="68" spans="1:16">
      <c r="A68" s="54" t="s">
        <v>0</v>
      </c>
      <c r="B68" s="819">
        <v>1</v>
      </c>
      <c r="C68" s="811">
        <v>1</v>
      </c>
      <c r="D68" s="814"/>
      <c r="E68" s="820">
        <f>SUM(E67:E67)</f>
        <v>90731</v>
      </c>
      <c r="F68" s="820">
        <f>SUM(F67:F67)</f>
        <v>182081</v>
      </c>
      <c r="G68" s="820">
        <f t="shared" ref="G68:P68" si="27">SUM(G67:G67)*$B$68+G69</f>
        <v>234850</v>
      </c>
      <c r="H68" s="820">
        <f t="shared" si="27"/>
        <v>243830</v>
      </c>
      <c r="I68" s="820">
        <f t="shared" si="27"/>
        <v>246767</v>
      </c>
      <c r="J68" s="820">
        <f t="shared" si="27"/>
        <v>245757</v>
      </c>
      <c r="K68" s="820">
        <f t="shared" si="27"/>
        <v>245757</v>
      </c>
      <c r="L68" s="820">
        <f t="shared" si="27"/>
        <v>245757</v>
      </c>
      <c r="M68" s="820">
        <f t="shared" si="27"/>
        <v>245757</v>
      </c>
      <c r="N68" s="820">
        <f t="shared" si="27"/>
        <v>245757</v>
      </c>
      <c r="O68" s="820">
        <f t="shared" si="27"/>
        <v>245757</v>
      </c>
      <c r="P68" s="820">
        <f t="shared" si="27"/>
        <v>245757</v>
      </c>
    </row>
    <row r="69" spans="1:16">
      <c r="C69" s="818"/>
      <c r="F69" s="77" t="s">
        <v>479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hidden="1" outlineLevel="1">
      <c r="C70" s="818"/>
    </row>
    <row r="71" spans="1:16" hidden="1" outlineLevel="1">
      <c r="A71" s="7" t="str">
        <f>Assumptions!B40</f>
        <v>2. Optimistic</v>
      </c>
      <c r="B71" s="819">
        <v>1</v>
      </c>
      <c r="C71" s="811">
        <v>2</v>
      </c>
      <c r="D71" s="814"/>
      <c r="F71" s="875">
        <v>104114</v>
      </c>
      <c r="G71" s="876">
        <v>129842</v>
      </c>
      <c r="H71" s="876">
        <v>143404</v>
      </c>
      <c r="I71" s="876">
        <v>145938</v>
      </c>
      <c r="J71" s="876">
        <v>144533</v>
      </c>
      <c r="K71" s="26">
        <f t="shared" ref="K71:P71" si="28">J71*$B$71+K72</f>
        <v>144533</v>
      </c>
      <c r="L71" s="26">
        <f t="shared" si="28"/>
        <v>144533</v>
      </c>
      <c r="M71" s="26">
        <f t="shared" si="28"/>
        <v>144533</v>
      </c>
      <c r="N71" s="26">
        <f t="shared" si="28"/>
        <v>144533</v>
      </c>
      <c r="O71" s="26">
        <f t="shared" si="28"/>
        <v>144533</v>
      </c>
      <c r="P71" s="26">
        <f t="shared" si="28"/>
        <v>144533</v>
      </c>
    </row>
    <row r="72" spans="1:16" hidden="1" outlineLevel="1">
      <c r="C72" s="821"/>
      <c r="F72" s="77" t="s">
        <v>479</v>
      </c>
      <c r="G72" s="1">
        <v>0</v>
      </c>
      <c r="H72" s="1">
        <v>0</v>
      </c>
      <c r="I72" s="1">
        <f t="shared" ref="I72:P72" si="29">H72</f>
        <v>0</v>
      </c>
      <c r="J72" s="12">
        <f t="shared" si="29"/>
        <v>0</v>
      </c>
      <c r="K72" s="12">
        <f t="shared" si="29"/>
        <v>0</v>
      </c>
      <c r="L72" s="1">
        <f t="shared" si="29"/>
        <v>0</v>
      </c>
      <c r="M72" s="1">
        <f t="shared" si="29"/>
        <v>0</v>
      </c>
      <c r="N72" s="1">
        <f t="shared" si="29"/>
        <v>0</v>
      </c>
      <c r="O72" s="1">
        <f t="shared" si="29"/>
        <v>0</v>
      </c>
      <c r="P72" s="1">
        <f t="shared" si="29"/>
        <v>0</v>
      </c>
    </row>
    <row r="73" spans="1:16" hidden="1" outlineLevel="1">
      <c r="C73" s="821"/>
    </row>
    <row r="74" spans="1:16" hidden="1" outlineLevel="1">
      <c r="A74" s="7" t="str">
        <f>Assumptions!B41</f>
        <v>3. Pessimistic</v>
      </c>
      <c r="B74" s="819">
        <v>1.1000000000000001</v>
      </c>
      <c r="C74" s="811">
        <v>3</v>
      </c>
      <c r="D74" s="814"/>
      <c r="F74" s="820">
        <f>F68</f>
        <v>182081</v>
      </c>
      <c r="G74" s="26">
        <f>G68</f>
        <v>234850</v>
      </c>
      <c r="H74" s="26">
        <f>H68</f>
        <v>243830</v>
      </c>
      <c r="I74" s="26">
        <f t="shared" ref="I74:P74" si="30">H74*$B$74+I75</f>
        <v>268213</v>
      </c>
      <c r="J74" s="26">
        <f t="shared" si="30"/>
        <v>295034.30000000005</v>
      </c>
      <c r="K74" s="26">
        <f t="shared" si="30"/>
        <v>324537.7300000001</v>
      </c>
      <c r="L74" s="26">
        <f t="shared" si="30"/>
        <v>356991.50300000014</v>
      </c>
      <c r="M74" s="26">
        <f t="shared" si="30"/>
        <v>392690.65330000018</v>
      </c>
      <c r="N74" s="26">
        <f t="shared" si="30"/>
        <v>431959.71863000025</v>
      </c>
      <c r="O74" s="26">
        <f t="shared" si="30"/>
        <v>475155.69049300032</v>
      </c>
      <c r="P74" s="26">
        <f t="shared" si="30"/>
        <v>522671.25954230042</v>
      </c>
    </row>
    <row r="75" spans="1:16" ht="13.5" hidden="1" outlineLevel="1" thickBot="1">
      <c r="C75" s="815"/>
      <c r="F75" s="77" t="s">
        <v>479</v>
      </c>
      <c r="G75" s="1">
        <v>0</v>
      </c>
      <c r="H75" s="1">
        <v>0</v>
      </c>
      <c r="I75" s="1">
        <f t="shared" ref="I75:P75" si="31">H75</f>
        <v>0</v>
      </c>
      <c r="J75" s="12">
        <f t="shared" si="31"/>
        <v>0</v>
      </c>
      <c r="K75" s="12">
        <f t="shared" si="31"/>
        <v>0</v>
      </c>
      <c r="L75" s="1">
        <f t="shared" si="31"/>
        <v>0</v>
      </c>
      <c r="M75" s="1">
        <f t="shared" si="31"/>
        <v>0</v>
      </c>
      <c r="N75" s="1">
        <f t="shared" si="31"/>
        <v>0</v>
      </c>
      <c r="O75" s="1">
        <f t="shared" si="31"/>
        <v>0</v>
      </c>
      <c r="P75" s="1">
        <f t="shared" si="31"/>
        <v>0</v>
      </c>
    </row>
    <row r="76" spans="1:16" collapsed="1">
      <c r="C76" s="34"/>
      <c r="F76" s="77"/>
      <c r="G76" s="1"/>
      <c r="H76" s="1"/>
      <c r="I76" s="1"/>
      <c r="J76" s="12"/>
      <c r="K76" s="12"/>
      <c r="L76" s="1"/>
      <c r="M76" s="1"/>
      <c r="N76" s="1"/>
      <c r="O76" s="1"/>
      <c r="P76" s="1"/>
    </row>
    <row r="77" spans="1:16" ht="15.75">
      <c r="A77" s="483" t="s">
        <v>17</v>
      </c>
      <c r="B77" s="379"/>
      <c r="C77" s="379"/>
      <c r="D77" s="379"/>
      <c r="E77" s="379"/>
      <c r="F77" s="379"/>
      <c r="G77" s="379"/>
      <c r="H77" s="379"/>
      <c r="I77" s="379"/>
      <c r="J77" s="379"/>
      <c r="K77" s="379"/>
      <c r="L77" s="379"/>
      <c r="M77" s="379"/>
      <c r="N77" s="379"/>
      <c r="O77" s="379"/>
      <c r="P77" s="379"/>
    </row>
    <row r="78" spans="1:16">
      <c r="A78" t="s">
        <v>481</v>
      </c>
      <c r="C78" s="34"/>
      <c r="F78" s="77"/>
      <c r="G78" s="1"/>
      <c r="H78" s="1"/>
      <c r="I78" s="1"/>
      <c r="J78" s="12"/>
      <c r="K78" s="12"/>
      <c r="L78" s="1"/>
      <c r="M78" s="1"/>
      <c r="N78" s="1"/>
      <c r="O78" s="1"/>
      <c r="P78" s="1"/>
    </row>
    <row r="79" spans="1:16">
      <c r="A79" t="s">
        <v>482</v>
      </c>
      <c r="C79" s="34"/>
      <c r="F79" s="77"/>
      <c r="G79" s="1"/>
      <c r="H79" s="1"/>
      <c r="I79" s="1"/>
      <c r="J79" s="12"/>
      <c r="K79" s="12"/>
      <c r="L79" s="1"/>
      <c r="M79" s="1"/>
      <c r="N79" s="1"/>
      <c r="O79" s="1"/>
      <c r="P79" s="1"/>
    </row>
    <row r="80" spans="1:16">
      <c r="A80" s="8" t="s">
        <v>0</v>
      </c>
      <c r="E80" s="871">
        <v>19721</v>
      </c>
      <c r="F80" s="875">
        <v>27594</v>
      </c>
      <c r="G80" s="876">
        <v>87226</v>
      </c>
      <c r="H80" s="876">
        <v>98479</v>
      </c>
      <c r="I80" s="876">
        <v>59635</v>
      </c>
      <c r="J80" s="876">
        <v>40949</v>
      </c>
      <c r="K80" s="26">
        <f t="shared" ref="K80:P80" si="32">J80</f>
        <v>40949</v>
      </c>
      <c r="L80" s="26">
        <f t="shared" si="32"/>
        <v>40949</v>
      </c>
      <c r="M80" s="26">
        <f t="shared" si="32"/>
        <v>40949</v>
      </c>
      <c r="N80" s="26">
        <f t="shared" si="32"/>
        <v>40949</v>
      </c>
      <c r="O80" s="26">
        <f t="shared" si="32"/>
        <v>40949</v>
      </c>
      <c r="P80" s="26">
        <f t="shared" si="32"/>
        <v>40949</v>
      </c>
    </row>
    <row r="81" spans="1:18">
      <c r="A81" s="8"/>
    </row>
    <row r="82" spans="1:18">
      <c r="A82" s="8"/>
      <c r="E82" s="256">
        <v>2000</v>
      </c>
      <c r="F82" s="256">
        <v>2001</v>
      </c>
      <c r="G82" s="289">
        <v>2002</v>
      </c>
      <c r="H82" s="289">
        <v>2003</v>
      </c>
      <c r="I82" s="289">
        <v>2004</v>
      </c>
      <c r="J82" s="289">
        <v>2005</v>
      </c>
      <c r="K82" s="289">
        <v>2006</v>
      </c>
      <c r="L82" s="293">
        <v>2007</v>
      </c>
      <c r="M82" s="293">
        <v>2008</v>
      </c>
      <c r="N82" s="293">
        <v>2009</v>
      </c>
      <c r="O82" s="293">
        <v>2010</v>
      </c>
      <c r="P82" s="465">
        <v>2011</v>
      </c>
    </row>
    <row r="83" spans="1:18" ht="15.75">
      <c r="A83" s="483" t="s">
        <v>483</v>
      </c>
      <c r="B83" s="379"/>
      <c r="C83" s="379"/>
      <c r="D83" s="379"/>
      <c r="E83" s="379"/>
      <c r="F83" s="379"/>
      <c r="G83" s="379"/>
      <c r="H83" s="379"/>
      <c r="I83" s="379"/>
      <c r="J83" s="379"/>
      <c r="K83" s="379"/>
      <c r="L83" s="379"/>
      <c r="M83" s="379"/>
      <c r="N83" s="379"/>
      <c r="O83" s="379"/>
      <c r="P83" s="379"/>
    </row>
    <row r="84" spans="1:18">
      <c r="A84" s="67" t="s">
        <v>33</v>
      </c>
      <c r="B84" s="23"/>
      <c r="C84" s="854">
        <v>2454918</v>
      </c>
      <c r="D84" s="12"/>
      <c r="E84" s="45"/>
      <c r="F84" s="947">
        <f>Assumptions!G26</f>
        <v>2.2499999999999999E-2</v>
      </c>
      <c r="G84" s="944">
        <f>F84</f>
        <v>2.2499999999999999E-2</v>
      </c>
      <c r="H84" s="944">
        <f t="shared" ref="H84:P84" si="33">G84</f>
        <v>2.2499999999999999E-2</v>
      </c>
      <c r="I84" s="944">
        <f t="shared" si="33"/>
        <v>2.2499999999999999E-2</v>
      </c>
      <c r="J84" s="944">
        <f t="shared" si="33"/>
        <v>2.2499999999999999E-2</v>
      </c>
      <c r="K84" s="944">
        <f t="shared" si="33"/>
        <v>2.2499999999999999E-2</v>
      </c>
      <c r="L84" s="944">
        <f t="shared" si="33"/>
        <v>2.2499999999999999E-2</v>
      </c>
      <c r="M84" s="944">
        <f t="shared" si="33"/>
        <v>2.2499999999999999E-2</v>
      </c>
      <c r="N84" s="944">
        <f t="shared" si="33"/>
        <v>2.2499999999999999E-2</v>
      </c>
      <c r="O84" s="944">
        <f t="shared" si="33"/>
        <v>2.2499999999999999E-2</v>
      </c>
      <c r="P84" s="945">
        <f t="shared" si="33"/>
        <v>2.2499999999999999E-2</v>
      </c>
    </row>
    <row r="85" spans="1:18">
      <c r="A85" s="2" t="s">
        <v>472</v>
      </c>
      <c r="C85" s="72"/>
      <c r="D85" s="72"/>
      <c r="E85" s="45"/>
      <c r="F85" s="12">
        <f>C84*F84</f>
        <v>55235.654999999999</v>
      </c>
      <c r="G85" s="29">
        <f>F85</f>
        <v>55235.654999999999</v>
      </c>
      <c r="H85" s="29">
        <f t="shared" ref="H85:P85" si="34">+G85</f>
        <v>55235.654999999999</v>
      </c>
      <c r="I85" s="29">
        <f t="shared" si="34"/>
        <v>55235.654999999999</v>
      </c>
      <c r="J85" s="29">
        <f t="shared" si="34"/>
        <v>55235.654999999999</v>
      </c>
      <c r="K85" s="29">
        <f t="shared" si="34"/>
        <v>55235.654999999999</v>
      </c>
      <c r="L85" s="29">
        <f t="shared" si="34"/>
        <v>55235.654999999999</v>
      </c>
      <c r="M85" s="29">
        <f t="shared" si="34"/>
        <v>55235.654999999999</v>
      </c>
      <c r="N85" s="29">
        <f t="shared" si="34"/>
        <v>55235.654999999999</v>
      </c>
      <c r="O85" s="29">
        <f t="shared" si="34"/>
        <v>55235.654999999999</v>
      </c>
      <c r="P85" s="29">
        <f t="shared" si="34"/>
        <v>55235.654999999999</v>
      </c>
    </row>
    <row r="86" spans="1:18" ht="15">
      <c r="A86" s="2" t="s">
        <v>9</v>
      </c>
      <c r="E86" s="45"/>
      <c r="F86" s="5">
        <f>F108</f>
        <v>443.72249999999997</v>
      </c>
      <c r="G86" s="5">
        <f t="shared" ref="G86:P86" si="35">G108</f>
        <v>1064.5875000000001</v>
      </c>
      <c r="H86" s="5">
        <f t="shared" si="35"/>
        <v>3027.1725000000001</v>
      </c>
      <c r="I86" s="5">
        <f t="shared" si="35"/>
        <v>5242.95</v>
      </c>
      <c r="J86" s="5">
        <f t="shared" si="35"/>
        <v>6584.7374999999993</v>
      </c>
      <c r="K86" s="5">
        <f t="shared" si="35"/>
        <v>7506.0899999999992</v>
      </c>
      <c r="L86" s="5">
        <f t="shared" si="35"/>
        <v>8427.4424999999992</v>
      </c>
      <c r="M86" s="5">
        <f t="shared" si="35"/>
        <v>9348.7949999999983</v>
      </c>
      <c r="N86" s="5">
        <f t="shared" si="35"/>
        <v>10270.147499999999</v>
      </c>
      <c r="O86" s="5">
        <f t="shared" si="35"/>
        <v>11191.5</v>
      </c>
      <c r="P86" s="5">
        <f t="shared" si="35"/>
        <v>12112.852500000001</v>
      </c>
    </row>
    <row r="87" spans="1:18">
      <c r="A87" s="38" t="s">
        <v>0</v>
      </c>
      <c r="B87" s="6"/>
      <c r="C87" s="942">
        <v>43899</v>
      </c>
      <c r="D87" s="942">
        <v>54895</v>
      </c>
      <c r="E87" s="872">
        <v>61054</v>
      </c>
      <c r="F87" s="69">
        <f t="shared" ref="F87:P87" si="36">SUM(F85:F86)</f>
        <v>55679.377500000002</v>
      </c>
      <c r="G87" s="69">
        <f t="shared" si="36"/>
        <v>56300.2425</v>
      </c>
      <c r="H87" s="69">
        <f t="shared" si="36"/>
        <v>58262.827499999999</v>
      </c>
      <c r="I87" s="69">
        <f t="shared" si="36"/>
        <v>60478.604999999996</v>
      </c>
      <c r="J87" s="860">
        <f t="shared" si="36"/>
        <v>61820.392500000002</v>
      </c>
      <c r="K87" s="860">
        <f t="shared" si="36"/>
        <v>62741.744999999995</v>
      </c>
      <c r="L87" s="69">
        <f t="shared" si="36"/>
        <v>63663.097499999996</v>
      </c>
      <c r="M87" s="69">
        <f t="shared" si="36"/>
        <v>64584.45</v>
      </c>
      <c r="N87" s="69">
        <f t="shared" si="36"/>
        <v>65505.802499999998</v>
      </c>
      <c r="O87" s="69">
        <f t="shared" si="36"/>
        <v>66427.154999999999</v>
      </c>
      <c r="P87" s="69">
        <f t="shared" si="36"/>
        <v>67348.507500000007</v>
      </c>
    </row>
    <row r="88" spans="1:18">
      <c r="A88" s="1"/>
      <c r="E88" s="45"/>
      <c r="F88" s="12"/>
      <c r="G88" s="1"/>
      <c r="H88" s="1"/>
      <c r="I88" s="1"/>
      <c r="J88" s="12"/>
      <c r="K88" s="12"/>
      <c r="L88" s="1"/>
      <c r="M88" s="1"/>
      <c r="N88" s="1"/>
      <c r="O88" s="1"/>
      <c r="P88" s="1"/>
    </row>
    <row r="89" spans="1:18">
      <c r="A89" s="69" t="s">
        <v>7</v>
      </c>
      <c r="E89" s="45"/>
      <c r="F89" s="787">
        <v>0.04</v>
      </c>
      <c r="G89" s="788">
        <v>0.04</v>
      </c>
      <c r="H89" s="788">
        <v>0.04</v>
      </c>
      <c r="I89" s="788">
        <f t="shared" ref="I89:P89" si="37">H89</f>
        <v>0.04</v>
      </c>
      <c r="J89" s="788">
        <v>0.03</v>
      </c>
      <c r="K89" s="788">
        <f t="shared" si="37"/>
        <v>0.03</v>
      </c>
      <c r="L89" s="788">
        <f t="shared" si="37"/>
        <v>0.03</v>
      </c>
      <c r="M89" s="788">
        <f t="shared" si="37"/>
        <v>0.03</v>
      </c>
      <c r="N89" s="788">
        <v>0.02</v>
      </c>
      <c r="O89" s="788">
        <f t="shared" si="37"/>
        <v>0.02</v>
      </c>
      <c r="P89" s="788">
        <f t="shared" si="37"/>
        <v>0.02</v>
      </c>
    </row>
    <row r="90" spans="1:18">
      <c r="A90" s="69"/>
      <c r="E90" s="45"/>
      <c r="F90" s="50">
        <v>0.05</v>
      </c>
      <c r="G90" s="51">
        <v>9.5000000000000001E-2</v>
      </c>
      <c r="H90" s="51">
        <v>8.5500000000000007E-2</v>
      </c>
      <c r="I90" s="51">
        <v>7.6999999999999999E-2</v>
      </c>
      <c r="J90" s="51">
        <v>6.93E-2</v>
      </c>
      <c r="K90" s="51">
        <v>6.2300000000000001E-2</v>
      </c>
      <c r="L90" s="51">
        <v>5.8999999999999997E-2</v>
      </c>
      <c r="M90" s="51">
        <v>5.8999999999999997E-2</v>
      </c>
      <c r="N90" s="51">
        <v>5.91E-2</v>
      </c>
      <c r="O90" s="51">
        <v>5.8999999999999997E-2</v>
      </c>
      <c r="P90" s="52">
        <v>5.91E-2</v>
      </c>
    </row>
    <row r="91" spans="1:18">
      <c r="A91" s="2" t="s">
        <v>472</v>
      </c>
      <c r="B91" s="14"/>
      <c r="E91" s="45"/>
      <c r="F91" s="1">
        <f>F89*$C$84</f>
        <v>98196.72</v>
      </c>
      <c r="G91" s="1">
        <f t="shared" ref="G91:P91" si="38">G89*$C$84</f>
        <v>98196.72</v>
      </c>
      <c r="H91" s="1">
        <f t="shared" si="38"/>
        <v>98196.72</v>
      </c>
      <c r="I91" s="1">
        <f t="shared" si="38"/>
        <v>98196.72</v>
      </c>
      <c r="J91" s="1">
        <f t="shared" si="38"/>
        <v>73647.539999999994</v>
      </c>
      <c r="K91" s="1">
        <f t="shared" si="38"/>
        <v>73647.539999999994</v>
      </c>
      <c r="L91" s="1">
        <f t="shared" si="38"/>
        <v>73647.539999999994</v>
      </c>
      <c r="M91" s="1">
        <f t="shared" si="38"/>
        <v>73647.539999999994</v>
      </c>
      <c r="N91" s="1">
        <f t="shared" si="38"/>
        <v>49098.36</v>
      </c>
      <c r="O91" s="1">
        <f t="shared" si="38"/>
        <v>49098.36</v>
      </c>
      <c r="P91" s="1">
        <f t="shared" si="38"/>
        <v>49098.36</v>
      </c>
    </row>
    <row r="92" spans="1:18" ht="15">
      <c r="A92" s="2" t="s">
        <v>9</v>
      </c>
      <c r="B92" s="15"/>
      <c r="E92" s="802"/>
      <c r="F92" s="5">
        <f>F121</f>
        <v>986.05000000000007</v>
      </c>
      <c r="G92" s="5">
        <f t="shared" ref="G92:P92" si="39">G121</f>
        <v>3253.1950000000002</v>
      </c>
      <c r="H92" s="5">
        <f t="shared" si="39"/>
        <v>8668.8755000000001</v>
      </c>
      <c r="I92" s="5">
        <f t="shared" si="39"/>
        <v>17088.224000000002</v>
      </c>
      <c r="J92" s="5">
        <f t="shared" si="39"/>
        <v>23286.481299999999</v>
      </c>
      <c r="K92" s="5">
        <f t="shared" si="39"/>
        <v>25990.014000000003</v>
      </c>
      <c r="L92" s="5">
        <f t="shared" si="39"/>
        <v>27546.6875</v>
      </c>
      <c r="M92" s="5">
        <f t="shared" si="39"/>
        <v>29080.999</v>
      </c>
      <c r="N92" s="5">
        <f t="shared" si="39"/>
        <v>30799.6558</v>
      </c>
      <c r="O92" s="5">
        <f t="shared" si="39"/>
        <v>32895.783100000001</v>
      </c>
      <c r="P92" s="5">
        <f t="shared" si="39"/>
        <v>35258.045599999998</v>
      </c>
    </row>
    <row r="93" spans="1:18">
      <c r="A93" s="38" t="s">
        <v>0</v>
      </c>
      <c r="B93" s="6"/>
      <c r="C93" s="6"/>
      <c r="D93" s="6"/>
      <c r="E93" s="862"/>
      <c r="F93" s="69">
        <f t="shared" ref="F93:P93" si="40">SUM(F91:F92)</f>
        <v>99182.77</v>
      </c>
      <c r="G93" s="69">
        <f t="shared" si="40"/>
        <v>101449.91500000001</v>
      </c>
      <c r="H93" s="69">
        <f t="shared" si="40"/>
        <v>106865.5955</v>
      </c>
      <c r="I93" s="69">
        <f t="shared" si="40"/>
        <v>115284.944</v>
      </c>
      <c r="J93" s="860">
        <f t="shared" si="40"/>
        <v>96934.021299999993</v>
      </c>
      <c r="K93" s="860">
        <f t="shared" si="40"/>
        <v>99637.554000000004</v>
      </c>
      <c r="L93" s="69">
        <f t="shared" si="40"/>
        <v>101194.22749999999</v>
      </c>
      <c r="M93" s="69">
        <f t="shared" si="40"/>
        <v>102728.53899999999</v>
      </c>
      <c r="N93" s="69">
        <f t="shared" si="40"/>
        <v>79898.015799999994</v>
      </c>
      <c r="O93" s="69">
        <f t="shared" si="40"/>
        <v>81994.143100000001</v>
      </c>
      <c r="P93" s="69">
        <f t="shared" si="40"/>
        <v>84356.405599999998</v>
      </c>
    </row>
    <row r="94" spans="1:18">
      <c r="E94" s="25">
        <v>10000</v>
      </c>
      <c r="F94" s="25">
        <f>(F93-F87)*0.385</f>
        <v>16748.806112500002</v>
      </c>
      <c r="G94" s="25">
        <f t="shared" ref="G94:P94" si="41">(G93-G87)*0.385</f>
        <v>17382.623912500003</v>
      </c>
      <c r="H94" s="25">
        <f t="shared" si="41"/>
        <v>18712.06568</v>
      </c>
      <c r="I94" s="25">
        <f t="shared" si="41"/>
        <v>21100.440515000002</v>
      </c>
      <c r="J94" s="25">
        <f t="shared" si="41"/>
        <v>13518.747087999996</v>
      </c>
      <c r="K94" s="25">
        <f t="shared" si="41"/>
        <v>14204.886465000003</v>
      </c>
      <c r="L94" s="25">
        <f t="shared" si="41"/>
        <v>14449.485049999999</v>
      </c>
      <c r="M94" s="25">
        <f t="shared" si="41"/>
        <v>14685.474264999997</v>
      </c>
      <c r="N94" s="25">
        <f t="shared" si="41"/>
        <v>5541.0021204999985</v>
      </c>
      <c r="O94" s="25">
        <f t="shared" si="41"/>
        <v>5993.2904185000007</v>
      </c>
      <c r="P94" s="25">
        <f t="shared" si="41"/>
        <v>6548.0407684999964</v>
      </c>
    </row>
    <row r="95" spans="1:18" hidden="1" outlineLevel="1">
      <c r="A95" t="s">
        <v>506</v>
      </c>
      <c r="G95" s="24"/>
    </row>
    <row r="96" spans="1:18" hidden="1" outlineLevel="1">
      <c r="F96" s="256">
        <v>2001</v>
      </c>
      <c r="G96" s="289">
        <v>2002</v>
      </c>
      <c r="H96" s="289">
        <v>2003</v>
      </c>
      <c r="I96" s="289">
        <v>2004</v>
      </c>
      <c r="J96" s="289">
        <v>2005</v>
      </c>
      <c r="K96" s="289">
        <v>2006</v>
      </c>
      <c r="L96" s="293">
        <v>2007</v>
      </c>
      <c r="M96" s="293">
        <v>2008</v>
      </c>
      <c r="N96" s="293">
        <v>2009</v>
      </c>
      <c r="O96" s="293">
        <v>2010</v>
      </c>
      <c r="P96" s="858">
        <v>2011</v>
      </c>
      <c r="Q96" s="290"/>
      <c r="R96" s="861"/>
    </row>
    <row r="97" spans="1:18" hidden="1" outlineLevel="1">
      <c r="A97">
        <v>2000</v>
      </c>
      <c r="B97" t="s">
        <v>507</v>
      </c>
      <c r="F97" s="26">
        <f>F84*E80</f>
        <v>443.72249999999997</v>
      </c>
      <c r="G97" s="26">
        <f>F97</f>
        <v>443.72249999999997</v>
      </c>
      <c r="H97" s="26">
        <f t="shared" ref="H97:P97" si="42">G97</f>
        <v>443.72249999999997</v>
      </c>
      <c r="I97" s="26">
        <f t="shared" si="42"/>
        <v>443.72249999999997</v>
      </c>
      <c r="J97" s="26">
        <f t="shared" si="42"/>
        <v>443.72249999999997</v>
      </c>
      <c r="K97" s="26">
        <f t="shared" si="42"/>
        <v>443.72249999999997</v>
      </c>
      <c r="L97" s="26">
        <f t="shared" si="42"/>
        <v>443.72249999999997</v>
      </c>
      <c r="M97" s="26">
        <f t="shared" si="42"/>
        <v>443.72249999999997</v>
      </c>
      <c r="N97" s="26">
        <f t="shared" si="42"/>
        <v>443.72249999999997</v>
      </c>
      <c r="O97" s="26">
        <f t="shared" si="42"/>
        <v>443.72249999999997</v>
      </c>
      <c r="P97" s="26">
        <f t="shared" si="42"/>
        <v>443.72249999999997</v>
      </c>
      <c r="Q97" s="88"/>
      <c r="R97" s="88"/>
    </row>
    <row r="98" spans="1:18" hidden="1" outlineLevel="1">
      <c r="A98">
        <v>2001</v>
      </c>
      <c r="B98" t="s">
        <v>507</v>
      </c>
      <c r="F98" s="26"/>
      <c r="G98" s="26">
        <f>G$84*F$80</f>
        <v>620.86500000000001</v>
      </c>
      <c r="H98" s="26">
        <f>G98</f>
        <v>620.86500000000001</v>
      </c>
      <c r="I98" s="26">
        <f t="shared" ref="I98:P98" si="43">H98</f>
        <v>620.86500000000001</v>
      </c>
      <c r="J98" s="26">
        <f t="shared" si="43"/>
        <v>620.86500000000001</v>
      </c>
      <c r="K98" s="26">
        <f t="shared" si="43"/>
        <v>620.86500000000001</v>
      </c>
      <c r="L98" s="26">
        <f t="shared" si="43"/>
        <v>620.86500000000001</v>
      </c>
      <c r="M98" s="26">
        <f t="shared" si="43"/>
        <v>620.86500000000001</v>
      </c>
      <c r="N98" s="26">
        <f t="shared" si="43"/>
        <v>620.86500000000001</v>
      </c>
      <c r="O98" s="26">
        <f t="shared" si="43"/>
        <v>620.86500000000001</v>
      </c>
      <c r="P98" s="26">
        <f t="shared" si="43"/>
        <v>620.86500000000001</v>
      </c>
      <c r="Q98" s="88"/>
      <c r="R98" s="88"/>
    </row>
    <row r="99" spans="1:18" hidden="1" outlineLevel="1">
      <c r="A99">
        <v>2002</v>
      </c>
      <c r="B99" t="s">
        <v>507</v>
      </c>
      <c r="F99" s="26"/>
      <c r="G99" s="26"/>
      <c r="H99" s="26">
        <f>H$84*G$80</f>
        <v>1962.585</v>
      </c>
      <c r="I99" s="26">
        <f>H99</f>
        <v>1962.585</v>
      </c>
      <c r="J99" s="26">
        <f t="shared" ref="J99:P99" si="44">I99</f>
        <v>1962.585</v>
      </c>
      <c r="K99" s="26">
        <f t="shared" si="44"/>
        <v>1962.585</v>
      </c>
      <c r="L99" s="26">
        <f t="shared" si="44"/>
        <v>1962.585</v>
      </c>
      <c r="M99" s="26">
        <f t="shared" si="44"/>
        <v>1962.585</v>
      </c>
      <c r="N99" s="26">
        <f t="shared" si="44"/>
        <v>1962.585</v>
      </c>
      <c r="O99" s="26">
        <f t="shared" si="44"/>
        <v>1962.585</v>
      </c>
      <c r="P99" s="26">
        <f t="shared" si="44"/>
        <v>1962.585</v>
      </c>
      <c r="Q99" s="88"/>
      <c r="R99" s="88"/>
    </row>
    <row r="100" spans="1:18" hidden="1" outlineLevel="1">
      <c r="A100">
        <v>2003</v>
      </c>
      <c r="B100" t="s">
        <v>507</v>
      </c>
      <c r="F100" s="26"/>
      <c r="G100" s="26"/>
      <c r="H100" s="26"/>
      <c r="I100" s="26">
        <f>I$84*H$80</f>
        <v>2215.7774999999997</v>
      </c>
      <c r="J100" s="26">
        <f>I100</f>
        <v>2215.7774999999997</v>
      </c>
      <c r="K100" s="26">
        <f t="shared" ref="K100:P100" si="45">J100</f>
        <v>2215.7774999999997</v>
      </c>
      <c r="L100" s="26">
        <f t="shared" si="45"/>
        <v>2215.7774999999997</v>
      </c>
      <c r="M100" s="26">
        <f t="shared" si="45"/>
        <v>2215.7774999999997</v>
      </c>
      <c r="N100" s="26">
        <f t="shared" si="45"/>
        <v>2215.7774999999997</v>
      </c>
      <c r="O100" s="26">
        <f t="shared" si="45"/>
        <v>2215.7774999999997</v>
      </c>
      <c r="P100" s="26">
        <f t="shared" si="45"/>
        <v>2215.7774999999997</v>
      </c>
      <c r="Q100" s="88"/>
      <c r="R100" s="88"/>
    </row>
    <row r="101" spans="1:18" hidden="1" outlineLevel="1">
      <c r="A101">
        <v>2004</v>
      </c>
      <c r="B101" t="s">
        <v>507</v>
      </c>
      <c r="F101" s="26"/>
      <c r="G101" s="26"/>
      <c r="H101" s="26"/>
      <c r="I101" s="26"/>
      <c r="J101" s="26">
        <f>J$84*I$80</f>
        <v>1341.7874999999999</v>
      </c>
      <c r="K101" s="26">
        <f t="shared" ref="K101:P101" si="46">J101</f>
        <v>1341.7874999999999</v>
      </c>
      <c r="L101" s="26">
        <f t="shared" si="46"/>
        <v>1341.7874999999999</v>
      </c>
      <c r="M101" s="26">
        <f t="shared" si="46"/>
        <v>1341.7874999999999</v>
      </c>
      <c r="N101" s="26">
        <f t="shared" si="46"/>
        <v>1341.7874999999999</v>
      </c>
      <c r="O101" s="26">
        <f t="shared" si="46"/>
        <v>1341.7874999999999</v>
      </c>
      <c r="P101" s="26">
        <f t="shared" si="46"/>
        <v>1341.7874999999999</v>
      </c>
      <c r="Q101" s="88"/>
      <c r="R101" s="88"/>
    </row>
    <row r="102" spans="1:18" hidden="1" outlineLevel="1">
      <c r="A102">
        <v>2005</v>
      </c>
      <c r="B102" t="s">
        <v>507</v>
      </c>
      <c r="F102" s="26"/>
      <c r="G102" s="26"/>
      <c r="H102" s="26"/>
      <c r="I102" s="26"/>
      <c r="J102" s="26"/>
      <c r="K102" s="26">
        <f>K$84*J$80</f>
        <v>921.35249999999996</v>
      </c>
      <c r="L102" s="26">
        <f>K102</f>
        <v>921.35249999999996</v>
      </c>
      <c r="M102" s="26">
        <f>L102</f>
        <v>921.35249999999996</v>
      </c>
      <c r="N102" s="26">
        <f>M102</f>
        <v>921.35249999999996</v>
      </c>
      <c r="O102" s="26">
        <f>N102</f>
        <v>921.35249999999996</v>
      </c>
      <c r="P102" s="26">
        <f>O102</f>
        <v>921.35249999999996</v>
      </c>
      <c r="Q102" s="88"/>
      <c r="R102" s="88"/>
    </row>
    <row r="103" spans="1:18" hidden="1" outlineLevel="1">
      <c r="A103">
        <v>2006</v>
      </c>
      <c r="B103" t="s">
        <v>507</v>
      </c>
      <c r="F103" s="26"/>
      <c r="G103" s="26"/>
      <c r="H103" s="26"/>
      <c r="I103" s="26"/>
      <c r="J103" s="26"/>
      <c r="K103" s="26"/>
      <c r="L103" s="26">
        <f>L$84*K$80</f>
        <v>921.35249999999996</v>
      </c>
      <c r="M103" s="26">
        <f>L103</f>
        <v>921.35249999999996</v>
      </c>
      <c r="N103" s="26">
        <f>M103</f>
        <v>921.35249999999996</v>
      </c>
      <c r="O103" s="26">
        <f>N103</f>
        <v>921.35249999999996</v>
      </c>
      <c r="P103" s="26">
        <f>O103</f>
        <v>921.35249999999996</v>
      </c>
      <c r="Q103" s="88"/>
      <c r="R103" s="88"/>
    </row>
    <row r="104" spans="1:18" hidden="1" outlineLevel="1">
      <c r="A104">
        <v>2007</v>
      </c>
      <c r="B104" t="s">
        <v>507</v>
      </c>
      <c r="F104" s="26"/>
      <c r="G104" s="26"/>
      <c r="H104" s="26"/>
      <c r="I104" s="26"/>
      <c r="J104" s="26"/>
      <c r="K104" s="26"/>
      <c r="L104" s="26"/>
      <c r="M104" s="26">
        <f>M$84*L$80</f>
        <v>921.35249999999996</v>
      </c>
      <c r="N104" s="26">
        <f>M104</f>
        <v>921.35249999999996</v>
      </c>
      <c r="O104" s="26">
        <f>N104</f>
        <v>921.35249999999996</v>
      </c>
      <c r="P104" s="26">
        <f>O104</f>
        <v>921.35249999999996</v>
      </c>
      <c r="Q104" s="88"/>
      <c r="R104" s="88"/>
    </row>
    <row r="105" spans="1:18" hidden="1" outlineLevel="1">
      <c r="A105">
        <v>2008</v>
      </c>
      <c r="B105" t="s">
        <v>507</v>
      </c>
      <c r="F105" s="26"/>
      <c r="G105" s="26"/>
      <c r="H105" s="26"/>
      <c r="I105" s="26"/>
      <c r="J105" s="26"/>
      <c r="K105" s="26"/>
      <c r="L105" s="26"/>
      <c r="M105" s="26"/>
      <c r="N105" s="26">
        <f>N$84*M$80</f>
        <v>921.35249999999996</v>
      </c>
      <c r="O105" s="26">
        <f>N105</f>
        <v>921.35249999999996</v>
      </c>
      <c r="P105" s="26">
        <f>O105</f>
        <v>921.35249999999996</v>
      </c>
      <c r="Q105" s="88"/>
      <c r="R105" s="88"/>
    </row>
    <row r="106" spans="1:18" hidden="1" outlineLevel="1">
      <c r="A106">
        <v>2009</v>
      </c>
      <c r="B106" t="s">
        <v>507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>
        <f>O$84*N$80</f>
        <v>921.35249999999996</v>
      </c>
      <c r="P106" s="26">
        <f>O106</f>
        <v>921.35249999999996</v>
      </c>
      <c r="Q106" s="88"/>
      <c r="R106" s="88"/>
    </row>
    <row r="107" spans="1:18" hidden="1" outlineLevel="1">
      <c r="A107">
        <v>2010</v>
      </c>
      <c r="B107" t="s">
        <v>507</v>
      </c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>
        <f>P$84*O$80</f>
        <v>921.35249999999996</v>
      </c>
      <c r="Q107" s="88"/>
      <c r="R107" s="88"/>
    </row>
    <row r="108" spans="1:18" hidden="1" outlineLevel="1">
      <c r="A108" t="s">
        <v>221</v>
      </c>
      <c r="F108" s="859">
        <f t="shared" ref="F108:P108" si="47">SUM(F97:F107)</f>
        <v>443.72249999999997</v>
      </c>
      <c r="G108" s="859">
        <f t="shared" si="47"/>
        <v>1064.5875000000001</v>
      </c>
      <c r="H108" s="859">
        <f t="shared" si="47"/>
        <v>3027.1725000000001</v>
      </c>
      <c r="I108" s="859">
        <f t="shared" si="47"/>
        <v>5242.95</v>
      </c>
      <c r="J108" s="859">
        <f t="shared" si="47"/>
        <v>6584.7374999999993</v>
      </c>
      <c r="K108" s="859">
        <f t="shared" si="47"/>
        <v>7506.0899999999992</v>
      </c>
      <c r="L108" s="859">
        <f t="shared" si="47"/>
        <v>8427.4424999999992</v>
      </c>
      <c r="M108" s="859">
        <f t="shared" si="47"/>
        <v>9348.7949999999983</v>
      </c>
      <c r="N108" s="859">
        <f t="shared" si="47"/>
        <v>10270.147499999999</v>
      </c>
      <c r="O108" s="859">
        <f t="shared" si="47"/>
        <v>11191.5</v>
      </c>
      <c r="P108" s="859">
        <f t="shared" si="47"/>
        <v>12112.852500000001</v>
      </c>
      <c r="Q108" s="88"/>
      <c r="R108" s="88"/>
    </row>
    <row r="109" spans="1:18" hidden="1" outlineLevel="1"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88"/>
      <c r="R109" s="88"/>
    </row>
    <row r="110" spans="1:18" hidden="1" outlineLevel="1">
      <c r="A110">
        <v>2000</v>
      </c>
      <c r="B110" t="s">
        <v>507</v>
      </c>
      <c r="F110" s="26">
        <f>$E$80*F$90</f>
        <v>986.05000000000007</v>
      </c>
      <c r="G110" s="26">
        <f t="shared" ref="G110:P110" si="48">$E$80*G$90</f>
        <v>1873.4950000000001</v>
      </c>
      <c r="H110" s="26">
        <f t="shared" si="48"/>
        <v>1686.1455000000001</v>
      </c>
      <c r="I110" s="26">
        <f t="shared" si="48"/>
        <v>1518.5170000000001</v>
      </c>
      <c r="J110" s="26">
        <f t="shared" si="48"/>
        <v>1366.6653000000001</v>
      </c>
      <c r="K110" s="26">
        <f t="shared" si="48"/>
        <v>1228.6183000000001</v>
      </c>
      <c r="L110" s="26">
        <f t="shared" si="48"/>
        <v>1163.539</v>
      </c>
      <c r="M110" s="26">
        <f t="shared" si="48"/>
        <v>1163.539</v>
      </c>
      <c r="N110" s="26">
        <f t="shared" si="48"/>
        <v>1165.5110999999999</v>
      </c>
      <c r="O110" s="26">
        <f t="shared" si="48"/>
        <v>1163.539</v>
      </c>
      <c r="P110" s="26">
        <f t="shared" si="48"/>
        <v>1165.5110999999999</v>
      </c>
      <c r="Q110" s="88"/>
      <c r="R110" s="88"/>
    </row>
    <row r="111" spans="1:18" hidden="1" outlineLevel="1">
      <c r="A111">
        <v>2001</v>
      </c>
      <c r="B111" t="s">
        <v>507</v>
      </c>
      <c r="F111" s="26"/>
      <c r="G111" s="26">
        <f>$F$80*F$90</f>
        <v>1379.7</v>
      </c>
      <c r="H111" s="26">
        <f t="shared" ref="H111:P111" si="49">$F$80*G$90</f>
        <v>2621.4299999999998</v>
      </c>
      <c r="I111" s="26">
        <f t="shared" si="49"/>
        <v>2359.2870000000003</v>
      </c>
      <c r="J111" s="26">
        <f t="shared" si="49"/>
        <v>2124.7379999999998</v>
      </c>
      <c r="K111" s="26">
        <f t="shared" si="49"/>
        <v>1912.2642000000001</v>
      </c>
      <c r="L111" s="26">
        <f t="shared" si="49"/>
        <v>1719.1061999999999</v>
      </c>
      <c r="M111" s="26">
        <f t="shared" si="49"/>
        <v>1628.0459999999998</v>
      </c>
      <c r="N111" s="26">
        <f t="shared" si="49"/>
        <v>1628.0459999999998</v>
      </c>
      <c r="O111" s="26">
        <f t="shared" si="49"/>
        <v>1630.8054</v>
      </c>
      <c r="P111" s="26">
        <f t="shared" si="49"/>
        <v>1628.0459999999998</v>
      </c>
      <c r="Q111" s="88"/>
      <c r="R111" s="88"/>
    </row>
    <row r="112" spans="1:18" hidden="1" outlineLevel="1">
      <c r="A112">
        <v>2002</v>
      </c>
      <c r="B112" t="s">
        <v>507</v>
      </c>
      <c r="F112" s="26"/>
      <c r="G112" s="26"/>
      <c r="H112" s="26">
        <f>$G$80*F$90</f>
        <v>4361.3</v>
      </c>
      <c r="I112" s="26">
        <f t="shared" ref="I112:P112" si="50">$G$80*G$90</f>
        <v>8286.4699999999993</v>
      </c>
      <c r="J112" s="26">
        <f t="shared" si="50"/>
        <v>7457.8230000000003</v>
      </c>
      <c r="K112" s="26">
        <f t="shared" si="50"/>
        <v>6716.402</v>
      </c>
      <c r="L112" s="26">
        <f t="shared" si="50"/>
        <v>6044.7618000000002</v>
      </c>
      <c r="M112" s="26">
        <f t="shared" si="50"/>
        <v>5434.1797999999999</v>
      </c>
      <c r="N112" s="26">
        <f t="shared" si="50"/>
        <v>5146.3339999999998</v>
      </c>
      <c r="O112" s="26">
        <f t="shared" si="50"/>
        <v>5146.3339999999998</v>
      </c>
      <c r="P112" s="26">
        <f t="shared" si="50"/>
        <v>5155.0565999999999</v>
      </c>
      <c r="Q112" s="88"/>
      <c r="R112" s="88"/>
    </row>
    <row r="113" spans="1:18" hidden="1" outlineLevel="1">
      <c r="A113">
        <v>2003</v>
      </c>
      <c r="B113" t="s">
        <v>507</v>
      </c>
      <c r="F113" s="26"/>
      <c r="G113" s="26"/>
      <c r="H113" s="26"/>
      <c r="I113" s="26">
        <f>$H$80*F$90</f>
        <v>4923.9500000000007</v>
      </c>
      <c r="J113" s="26">
        <f t="shared" ref="J113:P113" si="51">$H$80*G$90</f>
        <v>9355.505000000001</v>
      </c>
      <c r="K113" s="26">
        <f t="shared" si="51"/>
        <v>8419.9544999999998</v>
      </c>
      <c r="L113" s="26">
        <f t="shared" si="51"/>
        <v>7582.8829999999998</v>
      </c>
      <c r="M113" s="26">
        <f t="shared" si="51"/>
        <v>6824.5946999999996</v>
      </c>
      <c r="N113" s="26">
        <f t="shared" si="51"/>
        <v>6135.2417000000005</v>
      </c>
      <c r="O113" s="26">
        <f t="shared" si="51"/>
        <v>5810.2609999999995</v>
      </c>
      <c r="P113" s="26">
        <f t="shared" si="51"/>
        <v>5810.2609999999995</v>
      </c>
      <c r="Q113" s="88"/>
      <c r="R113" s="88"/>
    </row>
    <row r="114" spans="1:18" hidden="1" outlineLevel="1">
      <c r="A114">
        <v>2004</v>
      </c>
      <c r="B114" t="s">
        <v>507</v>
      </c>
      <c r="F114" s="26"/>
      <c r="G114" s="26"/>
      <c r="H114" s="26"/>
      <c r="I114" s="26"/>
      <c r="J114" s="26">
        <f>$I$80*F$90</f>
        <v>2981.75</v>
      </c>
      <c r="K114" s="26">
        <f t="shared" ref="K114:P114" si="52">$I$80*G$90</f>
        <v>5665.3249999999998</v>
      </c>
      <c r="L114" s="26">
        <f t="shared" si="52"/>
        <v>5098.7925000000005</v>
      </c>
      <c r="M114" s="26">
        <f t="shared" si="52"/>
        <v>4591.8949999999995</v>
      </c>
      <c r="N114" s="26">
        <f t="shared" si="52"/>
        <v>4132.7055</v>
      </c>
      <c r="O114" s="26">
        <f t="shared" si="52"/>
        <v>3715.2604999999999</v>
      </c>
      <c r="P114" s="26">
        <f t="shared" si="52"/>
        <v>3518.4649999999997</v>
      </c>
      <c r="Q114" s="88"/>
      <c r="R114" s="88"/>
    </row>
    <row r="115" spans="1:18" hidden="1" outlineLevel="1">
      <c r="A115">
        <v>2005</v>
      </c>
      <c r="B115" t="s">
        <v>507</v>
      </c>
      <c r="F115" s="26"/>
      <c r="G115" s="26"/>
      <c r="H115" s="26"/>
      <c r="I115" s="26"/>
      <c r="J115" s="26"/>
      <c r="K115" s="26">
        <f t="shared" ref="K115:P115" si="53">$J$80*F$90</f>
        <v>2047.45</v>
      </c>
      <c r="L115" s="26">
        <f t="shared" si="53"/>
        <v>3890.1550000000002</v>
      </c>
      <c r="M115" s="26">
        <f t="shared" si="53"/>
        <v>3501.1395000000002</v>
      </c>
      <c r="N115" s="26">
        <f t="shared" si="53"/>
        <v>3153.0729999999999</v>
      </c>
      <c r="O115" s="26">
        <f t="shared" si="53"/>
        <v>2837.7656999999999</v>
      </c>
      <c r="P115" s="26">
        <f t="shared" si="53"/>
        <v>2551.1226999999999</v>
      </c>
      <c r="Q115" s="88"/>
      <c r="R115" s="88"/>
    </row>
    <row r="116" spans="1:18" hidden="1" outlineLevel="1">
      <c r="A116">
        <v>2006</v>
      </c>
      <c r="B116" t="s">
        <v>507</v>
      </c>
      <c r="F116" s="26"/>
      <c r="G116" s="26"/>
      <c r="H116" s="26"/>
      <c r="I116" s="26"/>
      <c r="J116" s="26"/>
      <c r="K116" s="26"/>
      <c r="L116" s="26">
        <f>$K$80*F$90</f>
        <v>2047.45</v>
      </c>
      <c r="M116" s="26">
        <f>$K$80*G$90</f>
        <v>3890.1550000000002</v>
      </c>
      <c r="N116" s="26">
        <f>$K$80*H$90</f>
        <v>3501.1395000000002</v>
      </c>
      <c r="O116" s="26">
        <f>$K$80*I$90</f>
        <v>3153.0729999999999</v>
      </c>
      <c r="P116" s="26">
        <f>$K$80*J$90</f>
        <v>2837.7656999999999</v>
      </c>
      <c r="Q116" s="88"/>
      <c r="R116" s="88"/>
    </row>
    <row r="117" spans="1:18" hidden="1" outlineLevel="1">
      <c r="A117">
        <v>2007</v>
      </c>
      <c r="B117" t="s">
        <v>507</v>
      </c>
      <c r="F117" s="26"/>
      <c r="G117" s="26"/>
      <c r="H117" s="26"/>
      <c r="I117" s="26"/>
      <c r="J117" s="26"/>
      <c r="K117" s="26"/>
      <c r="L117" s="26"/>
      <c r="M117" s="26">
        <f>$L$80*F$90</f>
        <v>2047.45</v>
      </c>
      <c r="N117" s="26">
        <f>$L$80*G$90</f>
        <v>3890.1550000000002</v>
      </c>
      <c r="O117" s="26">
        <f>$L$80*H$90</f>
        <v>3501.1395000000002</v>
      </c>
      <c r="P117" s="26">
        <f>$L$80*I$90</f>
        <v>3153.0729999999999</v>
      </c>
      <c r="Q117" s="88"/>
      <c r="R117" s="88"/>
    </row>
    <row r="118" spans="1:18" hidden="1" outlineLevel="1">
      <c r="A118">
        <v>2008</v>
      </c>
      <c r="B118" t="s">
        <v>507</v>
      </c>
      <c r="F118" s="26"/>
      <c r="G118" s="26"/>
      <c r="H118" s="26"/>
      <c r="I118" s="26"/>
      <c r="J118" s="26"/>
      <c r="K118" s="26"/>
      <c r="L118" s="26"/>
      <c r="M118" s="26"/>
      <c r="N118" s="26">
        <f>$M$80*F$90</f>
        <v>2047.45</v>
      </c>
      <c r="O118" s="26">
        <f>$M$80*G$90</f>
        <v>3890.1550000000002</v>
      </c>
      <c r="P118" s="26">
        <f>$M$80*H$90</f>
        <v>3501.1395000000002</v>
      </c>
      <c r="Q118" s="88"/>
      <c r="R118" s="88"/>
    </row>
    <row r="119" spans="1:18" hidden="1" outlineLevel="1">
      <c r="A119">
        <v>2009</v>
      </c>
      <c r="B119" t="s">
        <v>507</v>
      </c>
      <c r="F119" s="26"/>
      <c r="G119" s="26"/>
      <c r="H119" s="26"/>
      <c r="I119" s="26"/>
      <c r="J119" s="26"/>
      <c r="K119" s="26"/>
      <c r="L119" s="26"/>
      <c r="M119" s="26"/>
      <c r="N119" s="26"/>
      <c r="O119" s="26">
        <f>$N$80*F$90</f>
        <v>2047.45</v>
      </c>
      <c r="P119" s="26">
        <f>$N$80*G$90</f>
        <v>3890.1550000000002</v>
      </c>
      <c r="Q119" s="88"/>
      <c r="R119" s="88"/>
    </row>
    <row r="120" spans="1:18" hidden="1" outlineLevel="1">
      <c r="A120">
        <v>2010</v>
      </c>
      <c r="B120" t="s">
        <v>507</v>
      </c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>
        <f>O$80*$F$90</f>
        <v>2047.45</v>
      </c>
      <c r="Q120" s="88"/>
      <c r="R120" s="88"/>
    </row>
    <row r="121" spans="1:18" hidden="1" outlineLevel="1">
      <c r="F121" s="859">
        <f t="shared" ref="F121:P121" si="54">SUM(F110:F120)</f>
        <v>986.05000000000007</v>
      </c>
      <c r="G121" s="859">
        <f t="shared" si="54"/>
        <v>3253.1950000000002</v>
      </c>
      <c r="H121" s="859">
        <f t="shared" si="54"/>
        <v>8668.8755000000001</v>
      </c>
      <c r="I121" s="859">
        <f t="shared" si="54"/>
        <v>17088.224000000002</v>
      </c>
      <c r="J121" s="859">
        <f t="shared" si="54"/>
        <v>23286.481299999999</v>
      </c>
      <c r="K121" s="859">
        <f t="shared" si="54"/>
        <v>25990.014000000003</v>
      </c>
      <c r="L121" s="859">
        <f t="shared" si="54"/>
        <v>27546.6875</v>
      </c>
      <c r="M121" s="859">
        <f t="shared" si="54"/>
        <v>29080.999</v>
      </c>
      <c r="N121" s="859">
        <f t="shared" si="54"/>
        <v>30799.6558</v>
      </c>
      <c r="O121" s="859">
        <f t="shared" si="54"/>
        <v>32895.783100000001</v>
      </c>
      <c r="P121" s="859">
        <f t="shared" si="54"/>
        <v>35258.045599999998</v>
      </c>
      <c r="Q121" s="88"/>
      <c r="R121" s="88"/>
    </row>
    <row r="122" spans="1:18" collapsed="1"/>
  </sheetData>
  <mergeCells count="1">
    <mergeCell ref="K35:M35"/>
  </mergeCells>
  <phoneticPr fontId="0" type="noConversion"/>
  <conditionalFormatting sqref="D71 D74 D56 D53 D49:D50 D67:D68">
    <cfRule type="cellIs" dxfId="3" priority="1" stopIfTrue="1" operator="notBetween">
      <formula>0.25</formula>
      <formula>-0.25</formula>
    </cfRule>
  </conditionalFormatting>
  <pageMargins left="0" right="0" top="0" bottom="0.25" header="0" footer="0"/>
  <pageSetup scale="53" orientation="landscape" horizontalDpi="300" verticalDpi="300" r:id="rId1"/>
  <headerFooter alignWithMargins="0">
    <oddFooter>&amp;L&amp;F&amp;C&amp;A&amp;R&amp;D, &amp;T</oddFooter>
  </headerFooter>
  <rowBreaks count="1" manualBreakCount="1">
    <brk id="80" max="16383" man="1"/>
  </rowBreak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pageSetUpPr fitToPage="1"/>
  </sheetPr>
  <dimension ref="A1:S156"/>
  <sheetViews>
    <sheetView topLeftCell="C22" zoomScale="75" zoomScaleNormal="75" zoomScaleSheetLayoutView="50" workbookViewId="0">
      <selection activeCell="G60" sqref="G60"/>
    </sheetView>
  </sheetViews>
  <sheetFormatPr defaultRowHeight="12.75" outlineLevelRow="1" outlineLevelCol="1"/>
  <cols>
    <col min="1" max="1" width="29.28515625" customWidth="1"/>
    <col min="2" max="2" width="15.85546875" customWidth="1" outlineLevel="1"/>
    <col min="3" max="3" width="12.85546875" customWidth="1" outlineLevel="1"/>
    <col min="4" max="5" width="14.85546875" style="24" bestFit="1" customWidth="1"/>
    <col min="6" max="6" width="16.7109375" style="24" bestFit="1" customWidth="1"/>
    <col min="7" max="7" width="16.85546875" customWidth="1"/>
    <col min="8" max="10" width="15.5703125" bestFit="1" customWidth="1"/>
    <col min="11" max="11" width="12.85546875" customWidth="1"/>
    <col min="12" max="12" width="14" customWidth="1"/>
    <col min="13" max="14" width="13.42578125" customWidth="1"/>
    <col min="15" max="16" width="15.5703125" bestFit="1" customWidth="1"/>
    <col min="17" max="17" width="17.85546875" bestFit="1" customWidth="1"/>
    <col min="18" max="18" width="13.42578125" customWidth="1"/>
  </cols>
  <sheetData>
    <row r="1" spans="1:19" ht="20.25">
      <c r="A1" s="714" t="str">
        <f>"Project "&amp;Assumptions!D6</f>
        <v>Project ETS</v>
      </c>
      <c r="B1" s="114"/>
      <c r="C1" s="115"/>
      <c r="D1" s="56"/>
      <c r="E1" s="56"/>
      <c r="F1" s="468" t="s">
        <v>103</v>
      </c>
      <c r="G1" s="481"/>
      <c r="H1" s="467"/>
    </row>
    <row r="2" spans="1:19" ht="15.75">
      <c r="A2" s="715" t="s">
        <v>485</v>
      </c>
      <c r="B2" s="141"/>
      <c r="C2" s="117"/>
      <c r="D2" s="45"/>
      <c r="E2" s="45"/>
      <c r="F2" s="482"/>
      <c r="G2" s="54"/>
      <c r="H2" s="156"/>
      <c r="I2" s="54"/>
      <c r="R2" s="24"/>
    </row>
    <row r="3" spans="1:19" ht="16.5" thickBot="1">
      <c r="A3" s="639" t="s">
        <v>346</v>
      </c>
      <c r="B3" s="640"/>
      <c r="C3" s="121"/>
      <c r="D3" s="45"/>
      <c r="E3" s="45"/>
      <c r="F3" s="482"/>
      <c r="G3" s="34"/>
      <c r="H3" s="156"/>
      <c r="I3" s="54"/>
      <c r="R3" s="24"/>
    </row>
    <row r="4" spans="1:19" ht="13.5" thickBot="1">
      <c r="A4" s="142"/>
      <c r="B4" s="141"/>
      <c r="D4" s="45"/>
      <c r="E4" s="45"/>
      <c r="F4" s="157"/>
      <c r="G4" s="158"/>
      <c r="H4" s="159"/>
      <c r="I4" s="54"/>
      <c r="R4" s="24"/>
    </row>
    <row r="5" spans="1:19">
      <c r="A5" s="142"/>
      <c r="B5" s="141"/>
      <c r="D5" s="45"/>
      <c r="E5" s="45"/>
      <c r="F5" s="43"/>
      <c r="G5" s="54"/>
      <c r="H5" s="54"/>
      <c r="I5" s="54"/>
      <c r="R5" s="24"/>
    </row>
    <row r="6" spans="1:19" ht="15.75">
      <c r="A6" s="483" t="s">
        <v>54</v>
      </c>
      <c r="B6" s="484"/>
      <c r="C6" s="412"/>
      <c r="D6" s="485"/>
      <c r="E6" s="485"/>
      <c r="F6" s="412"/>
      <c r="G6" s="486"/>
      <c r="H6" s="486"/>
      <c r="I6" s="486"/>
      <c r="J6" s="412"/>
      <c r="K6" s="412"/>
      <c r="L6" s="412"/>
      <c r="M6" s="412"/>
      <c r="N6" s="412"/>
      <c r="O6" s="412"/>
      <c r="P6" s="412"/>
      <c r="Q6" s="412"/>
      <c r="R6" s="662"/>
    </row>
    <row r="7" spans="1:19">
      <c r="D7" s="480"/>
      <c r="E7" s="480"/>
      <c r="F7" s="323"/>
      <c r="G7" s="309" t="s">
        <v>203</v>
      </c>
      <c r="H7" s="328"/>
      <c r="I7" s="323"/>
      <c r="J7" s="323"/>
      <c r="K7" s="246"/>
      <c r="L7" s="323"/>
      <c r="M7" s="246"/>
      <c r="N7" s="246"/>
      <c r="O7" s="246"/>
      <c r="P7" s="246"/>
      <c r="Q7" s="292"/>
      <c r="R7" s="31"/>
      <c r="S7" s="31"/>
    </row>
    <row r="8" spans="1:19">
      <c r="D8" s="256">
        <v>1998</v>
      </c>
      <c r="E8" s="256">
        <v>1999</v>
      </c>
      <c r="F8" s="256">
        <v>2000</v>
      </c>
      <c r="G8" s="256">
        <v>2001</v>
      </c>
      <c r="H8" s="289">
        <v>2002</v>
      </c>
      <c r="I8" s="289">
        <v>2003</v>
      </c>
      <c r="J8" s="289">
        <v>2004</v>
      </c>
      <c r="K8" s="289">
        <v>2005</v>
      </c>
      <c r="L8" s="289">
        <v>2006</v>
      </c>
      <c r="M8" s="293">
        <v>2007</v>
      </c>
      <c r="N8" s="293">
        <v>2008</v>
      </c>
      <c r="O8" s="293">
        <v>2009</v>
      </c>
      <c r="P8" s="293">
        <v>2010</v>
      </c>
      <c r="Q8" s="465">
        <v>2011</v>
      </c>
      <c r="R8" s="1"/>
      <c r="S8" s="1"/>
    </row>
    <row r="9" spans="1:19">
      <c r="F9" s="348" t="s">
        <v>213</v>
      </c>
      <c r="G9" s="256">
        <v>1</v>
      </c>
      <c r="H9" s="289">
        <v>2</v>
      </c>
      <c r="I9" s="289">
        <v>3</v>
      </c>
      <c r="J9" s="289">
        <v>4</v>
      </c>
      <c r="K9" s="289">
        <v>5</v>
      </c>
      <c r="L9" s="289">
        <v>6</v>
      </c>
      <c r="M9" s="289">
        <v>7</v>
      </c>
      <c r="N9" s="289">
        <v>8</v>
      </c>
      <c r="O9" s="289">
        <v>9</v>
      </c>
      <c r="P9" s="289">
        <v>10</v>
      </c>
      <c r="Q9" s="389">
        <v>11</v>
      </c>
      <c r="R9" s="1"/>
      <c r="S9" s="1"/>
    </row>
    <row r="10" spans="1:19">
      <c r="D10" s="45"/>
      <c r="E10" s="45"/>
      <c r="F10" s="12"/>
      <c r="G10" s="58" t="str">
        <f>IF(C68=1,A71,IF(C68=2,A79,A82))</f>
        <v>1. Base Case</v>
      </c>
      <c r="H10" s="1"/>
      <c r="I10" s="1"/>
      <c r="J10" s="12"/>
      <c r="K10" s="12"/>
      <c r="L10" s="1"/>
      <c r="M10" s="1"/>
      <c r="N10" s="1"/>
      <c r="O10" s="1"/>
      <c r="P10" s="1"/>
      <c r="Q10" s="1"/>
      <c r="R10" s="24"/>
    </row>
    <row r="11" spans="1:19">
      <c r="A11" s="559" t="s">
        <v>294</v>
      </c>
      <c r="B11" s="80"/>
      <c r="C11" s="76"/>
      <c r="D11" s="547">
        <f>D75</f>
        <v>591005</v>
      </c>
      <c r="E11" s="547">
        <f>E75</f>
        <v>639391</v>
      </c>
      <c r="F11" s="547">
        <f>F75</f>
        <v>476073</v>
      </c>
      <c r="G11" s="548">
        <f t="shared" ref="G11:Q11" si="0">G68</f>
        <v>346941</v>
      </c>
      <c r="H11" s="548">
        <f t="shared" si="0"/>
        <v>402886</v>
      </c>
      <c r="I11" s="548">
        <f t="shared" si="0"/>
        <v>429460</v>
      </c>
      <c r="J11" s="548">
        <f t="shared" si="0"/>
        <v>433496</v>
      </c>
      <c r="K11" s="548">
        <f t="shared" si="0"/>
        <v>431092</v>
      </c>
      <c r="L11" s="548">
        <f t="shared" si="0"/>
        <v>431092</v>
      </c>
      <c r="M11" s="548">
        <f t="shared" si="0"/>
        <v>431092</v>
      </c>
      <c r="N11" s="548">
        <f t="shared" si="0"/>
        <v>431092</v>
      </c>
      <c r="O11" s="548">
        <f t="shared" si="0"/>
        <v>431092</v>
      </c>
      <c r="P11" s="548">
        <f t="shared" si="0"/>
        <v>431092</v>
      </c>
      <c r="Q11" s="548">
        <f t="shared" si="0"/>
        <v>431092</v>
      </c>
      <c r="R11" s="24"/>
    </row>
    <row r="12" spans="1:19">
      <c r="D12" s="207"/>
      <c r="E12" s="207"/>
      <c r="F12" s="18"/>
      <c r="G12" s="58" t="str">
        <f>IF(C90=1,A93,IF(C90=2,A103,A106))</f>
        <v>1. Base Case</v>
      </c>
      <c r="H12" s="12"/>
      <c r="I12" s="12"/>
      <c r="J12" s="12"/>
      <c r="K12" s="12"/>
      <c r="L12" s="1"/>
      <c r="M12" s="1"/>
      <c r="N12" s="1"/>
      <c r="O12" s="1"/>
      <c r="P12" s="1"/>
      <c r="Q12" s="1"/>
      <c r="R12" s="24"/>
    </row>
    <row r="13" spans="1:19">
      <c r="A13" s="106" t="s">
        <v>295</v>
      </c>
      <c r="B13" s="79"/>
      <c r="C13" s="34"/>
      <c r="D13" s="547">
        <f t="shared" ref="D13:Q13" si="1">D100</f>
        <v>371819</v>
      </c>
      <c r="E13" s="547">
        <f t="shared" si="1"/>
        <v>431944</v>
      </c>
      <c r="F13" s="547">
        <f t="shared" si="1"/>
        <v>261030</v>
      </c>
      <c r="G13" s="548">
        <f t="shared" si="1"/>
        <v>100664</v>
      </c>
      <c r="H13" s="548">
        <f t="shared" si="1"/>
        <v>108845</v>
      </c>
      <c r="I13" s="548">
        <f t="shared" si="1"/>
        <v>104444</v>
      </c>
      <c r="J13" s="548">
        <f t="shared" si="1"/>
        <v>109651</v>
      </c>
      <c r="K13" s="548">
        <f t="shared" si="1"/>
        <v>111033</v>
      </c>
      <c r="L13" s="548">
        <f t="shared" si="1"/>
        <v>111033</v>
      </c>
      <c r="M13" s="548">
        <f t="shared" si="1"/>
        <v>111033</v>
      </c>
      <c r="N13" s="548">
        <f t="shared" si="1"/>
        <v>111033</v>
      </c>
      <c r="O13" s="548">
        <f t="shared" si="1"/>
        <v>111033</v>
      </c>
      <c r="P13" s="548">
        <f t="shared" si="1"/>
        <v>111033</v>
      </c>
      <c r="Q13" s="548">
        <f t="shared" si="1"/>
        <v>111033</v>
      </c>
      <c r="R13" s="24"/>
    </row>
    <row r="14" spans="1:19">
      <c r="A14" s="106"/>
      <c r="B14" s="79"/>
      <c r="C14" s="34"/>
      <c r="D14" s="567"/>
      <c r="E14" s="567"/>
      <c r="F14" s="567"/>
      <c r="G14" s="568"/>
      <c r="H14" s="568"/>
      <c r="I14" s="568"/>
      <c r="J14" s="568"/>
      <c r="K14" s="568"/>
      <c r="L14" s="568"/>
      <c r="M14" s="568"/>
      <c r="N14" s="568"/>
      <c r="O14" s="568"/>
      <c r="P14" s="568"/>
      <c r="Q14" s="568"/>
      <c r="R14" s="24"/>
    </row>
    <row r="15" spans="1:19">
      <c r="A15" s="106" t="s">
        <v>1</v>
      </c>
      <c r="B15" s="34"/>
      <c r="C15" s="34"/>
      <c r="D15" s="547">
        <f t="shared" ref="D15:Q15" si="2">(D11-D13)</f>
        <v>219186</v>
      </c>
      <c r="E15" s="547">
        <f t="shared" si="2"/>
        <v>207447</v>
      </c>
      <c r="F15" s="547">
        <f t="shared" si="2"/>
        <v>215043</v>
      </c>
      <c r="G15" s="548">
        <f t="shared" si="2"/>
        <v>246277</v>
      </c>
      <c r="H15" s="548">
        <f t="shared" si="2"/>
        <v>294041</v>
      </c>
      <c r="I15" s="548">
        <f t="shared" si="2"/>
        <v>325016</v>
      </c>
      <c r="J15" s="548">
        <f t="shared" si="2"/>
        <v>323845</v>
      </c>
      <c r="K15" s="548">
        <f t="shared" si="2"/>
        <v>320059</v>
      </c>
      <c r="L15" s="548">
        <f t="shared" si="2"/>
        <v>320059</v>
      </c>
      <c r="M15" s="548">
        <f t="shared" si="2"/>
        <v>320059</v>
      </c>
      <c r="N15" s="548">
        <f t="shared" si="2"/>
        <v>320059</v>
      </c>
      <c r="O15" s="548">
        <f t="shared" si="2"/>
        <v>320059</v>
      </c>
      <c r="P15" s="548">
        <f t="shared" si="2"/>
        <v>320059</v>
      </c>
      <c r="Q15" s="548">
        <f t="shared" si="2"/>
        <v>320059</v>
      </c>
      <c r="R15" s="24"/>
    </row>
    <row r="16" spans="1:19">
      <c r="A16" s="586" t="s">
        <v>280</v>
      </c>
      <c r="B16" s="7"/>
      <c r="C16" s="7"/>
      <c r="D16" s="587">
        <f>D11/D13</f>
        <v>1.589496502330435</v>
      </c>
      <c r="E16" s="587">
        <f>E11/E13</f>
        <v>1.4802636452873521</v>
      </c>
      <c r="F16" s="587">
        <f>F11/F13</f>
        <v>1.8238248477186529</v>
      </c>
      <c r="G16" s="588">
        <f t="shared" ref="G16:Q16" si="3">G11/G13</f>
        <v>3.4465250735118813</v>
      </c>
      <c r="H16" s="588">
        <f t="shared" si="3"/>
        <v>3.7014653865588683</v>
      </c>
      <c r="I16" s="588">
        <f t="shared" si="3"/>
        <v>4.1118685611428134</v>
      </c>
      <c r="J16" s="588">
        <f t="shared" si="3"/>
        <v>3.9534158375208617</v>
      </c>
      <c r="K16" s="588">
        <f t="shared" si="3"/>
        <v>3.882557437878829</v>
      </c>
      <c r="L16" s="588">
        <f t="shared" si="3"/>
        <v>3.882557437878829</v>
      </c>
      <c r="M16" s="588">
        <f t="shared" si="3"/>
        <v>3.882557437878829</v>
      </c>
      <c r="N16" s="588">
        <f t="shared" si="3"/>
        <v>3.882557437878829</v>
      </c>
      <c r="O16" s="588">
        <f t="shared" si="3"/>
        <v>3.882557437878829</v>
      </c>
      <c r="P16" s="588">
        <f t="shared" si="3"/>
        <v>3.882557437878829</v>
      </c>
      <c r="Q16" s="588">
        <f t="shared" si="3"/>
        <v>3.882557437878829</v>
      </c>
      <c r="R16" s="24"/>
    </row>
    <row r="17" spans="1:18">
      <c r="A17" s="586" t="s">
        <v>281</v>
      </c>
      <c r="B17" s="7"/>
      <c r="C17" s="7"/>
      <c r="D17" s="589">
        <f>(D11-D13)/D11</f>
        <v>0.37086995879899493</v>
      </c>
      <c r="E17" s="589">
        <f>(E11-E13)/E11</f>
        <v>0.3244446668783264</v>
      </c>
      <c r="F17" s="589">
        <f>(F11-F13)/F11</f>
        <v>0.45170173481797959</v>
      </c>
      <c r="G17" s="590">
        <f t="shared" ref="G17:Q17" si="4">(G11-G13)/G11</f>
        <v>0.70985268388573275</v>
      </c>
      <c r="H17" s="590">
        <f t="shared" si="4"/>
        <v>0.72983672800742638</v>
      </c>
      <c r="I17" s="590">
        <f t="shared" si="4"/>
        <v>0.75680156475573979</v>
      </c>
      <c r="J17" s="590">
        <f t="shared" si="4"/>
        <v>0.74705418273755697</v>
      </c>
      <c r="K17" s="590">
        <f t="shared" si="4"/>
        <v>0.7424378090987539</v>
      </c>
      <c r="L17" s="590">
        <f t="shared" si="4"/>
        <v>0.7424378090987539</v>
      </c>
      <c r="M17" s="590">
        <f t="shared" si="4"/>
        <v>0.7424378090987539</v>
      </c>
      <c r="N17" s="590">
        <f t="shared" si="4"/>
        <v>0.7424378090987539</v>
      </c>
      <c r="O17" s="590">
        <f t="shared" si="4"/>
        <v>0.7424378090987539</v>
      </c>
      <c r="P17" s="590">
        <f t="shared" si="4"/>
        <v>0.7424378090987539</v>
      </c>
      <c r="Q17" s="590">
        <f t="shared" si="4"/>
        <v>0.7424378090987539</v>
      </c>
      <c r="R17" s="24"/>
    </row>
    <row r="18" spans="1:18">
      <c r="D18" s="16"/>
      <c r="E18" s="16"/>
      <c r="F18" s="16"/>
      <c r="G18" s="72"/>
      <c r="H18" s="72"/>
      <c r="R18" s="24"/>
    </row>
    <row r="19" spans="1:18">
      <c r="A19" s="6" t="s">
        <v>222</v>
      </c>
      <c r="D19" s="573">
        <f>1241-5667</f>
        <v>-4426</v>
      </c>
      <c r="E19" s="573">
        <f>2183+5778</f>
        <v>7961</v>
      </c>
      <c r="F19" s="574">
        <f>15176+8318</f>
        <v>23494</v>
      </c>
      <c r="G19" s="844">
        <v>35783</v>
      </c>
      <c r="H19" s="844">
        <v>26605</v>
      </c>
      <c r="I19" s="844">
        <v>10471</v>
      </c>
      <c r="J19" s="844">
        <v>2875</v>
      </c>
      <c r="K19" s="844">
        <v>2108</v>
      </c>
      <c r="L19" s="539">
        <f t="shared" ref="L19:Q19" si="5">K19</f>
        <v>2108</v>
      </c>
      <c r="M19" s="539">
        <f t="shared" si="5"/>
        <v>2108</v>
      </c>
      <c r="N19" s="539">
        <f t="shared" si="5"/>
        <v>2108</v>
      </c>
      <c r="O19" s="539">
        <f t="shared" si="5"/>
        <v>2108</v>
      </c>
      <c r="P19" s="539">
        <f t="shared" si="5"/>
        <v>2108</v>
      </c>
      <c r="Q19" s="539">
        <f t="shared" si="5"/>
        <v>2108</v>
      </c>
      <c r="R19" s="24"/>
    </row>
    <row r="20" spans="1:18">
      <c r="A20" s="6" t="s">
        <v>486</v>
      </c>
      <c r="D20" s="573">
        <v>88289</v>
      </c>
      <c r="E20" s="573">
        <v>82538</v>
      </c>
      <c r="F20" s="574">
        <v>82117</v>
      </c>
      <c r="G20" s="844"/>
      <c r="H20" s="844"/>
      <c r="I20" s="844"/>
      <c r="J20" s="844"/>
      <c r="K20" s="844"/>
      <c r="L20" s="539"/>
      <c r="M20" s="539"/>
      <c r="N20" s="539"/>
      <c r="O20" s="539"/>
      <c r="P20" s="539"/>
      <c r="Q20" s="539"/>
      <c r="R20" s="24"/>
    </row>
    <row r="21" spans="1:18">
      <c r="A21" s="6" t="s">
        <v>338</v>
      </c>
      <c r="B21" s="15"/>
      <c r="D21" s="573">
        <f>D121</f>
        <v>51771</v>
      </c>
      <c r="E21" s="573">
        <f>E121</f>
        <v>51234</v>
      </c>
      <c r="F21" s="573">
        <f>F121</f>
        <v>50439</v>
      </c>
      <c r="G21" s="572">
        <f t="shared" ref="G21:Q21" si="6">G121</f>
        <v>56268.959999999999</v>
      </c>
      <c r="H21" s="572">
        <f t="shared" si="6"/>
        <v>59573.025000000001</v>
      </c>
      <c r="I21" s="572">
        <f t="shared" si="6"/>
        <v>63894.18</v>
      </c>
      <c r="J21" s="572">
        <f t="shared" si="6"/>
        <v>64723.59</v>
      </c>
      <c r="K21" s="572">
        <f t="shared" si="6"/>
        <v>65112.735000000001</v>
      </c>
      <c r="L21" s="572">
        <f t="shared" si="6"/>
        <v>65501.880000000005</v>
      </c>
      <c r="M21" s="572">
        <f t="shared" si="6"/>
        <v>65891.024999999994</v>
      </c>
      <c r="N21" s="572">
        <f t="shared" si="6"/>
        <v>66280.17</v>
      </c>
      <c r="O21" s="572">
        <f t="shared" si="6"/>
        <v>66669.315000000002</v>
      </c>
      <c r="P21" s="572">
        <f t="shared" si="6"/>
        <v>67058.460000000006</v>
      </c>
      <c r="Q21" s="572">
        <f t="shared" si="6"/>
        <v>67447.60500000001</v>
      </c>
      <c r="R21" s="24"/>
    </row>
    <row r="22" spans="1:18">
      <c r="D22" s="575"/>
      <c r="E22" s="575"/>
      <c r="F22" s="537"/>
      <c r="G22" s="538"/>
      <c r="H22" s="538"/>
      <c r="I22" s="538"/>
      <c r="J22" s="576"/>
      <c r="K22" s="576"/>
      <c r="L22" s="538"/>
      <c r="M22" s="538"/>
      <c r="N22" s="538"/>
      <c r="O22" s="538"/>
      <c r="P22" s="538"/>
      <c r="Q22" s="538"/>
      <c r="R22" s="24"/>
    </row>
    <row r="23" spans="1:18">
      <c r="A23" s="106" t="s">
        <v>2</v>
      </c>
      <c r="B23" s="34"/>
      <c r="C23" s="34"/>
      <c r="D23" s="547">
        <f>D15+D19-D20-D21</f>
        <v>74700</v>
      </c>
      <c r="E23" s="547">
        <f>E15+E19-E20-E21</f>
        <v>81636</v>
      </c>
      <c r="F23" s="547">
        <f>F15+F19-F20-F21</f>
        <v>105981</v>
      </c>
      <c r="G23" s="548">
        <f>G15+G19-G20-G21</f>
        <v>225791.04</v>
      </c>
      <c r="H23" s="548">
        <f t="shared" ref="H23:Q23" si="7">H15+H19-H20-H21</f>
        <v>261072.97500000001</v>
      </c>
      <c r="I23" s="548">
        <f t="shared" si="7"/>
        <v>271592.82</v>
      </c>
      <c r="J23" s="548">
        <f t="shared" si="7"/>
        <v>261996.41</v>
      </c>
      <c r="K23" s="548">
        <f t="shared" si="7"/>
        <v>257054.26500000001</v>
      </c>
      <c r="L23" s="548">
        <f t="shared" si="7"/>
        <v>256665.12</v>
      </c>
      <c r="M23" s="548">
        <f t="shared" si="7"/>
        <v>256275.97500000001</v>
      </c>
      <c r="N23" s="548">
        <f t="shared" si="7"/>
        <v>255886.83000000002</v>
      </c>
      <c r="O23" s="548">
        <f t="shared" si="7"/>
        <v>255497.685</v>
      </c>
      <c r="P23" s="548">
        <f t="shared" si="7"/>
        <v>255108.53999999998</v>
      </c>
      <c r="Q23" s="548">
        <f t="shared" si="7"/>
        <v>254719.39499999999</v>
      </c>
      <c r="R23" s="24"/>
    </row>
    <row r="24" spans="1:18">
      <c r="D24" s="206"/>
      <c r="E24" s="206"/>
      <c r="F24" s="18"/>
      <c r="G24" s="1"/>
      <c r="H24" s="1"/>
      <c r="I24" s="1"/>
      <c r="J24" s="12"/>
      <c r="K24" s="12"/>
      <c r="L24" s="1"/>
      <c r="M24" s="1"/>
      <c r="N24" s="1"/>
      <c r="O24" s="1"/>
      <c r="P24" s="1"/>
      <c r="Q24" s="1"/>
      <c r="R24" s="24"/>
    </row>
    <row r="25" spans="1:18">
      <c r="A25" s="284" t="s">
        <v>296</v>
      </c>
      <c r="D25" s="206"/>
      <c r="E25" s="206"/>
      <c r="F25" s="18"/>
      <c r="G25" s="1"/>
      <c r="H25" s="1"/>
      <c r="I25" s="1"/>
      <c r="J25" s="12"/>
      <c r="K25" s="12"/>
      <c r="L25" s="1"/>
      <c r="M25" s="1"/>
      <c r="N25" s="1"/>
      <c r="O25" s="1"/>
      <c r="P25" s="1"/>
      <c r="Q25" s="1"/>
      <c r="R25" s="24"/>
    </row>
    <row r="26" spans="1:18">
      <c r="A26" s="579" t="s">
        <v>3</v>
      </c>
      <c r="D26" s="573">
        <f>$B$28*(D15+D19-D20-D127)</f>
        <v>48691.334999999999</v>
      </c>
      <c r="E26" s="573">
        <f>$B$28*(E15+E19-E20-E127)</f>
        <v>51154.950000000004</v>
      </c>
      <c r="F26" s="574">
        <f>$B$28*(F15+F19-F20-F127)</f>
        <v>60221.700000000004</v>
      </c>
      <c r="G26" s="539">
        <f>$B$28*(G15+G19-G20-G127)</f>
        <v>36381.267999999996</v>
      </c>
      <c r="H26" s="539">
        <f t="shared" ref="H26:Q26" si="8">$B$28*(H15+H19-H20-H127)</f>
        <v>42733.394549999983</v>
      </c>
      <c r="I26" s="539">
        <f t="shared" si="8"/>
        <v>53480.498995000009</v>
      </c>
      <c r="J26" s="539">
        <f t="shared" si="8"/>
        <v>45660.785362500006</v>
      </c>
      <c r="K26" s="539">
        <f t="shared" si="8"/>
        <v>58449.453639499996</v>
      </c>
      <c r="L26" s="539">
        <f t="shared" si="8"/>
        <v>59961.726401500004</v>
      </c>
      <c r="M26" s="539">
        <f t="shared" si="8"/>
        <v>61048.971483499998</v>
      </c>
      <c r="N26" s="539">
        <f t="shared" si="8"/>
        <v>61500.032132</v>
      </c>
      <c r="O26" s="539">
        <f t="shared" si="8"/>
        <v>74808.378952999992</v>
      </c>
      <c r="P26" s="539">
        <f t="shared" si="8"/>
        <v>74257.367645999999</v>
      </c>
      <c r="Q26" s="539">
        <f t="shared" si="8"/>
        <v>73655.987944000008</v>
      </c>
      <c r="R26" s="24"/>
    </row>
    <row r="27" spans="1:18">
      <c r="A27" s="579" t="s">
        <v>4</v>
      </c>
      <c r="D27" s="577">
        <f ca="1">D28-D26</f>
        <v>0</v>
      </c>
      <c r="E27" s="577">
        <f ca="1">E28-E26</f>
        <v>0</v>
      </c>
      <c r="F27" s="578">
        <f ca="1">F28-F26</f>
        <v>0</v>
      </c>
      <c r="G27" s="822">
        <f t="shared" ref="G27:L27" si="9">G28-G26</f>
        <v>50548.282400000011</v>
      </c>
      <c r="H27" s="822">
        <f t="shared" si="9"/>
        <v>57779.700825000022</v>
      </c>
      <c r="I27" s="822">
        <f t="shared" si="9"/>
        <v>51082.736704999996</v>
      </c>
      <c r="J27" s="822">
        <f t="shared" si="9"/>
        <v>55207.832487500003</v>
      </c>
      <c r="K27" s="822">
        <f t="shared" si="9"/>
        <v>40516.438385500012</v>
      </c>
      <c r="L27" s="822">
        <f t="shared" si="9"/>
        <v>38854.344798500002</v>
      </c>
      <c r="M27" s="822">
        <f>M28-M26</f>
        <v>37617.278891500006</v>
      </c>
      <c r="N27" s="822">
        <f>N28-N26</f>
        <v>37016.397418000015</v>
      </c>
      <c r="O27" s="822">
        <f>O28-O26</f>
        <v>23558.229772000006</v>
      </c>
      <c r="P27" s="822">
        <f>P28-P26</f>
        <v>23959.420253999997</v>
      </c>
      <c r="Q27" s="822">
        <f>Q28-Q26</f>
        <v>24410.979130999986</v>
      </c>
      <c r="R27" s="24"/>
    </row>
    <row r="28" spans="1:18">
      <c r="A28" s="67" t="s">
        <v>297</v>
      </c>
      <c r="B28" s="804">
        <f>Assumptions!D10</f>
        <v>0.38500000000000001</v>
      </c>
      <c r="D28" s="823">
        <f ca="1">SUM(D26:D27)</f>
        <v>48691.334999999999</v>
      </c>
      <c r="E28" s="823">
        <f ca="1">SUM(E26:E27)</f>
        <v>51154.950000000004</v>
      </c>
      <c r="F28" s="823">
        <f ca="1">SUM(F26:F27)</f>
        <v>60221.700000000004</v>
      </c>
      <c r="G28" s="615">
        <f t="shared" ref="G28:Q28" si="10">$B$28*G23</f>
        <v>86929.550400000007</v>
      </c>
      <c r="H28" s="615">
        <f t="shared" si="10"/>
        <v>100513.095375</v>
      </c>
      <c r="I28" s="615">
        <f t="shared" si="10"/>
        <v>104563.2357</v>
      </c>
      <c r="J28" s="615">
        <f t="shared" si="10"/>
        <v>100868.61785000001</v>
      </c>
      <c r="K28" s="615">
        <f t="shared" si="10"/>
        <v>98965.892025000008</v>
      </c>
      <c r="L28" s="615">
        <f t="shared" si="10"/>
        <v>98816.071200000006</v>
      </c>
      <c r="M28" s="615">
        <f t="shared" si="10"/>
        <v>98666.250375000003</v>
      </c>
      <c r="N28" s="615">
        <f t="shared" si="10"/>
        <v>98516.429550000015</v>
      </c>
      <c r="O28" s="615">
        <f t="shared" si="10"/>
        <v>98366.608724999998</v>
      </c>
      <c r="P28" s="615">
        <f t="shared" si="10"/>
        <v>98216.787899999996</v>
      </c>
      <c r="Q28" s="615">
        <f t="shared" si="10"/>
        <v>98066.967074999993</v>
      </c>
      <c r="R28" s="24"/>
    </row>
    <row r="29" spans="1:18">
      <c r="A29" s="1"/>
      <c r="B29" s="23"/>
      <c r="D29" s="575"/>
      <c r="E29" s="575"/>
      <c r="F29" s="537"/>
      <c r="G29" s="538"/>
      <c r="H29" s="538"/>
      <c r="I29" s="538"/>
      <c r="J29" s="576"/>
      <c r="K29" s="576"/>
      <c r="L29" s="538"/>
      <c r="M29" s="538"/>
      <c r="N29" s="538"/>
      <c r="O29" s="538"/>
      <c r="P29" s="538"/>
      <c r="Q29" s="538"/>
      <c r="R29" s="24"/>
    </row>
    <row r="30" spans="1:18">
      <c r="A30" s="580" t="s">
        <v>13</v>
      </c>
      <c r="B30" s="227"/>
      <c r="C30" s="34"/>
      <c r="D30" s="547">
        <f t="shared" ref="D30:Q30" ca="1" si="11">D23-D28</f>
        <v>26008.665000000001</v>
      </c>
      <c r="E30" s="547">
        <f t="shared" ca="1" si="11"/>
        <v>30481.049999999996</v>
      </c>
      <c r="F30" s="547">
        <f t="shared" ca="1" si="11"/>
        <v>45759.299999999996</v>
      </c>
      <c r="G30" s="548">
        <f t="shared" si="11"/>
        <v>138861.4896</v>
      </c>
      <c r="H30" s="548">
        <f t="shared" si="11"/>
        <v>160559.879625</v>
      </c>
      <c r="I30" s="548">
        <f t="shared" si="11"/>
        <v>167029.58429999999</v>
      </c>
      <c r="J30" s="548">
        <f t="shared" si="11"/>
        <v>161127.79214999999</v>
      </c>
      <c r="K30" s="548">
        <f t="shared" si="11"/>
        <v>158088.37297500001</v>
      </c>
      <c r="L30" s="548">
        <f t="shared" si="11"/>
        <v>157849.04879999999</v>
      </c>
      <c r="M30" s="548">
        <f t="shared" si="11"/>
        <v>157609.724625</v>
      </c>
      <c r="N30" s="548">
        <f t="shared" si="11"/>
        <v>157370.40045000002</v>
      </c>
      <c r="O30" s="548">
        <f t="shared" si="11"/>
        <v>157131.076275</v>
      </c>
      <c r="P30" s="548">
        <f t="shared" si="11"/>
        <v>156891.75209999998</v>
      </c>
      <c r="Q30" s="548">
        <f t="shared" si="11"/>
        <v>156652.427925</v>
      </c>
      <c r="R30" s="19" t="s">
        <v>1</v>
      </c>
    </row>
    <row r="31" spans="1:18">
      <c r="A31" s="2"/>
      <c r="B31" s="23"/>
      <c r="D31" s="206"/>
      <c r="E31" s="206"/>
      <c r="F31" s="18"/>
      <c r="G31" s="1"/>
      <c r="H31" s="1"/>
      <c r="I31" s="1"/>
      <c r="J31" s="12"/>
      <c r="K31" s="12"/>
      <c r="L31" s="1"/>
      <c r="M31" s="30"/>
      <c r="N31" s="1"/>
      <c r="O31" s="1"/>
      <c r="P31" s="1"/>
      <c r="Q31" s="1"/>
      <c r="R31" s="19" t="s">
        <v>42</v>
      </c>
    </row>
    <row r="32" spans="1:18">
      <c r="A32" s="69" t="s">
        <v>298</v>
      </c>
      <c r="B32" s="23"/>
      <c r="D32" s="581">
        <f t="shared" ref="D32:Q32" ca="1" si="12">D30+D27+D21</f>
        <v>77779.665000000008</v>
      </c>
      <c r="E32" s="581">
        <f t="shared" ca="1" si="12"/>
        <v>81715.049999999988</v>
      </c>
      <c r="F32" s="581">
        <f t="shared" ca="1" si="12"/>
        <v>96198.299999999988</v>
      </c>
      <c r="G32" s="539">
        <f t="shared" si="12"/>
        <v>245678.73199999999</v>
      </c>
      <c r="H32" s="539">
        <f t="shared" si="12"/>
        <v>277912.60545000003</v>
      </c>
      <c r="I32" s="539">
        <f t="shared" si="12"/>
        <v>282006.50100499997</v>
      </c>
      <c r="J32" s="217">
        <f t="shared" si="12"/>
        <v>281059.2146375</v>
      </c>
      <c r="K32" s="217">
        <f t="shared" si="12"/>
        <v>263717.54636050004</v>
      </c>
      <c r="L32" s="539">
        <f t="shared" si="12"/>
        <v>262205.2735985</v>
      </c>
      <c r="M32" s="539">
        <f t="shared" si="12"/>
        <v>261118.0285165</v>
      </c>
      <c r="N32" s="539">
        <f t="shared" si="12"/>
        <v>260666.96786800004</v>
      </c>
      <c r="O32" s="539">
        <f t="shared" si="12"/>
        <v>247358.62104699999</v>
      </c>
      <c r="P32" s="539">
        <f t="shared" si="12"/>
        <v>247909.632354</v>
      </c>
      <c r="Q32" s="539">
        <f t="shared" si="12"/>
        <v>248511.01205599998</v>
      </c>
      <c r="R32" s="19" t="s">
        <v>43</v>
      </c>
    </row>
    <row r="33" spans="1:18">
      <c r="A33" s="69" t="s">
        <v>17</v>
      </c>
      <c r="B33" s="101"/>
      <c r="D33" s="18">
        <f t="shared" ref="D33:Q33" si="13">D114</f>
        <v>43398</v>
      </c>
      <c r="E33" s="18">
        <f t="shared" si="13"/>
        <v>78412</v>
      </c>
      <c r="F33" s="18">
        <f t="shared" si="13"/>
        <v>246076</v>
      </c>
      <c r="G33" s="12">
        <f t="shared" si="13"/>
        <v>220271</v>
      </c>
      <c r="H33" s="12">
        <f t="shared" si="13"/>
        <v>288077</v>
      </c>
      <c r="I33" s="12">
        <f t="shared" si="13"/>
        <v>55294</v>
      </c>
      <c r="J33" s="12">
        <f t="shared" si="13"/>
        <v>25943</v>
      </c>
      <c r="K33" s="12">
        <f t="shared" si="13"/>
        <v>25943</v>
      </c>
      <c r="L33" s="12">
        <f t="shared" si="13"/>
        <v>25943</v>
      </c>
      <c r="M33" s="12">
        <f t="shared" si="13"/>
        <v>25943</v>
      </c>
      <c r="N33" s="12">
        <f t="shared" si="13"/>
        <v>25943</v>
      </c>
      <c r="O33" s="12">
        <f t="shared" si="13"/>
        <v>25943</v>
      </c>
      <c r="P33" s="12">
        <f t="shared" si="13"/>
        <v>25943</v>
      </c>
      <c r="Q33" s="12">
        <f t="shared" si="13"/>
        <v>25943</v>
      </c>
      <c r="R33" s="592">
        <f>Scenarios!C5</f>
        <v>9</v>
      </c>
    </row>
    <row r="34" spans="1:18">
      <c r="A34" s="2"/>
      <c r="B34" s="101"/>
      <c r="D34" s="18"/>
      <c r="E34" s="18"/>
      <c r="F34" s="18"/>
      <c r="G34" s="12"/>
      <c r="H34" s="12"/>
      <c r="I34" s="12"/>
      <c r="J34" s="12"/>
      <c r="K34" s="12"/>
      <c r="L34" s="12"/>
      <c r="M34" s="824"/>
      <c r="N34" s="12"/>
      <c r="O34" s="12"/>
      <c r="P34" s="12"/>
      <c r="Q34" s="12"/>
      <c r="R34" s="824"/>
    </row>
    <row r="35" spans="1:18" ht="13.5" thickBot="1">
      <c r="A35" s="825" t="s">
        <v>339</v>
      </c>
      <c r="B35" s="582"/>
      <c r="C35" s="582"/>
      <c r="D35" s="584">
        <f t="shared" ref="D35:P35" ca="1" si="14">D32-D33</f>
        <v>34381.665000000008</v>
      </c>
      <c r="E35" s="584">
        <f t="shared" ca="1" si="14"/>
        <v>3303.0499999999884</v>
      </c>
      <c r="F35" s="584">
        <f t="shared" ca="1" si="14"/>
        <v>-149877.70000000001</v>
      </c>
      <c r="G35" s="585">
        <f t="shared" si="14"/>
        <v>25407.731999999989</v>
      </c>
      <c r="H35" s="585">
        <f t="shared" si="14"/>
        <v>-10164.394549999968</v>
      </c>
      <c r="I35" s="585">
        <f t="shared" si="14"/>
        <v>226712.50100499997</v>
      </c>
      <c r="J35" s="585">
        <f t="shared" si="14"/>
        <v>255116.2146375</v>
      </c>
      <c r="K35" s="585">
        <f t="shared" si="14"/>
        <v>237774.54636050004</v>
      </c>
      <c r="L35" s="585">
        <f t="shared" si="14"/>
        <v>236262.2735985</v>
      </c>
      <c r="M35" s="585">
        <f t="shared" si="14"/>
        <v>235175.0285165</v>
      </c>
      <c r="N35" s="585">
        <f t="shared" si="14"/>
        <v>234723.96786800004</v>
      </c>
      <c r="O35" s="585">
        <f t="shared" si="14"/>
        <v>221415.62104699999</v>
      </c>
      <c r="P35" s="585">
        <f t="shared" si="14"/>
        <v>221966.632354</v>
      </c>
      <c r="Q35" s="585">
        <f>Q32-Q33+R35</f>
        <v>3103099.0120560001</v>
      </c>
      <c r="R35" s="857">
        <f>Q15*R33</f>
        <v>2880531</v>
      </c>
    </row>
    <row r="36" spans="1:18" ht="13.5" thickTop="1">
      <c r="A36" s="641"/>
      <c r="B36" s="34"/>
      <c r="C36" s="34"/>
      <c r="D36" s="548"/>
      <c r="E36" s="548"/>
      <c r="F36" s="548"/>
      <c r="G36" s="548"/>
      <c r="H36" s="548"/>
      <c r="I36" s="548"/>
      <c r="J36" s="548"/>
      <c r="K36" s="548"/>
      <c r="L36" s="548"/>
      <c r="M36" s="12"/>
      <c r="N36" s="548"/>
      <c r="O36" s="548"/>
      <c r="P36" s="548"/>
      <c r="Q36" s="548"/>
      <c r="R36" s="12"/>
    </row>
    <row r="37" spans="1:18" ht="15" hidden="1">
      <c r="A37" s="685" t="s">
        <v>341</v>
      </c>
      <c r="B37" s="686"/>
      <c r="C37" s="495"/>
      <c r="D37" s="687"/>
      <c r="E37" s="687"/>
      <c r="F37" s="687"/>
      <c r="G37" s="687"/>
      <c r="H37" s="687"/>
      <c r="I37" s="687"/>
      <c r="J37" s="687"/>
      <c r="K37" s="691"/>
      <c r="L37" s="548"/>
      <c r="M37" s="548"/>
      <c r="N37" s="548"/>
      <c r="O37" s="548"/>
      <c r="P37" s="548"/>
      <c r="Q37" s="548"/>
      <c r="R37" s="826"/>
    </row>
    <row r="38" spans="1:18" hidden="1">
      <c r="A38" s="496" t="s">
        <v>232</v>
      </c>
      <c r="B38" s="102">
        <f>[7]Assumptions!D14</f>
        <v>880000</v>
      </c>
      <c r="C38" s="43" t="s">
        <v>233</v>
      </c>
      <c r="D38" s="827" t="s">
        <v>234</v>
      </c>
      <c r="E38" s="688">
        <v>0.18</v>
      </c>
      <c r="F38" s="70"/>
      <c r="G38" s="557">
        <v>1.8</v>
      </c>
      <c r="H38" s="557">
        <v>2.1</v>
      </c>
      <c r="I38" s="828">
        <f>H38*(1+$E38)</f>
        <v>2.4779999999999998</v>
      </c>
      <c r="J38" s="828">
        <f>I38*(1+$E38)</f>
        <v>2.9240399999999998</v>
      </c>
      <c r="K38" s="829">
        <f>J38*(1+$E38)</f>
        <v>3.4503671999999996</v>
      </c>
      <c r="L38" s="548"/>
      <c r="M38" s="548"/>
      <c r="N38" s="548"/>
      <c r="O38" s="548"/>
      <c r="P38" s="548"/>
      <c r="Q38" s="548"/>
      <c r="R38" s="30"/>
    </row>
    <row r="39" spans="1:18" hidden="1">
      <c r="A39" s="496" t="s">
        <v>235</v>
      </c>
      <c r="B39" s="34"/>
      <c r="C39" s="34"/>
      <c r="D39" s="102"/>
      <c r="E39" s="102"/>
      <c r="F39" s="102"/>
      <c r="G39" s="830">
        <f>G38*$B$38+'[7]Lev. Consolid'!D23</f>
        <v>1598151.2406893629</v>
      </c>
      <c r="H39" s="830">
        <f>H38*$B$38+'[7]Lev. Consolid'!E23</f>
        <v>1869086.9688662314</v>
      </c>
      <c r="I39" s="830">
        <f>I38*$B$38+'[7]Lev. Consolid'!F23</f>
        <v>2202540.1792954118</v>
      </c>
      <c r="J39" s="830">
        <f>J38*$B$38+'[7]Lev. Consolid'!G23</f>
        <v>2596490.7506087366</v>
      </c>
      <c r="K39" s="831">
        <f>K38*$B$38+'[7]Lev. Consolid'!H23</f>
        <v>3061623.434002195</v>
      </c>
      <c r="L39" s="548"/>
      <c r="M39" s="548"/>
      <c r="N39" s="548"/>
      <c r="O39" s="548"/>
      <c r="P39" s="548"/>
      <c r="Q39" s="548"/>
      <c r="R39" s="27"/>
    </row>
    <row r="40" spans="1:18" hidden="1">
      <c r="A40" s="496" t="s">
        <v>239</v>
      </c>
      <c r="B40" s="475">
        <f>K60-K61</f>
        <v>2202303.1813019346</v>
      </c>
      <c r="C40" s="34"/>
      <c r="D40" s="102"/>
      <c r="E40" s="102"/>
      <c r="F40" s="102"/>
      <c r="G40" s="34"/>
      <c r="H40" s="34"/>
      <c r="I40" s="34"/>
      <c r="J40" s="34"/>
      <c r="K40" s="224"/>
      <c r="L40" s="548"/>
      <c r="M40" s="548"/>
      <c r="N40" s="548"/>
      <c r="O40" s="548"/>
      <c r="P40" s="548"/>
      <c r="Q40" s="548"/>
      <c r="R40" s="12"/>
    </row>
    <row r="41" spans="1:18" hidden="1">
      <c r="A41" s="689" t="s">
        <v>240</v>
      </c>
      <c r="B41" s="476">
        <f>[7]Assumptions!D15</f>
        <v>28.3</v>
      </c>
      <c r="C41" s="34"/>
      <c r="D41" s="102"/>
      <c r="E41" s="102"/>
      <c r="F41" s="102"/>
      <c r="G41" s="34"/>
      <c r="H41" s="34"/>
      <c r="I41" s="34"/>
      <c r="J41" s="34"/>
      <c r="K41" s="224"/>
      <c r="L41" s="548"/>
      <c r="M41" s="548"/>
      <c r="N41" s="548"/>
      <c r="O41" s="548"/>
      <c r="P41" s="548"/>
      <c r="Q41" s="548"/>
      <c r="R41" s="12"/>
    </row>
    <row r="42" spans="1:18" hidden="1">
      <c r="A42" s="496" t="s">
        <v>238</v>
      </c>
      <c r="B42" s="102">
        <f>B40/B41</f>
        <v>77819.90039936165</v>
      </c>
      <c r="C42" s="34"/>
      <c r="D42" s="102"/>
      <c r="E42" s="102"/>
      <c r="F42" s="102"/>
      <c r="G42" s="34"/>
      <c r="H42" s="34"/>
      <c r="I42" s="34"/>
      <c r="J42" s="34"/>
      <c r="K42" s="224"/>
      <c r="L42" s="548"/>
      <c r="M42" s="548"/>
      <c r="N42" s="548"/>
      <c r="O42" s="548"/>
      <c r="P42" s="548"/>
      <c r="Q42" s="548"/>
      <c r="R42" s="12"/>
    </row>
    <row r="43" spans="1:18" hidden="1">
      <c r="A43" s="496" t="s">
        <v>236</v>
      </c>
      <c r="B43" s="88">
        <f>B38+B42</f>
        <v>957819.90039936162</v>
      </c>
      <c r="C43" s="43" t="s">
        <v>233</v>
      </c>
      <c r="D43" s="102"/>
      <c r="E43" s="102"/>
      <c r="F43" s="102"/>
      <c r="G43" s="832">
        <f>G39/$B$43</f>
        <v>1.6685300023762464</v>
      </c>
      <c r="H43" s="832">
        <f>H39/$B$43</f>
        <v>1.9513970925921651</v>
      </c>
      <c r="I43" s="832">
        <f>I39/$B$43</f>
        <v>2.2995347855865869</v>
      </c>
      <c r="J43" s="832">
        <f>J39/$B$43</f>
        <v>2.7108339986735852</v>
      </c>
      <c r="K43" s="833">
        <f>K39/$B$43</f>
        <v>3.1964500139594674</v>
      </c>
      <c r="L43" s="548"/>
      <c r="M43" s="548"/>
      <c r="N43" s="548"/>
      <c r="O43" s="548"/>
      <c r="P43" s="548"/>
      <c r="Q43" s="548"/>
      <c r="R43" s="12"/>
    </row>
    <row r="44" spans="1:18" ht="13.5" hidden="1" thickBot="1">
      <c r="A44" s="496" t="s">
        <v>237</v>
      </c>
      <c r="B44" s="88"/>
      <c r="C44" s="34"/>
      <c r="D44" s="34"/>
      <c r="E44" s="34"/>
      <c r="F44" s="34"/>
      <c r="G44" s="834">
        <f>G43-G38</f>
        <v>-0.13146999762375366</v>
      </c>
      <c r="H44" s="834">
        <f>H43-H38</f>
        <v>-0.14860290740783499</v>
      </c>
      <c r="I44" s="834">
        <f>I43-I38</f>
        <v>-0.1784652144134129</v>
      </c>
      <c r="J44" s="834">
        <f>J43-J38</f>
        <v>-0.21320600132641454</v>
      </c>
      <c r="K44" s="835">
        <f>K43-K38</f>
        <v>-0.25391718604053226</v>
      </c>
      <c r="L44" s="548"/>
      <c r="M44" s="548"/>
      <c r="N44" s="548"/>
      <c r="O44" s="548"/>
      <c r="P44" s="548"/>
      <c r="Q44" s="548"/>
      <c r="R44" s="12"/>
    </row>
    <row r="45" spans="1:18" hidden="1">
      <c r="A45" s="836"/>
      <c r="B45" s="292"/>
      <c r="C45" s="292"/>
      <c r="D45" s="568"/>
      <c r="E45" s="568"/>
      <c r="F45" s="568"/>
      <c r="G45" s="568"/>
      <c r="H45" s="568"/>
      <c r="I45" s="568"/>
      <c r="J45" s="568"/>
      <c r="K45" s="837"/>
      <c r="L45" s="548"/>
      <c r="M45" s="548"/>
      <c r="N45" s="548"/>
      <c r="O45" s="548"/>
      <c r="P45" s="548"/>
      <c r="Q45" s="548"/>
      <c r="R45" s="12"/>
    </row>
    <row r="46" spans="1:18" ht="15" hidden="1">
      <c r="A46" s="685" t="s">
        <v>487</v>
      </c>
      <c r="B46" s="686"/>
      <c r="C46" s="495"/>
      <c r="D46" s="687"/>
      <c r="E46" s="687"/>
      <c r="F46" s="687"/>
      <c r="G46" s="687"/>
      <c r="H46" s="687"/>
      <c r="I46" s="687"/>
      <c r="J46" s="687"/>
      <c r="K46" s="691"/>
      <c r="L46" s="548"/>
      <c r="M46" s="548"/>
      <c r="N46" s="548"/>
      <c r="O46" s="548"/>
      <c r="P46" s="548"/>
      <c r="Q46" s="548"/>
      <c r="R46" s="12"/>
    </row>
    <row r="47" spans="1:18" hidden="1">
      <c r="A47" s="496" t="str">
        <f>'[7]Lev. Consolid'!A40</f>
        <v>ENRON'S BASE EPS</v>
      </c>
      <c r="B47" s="102">
        <f>'[7]Lev. Consolid'!B40</f>
        <v>880000</v>
      </c>
      <c r="C47" s="43" t="str">
        <f>'[7]Lev. Consolid'!C40</f>
        <v>M Shares</v>
      </c>
      <c r="D47" s="827" t="str">
        <f>'[7]Lev. Consolid'!D40</f>
        <v>Growth of</v>
      </c>
      <c r="E47" s="688">
        <f>'[7]Lev. Consolid'!E40</f>
        <v>0.18</v>
      </c>
      <c r="F47" s="70"/>
      <c r="G47" s="557">
        <f>'[7]Lev. Consolid'!G40</f>
        <v>1.8</v>
      </c>
      <c r="H47" s="557">
        <f>'[7]Lev. Consolid'!H40</f>
        <v>2.1</v>
      </c>
      <c r="I47" s="828">
        <f>'[7]Lev. Consolid'!I40</f>
        <v>2.4779999999999998</v>
      </c>
      <c r="J47" s="828">
        <f>'[7]Lev. Consolid'!J40</f>
        <v>2.9240399999999998</v>
      </c>
      <c r="K47" s="829">
        <f>'[7]Lev. Consolid'!K40</f>
        <v>3.4503671999999996</v>
      </c>
      <c r="L47" s="548"/>
      <c r="M47" s="548"/>
      <c r="N47" s="548"/>
      <c r="O47" s="548"/>
      <c r="P47" s="548"/>
      <c r="Q47" s="548"/>
      <c r="R47" s="12"/>
    </row>
    <row r="48" spans="1:18" hidden="1">
      <c r="A48" s="496" t="str">
        <f>'[7]Lev. Consolid'!A41</f>
        <v xml:space="preserve">  Pro Forma Earnings (Inc. interest on Dividends)</v>
      </c>
      <c r="B48" s="34"/>
      <c r="C48" s="34"/>
      <c r="D48" s="102"/>
      <c r="E48" s="102"/>
      <c r="F48" s="102"/>
      <c r="G48" s="830">
        <f>'[7]Lev. Consolid'!G41</f>
        <v>1571310.0635873955</v>
      </c>
      <c r="H48" s="830">
        <f>'[7]Lev. Consolid'!H41</f>
        <v>1867883.3085661505</v>
      </c>
      <c r="I48" s="830">
        <f>'[7]Lev. Consolid'!I41</f>
        <v>2234207.3357949052</v>
      </c>
      <c r="J48" s="830">
        <f>'[7]Lev. Consolid'!J41</f>
        <v>2636288.4462736598</v>
      </c>
      <c r="K48" s="831">
        <f>'[7]Lev. Consolid'!K41</f>
        <v>3103214.2327524149</v>
      </c>
      <c r="L48" s="548"/>
      <c r="M48" s="548"/>
      <c r="N48" s="548"/>
      <c r="O48" s="548"/>
      <c r="P48" s="548"/>
      <c r="Q48" s="548"/>
      <c r="R48" s="12"/>
    </row>
    <row r="49" spans="1:18" hidden="1">
      <c r="A49" s="496" t="str">
        <f>'[7]Lev. Consolid'!A42</f>
        <v>Equity Investment</v>
      </c>
      <c r="B49" s="475">
        <f>'[7]Lev. Consolid'!B42</f>
        <v>926797.86504136631</v>
      </c>
      <c r="C49" s="34"/>
      <c r="D49" s="102"/>
      <c r="E49" s="102"/>
      <c r="F49" s="102"/>
      <c r="G49" s="34"/>
      <c r="H49" s="34"/>
      <c r="I49" s="34"/>
      <c r="J49" s="34"/>
      <c r="K49" s="224"/>
      <c r="L49" s="548"/>
      <c r="M49" s="548"/>
      <c r="N49" s="548"/>
      <c r="O49" s="548"/>
      <c r="P49" s="548"/>
      <c r="Q49" s="548"/>
      <c r="R49" s="12"/>
    </row>
    <row r="50" spans="1:18" hidden="1">
      <c r="A50" s="689" t="str">
        <f>'[7]Lev. Consolid'!A43</f>
        <v>Price of ENE Shares</v>
      </c>
      <c r="B50" s="476">
        <f>'[7]Lev. Consolid'!B43</f>
        <v>28.3</v>
      </c>
      <c r="C50" s="34"/>
      <c r="D50" s="102"/>
      <c r="E50" s="102"/>
      <c r="F50" s="102"/>
      <c r="G50" s="34"/>
      <c r="H50" s="34"/>
      <c r="I50" s="34"/>
      <c r="J50" s="34"/>
      <c r="K50" s="224"/>
      <c r="L50" s="548"/>
      <c r="M50" s="548"/>
      <c r="N50" s="548"/>
      <c r="O50" s="548"/>
      <c r="P50" s="548"/>
      <c r="Q50" s="548"/>
      <c r="R50" s="12"/>
    </row>
    <row r="51" spans="1:18" hidden="1">
      <c r="A51" s="496" t="str">
        <f>'[7]Lev. Consolid'!A44</f>
        <v>Additional Shares</v>
      </c>
      <c r="B51" s="102">
        <f>'[7]Lev. Consolid'!B44</f>
        <v>32749.041167539446</v>
      </c>
      <c r="C51" s="34"/>
      <c r="D51" s="102"/>
      <c r="E51" s="102"/>
      <c r="F51" s="102"/>
      <c r="G51" s="34"/>
      <c r="H51" s="34"/>
      <c r="I51" s="34"/>
      <c r="J51" s="34"/>
      <c r="K51" s="224"/>
      <c r="L51" s="548"/>
      <c r="M51" s="548"/>
      <c r="N51" s="548"/>
      <c r="O51" s="548"/>
      <c r="P51" s="548"/>
      <c r="Q51" s="548"/>
      <c r="R51" s="12"/>
    </row>
    <row r="52" spans="1:18" hidden="1">
      <c r="A52" s="496" t="str">
        <f>'[7]Lev. Consolid'!A45</f>
        <v>PRO FORMA EPS</v>
      </c>
      <c r="B52" s="88">
        <f>'[7]Lev. Consolid'!B45</f>
        <v>912749.04116753943</v>
      </c>
      <c r="C52" s="43" t="str">
        <f>'[7]Lev. Consolid'!C45</f>
        <v>M Shares</v>
      </c>
      <c r="D52" s="102"/>
      <c r="E52" s="102"/>
      <c r="F52" s="102"/>
      <c r="G52" s="832">
        <f>'[7]Lev. Consolid'!G45</f>
        <v>1.7215137926384017</v>
      </c>
      <c r="H52" s="832">
        <f>'[7]Lev. Consolid'!H45</f>
        <v>2.0464368893522527</v>
      </c>
      <c r="I52" s="832">
        <f>'[7]Lev. Consolid'!I45</f>
        <v>2.4477783432530673</v>
      </c>
      <c r="J52" s="832">
        <f>'[7]Lev. Consolid'!J45</f>
        <v>2.8882949500570954</v>
      </c>
      <c r="K52" s="833">
        <f>'[7]Lev. Consolid'!K45</f>
        <v>3.3998548262323567</v>
      </c>
      <c r="L52" s="548"/>
      <c r="M52" s="548"/>
      <c r="N52" s="548"/>
      <c r="O52" s="548"/>
      <c r="P52" s="548"/>
      <c r="Q52" s="548"/>
      <c r="R52" s="12"/>
    </row>
    <row r="53" spans="1:18" ht="13.5" hidden="1" thickBot="1">
      <c r="A53" s="496" t="str">
        <f>'[7]Lev. Consolid'!A46</f>
        <v xml:space="preserve">  Incremenal EPS</v>
      </c>
      <c r="B53" s="88"/>
      <c r="C53" s="34"/>
      <c r="D53" s="34"/>
      <c r="E53" s="34"/>
      <c r="F53" s="34"/>
      <c r="G53" s="834">
        <f>'[7]Lev. Consolid'!G46</f>
        <v>-7.8486207361598392E-2</v>
      </c>
      <c r="H53" s="834">
        <f>'[7]Lev. Consolid'!H46</f>
        <v>-5.3563110647747436E-2</v>
      </c>
      <c r="I53" s="834">
        <f>'[7]Lev. Consolid'!I46</f>
        <v>-3.0221656746932446E-2</v>
      </c>
      <c r="J53" s="834">
        <f>'[7]Lev. Consolid'!J46</f>
        <v>-3.5745049942904394E-2</v>
      </c>
      <c r="K53" s="835">
        <f>'[7]Lev. Consolid'!K46</f>
        <v>-5.0512373767642949E-2</v>
      </c>
      <c r="L53" s="548"/>
      <c r="M53" s="548"/>
      <c r="N53" s="548"/>
      <c r="O53" s="548"/>
      <c r="P53" s="548"/>
      <c r="Q53" s="548"/>
      <c r="R53" s="12"/>
    </row>
    <row r="54" spans="1:18" hidden="1">
      <c r="A54" s="836"/>
      <c r="B54" s="292"/>
      <c r="C54" s="292"/>
      <c r="D54" s="568"/>
      <c r="E54" s="568"/>
      <c r="F54" s="568"/>
      <c r="G54" s="568"/>
      <c r="H54" s="568"/>
      <c r="I54" s="568"/>
      <c r="J54" s="568"/>
      <c r="K54" s="837"/>
      <c r="L54" s="548"/>
      <c r="M54" s="548"/>
      <c r="N54" s="548"/>
      <c r="O54" s="548"/>
      <c r="P54" s="548"/>
      <c r="Q54" s="548"/>
      <c r="R54" s="12"/>
    </row>
    <row r="55" spans="1:18">
      <c r="A55" s="641"/>
      <c r="B55" s="34"/>
      <c r="C55" s="34"/>
      <c r="D55" s="548"/>
      <c r="E55" s="548"/>
      <c r="F55" s="548"/>
      <c r="G55" s="548"/>
      <c r="H55" s="548"/>
      <c r="I55" s="548"/>
      <c r="J55" s="548"/>
      <c r="K55" s="548"/>
      <c r="L55" s="548"/>
      <c r="M55" s="548"/>
      <c r="N55" s="548"/>
      <c r="O55" s="548"/>
      <c r="P55" s="548"/>
      <c r="Q55" s="548"/>
      <c r="R55" s="12"/>
    </row>
    <row r="56" spans="1:18" ht="13.5" thickBot="1"/>
    <row r="57" spans="1:18" ht="15">
      <c r="F57"/>
      <c r="G57" s="145" t="s">
        <v>10</v>
      </c>
      <c r="H57" s="146" t="str">
        <f>(Assumptions!D8-1&amp;" EBITDA")</f>
        <v>2001 EBITDA</v>
      </c>
      <c r="I57" s="146" t="s">
        <v>44</v>
      </c>
      <c r="J57" s="147"/>
      <c r="K57" s="1028" t="s">
        <v>11</v>
      </c>
      <c r="L57" s="1028"/>
      <c r="M57" s="1029"/>
      <c r="P57" s="1"/>
      <c r="Q57" s="1"/>
    </row>
    <row r="58" spans="1:18" ht="15">
      <c r="F58"/>
      <c r="G58" s="148" t="s">
        <v>12</v>
      </c>
      <c r="H58" s="149" t="s">
        <v>18</v>
      </c>
      <c r="I58" s="149" t="s">
        <v>45</v>
      </c>
      <c r="J58" s="150"/>
      <c r="K58" s="151">
        <v>0.108</v>
      </c>
      <c r="L58" s="599">
        <f>Scenarios!C6</f>
        <v>7.4999999999999997E-2</v>
      </c>
      <c r="M58" s="152">
        <f>Asset3Drate+0.025</f>
        <v>0.15</v>
      </c>
      <c r="P58" s="1"/>
      <c r="Q58" s="1"/>
    </row>
    <row r="59" spans="1:18">
      <c r="F59" s="8" t="s">
        <v>16</v>
      </c>
      <c r="G59" s="153"/>
      <c r="H59" s="154"/>
      <c r="I59" s="154"/>
      <c r="J59" s="143"/>
      <c r="K59" s="143"/>
      <c r="L59" s="143"/>
      <c r="M59" s="155"/>
      <c r="P59" s="1"/>
      <c r="Q59" s="1"/>
    </row>
    <row r="60" spans="1:18" ht="13.5" thickBot="1">
      <c r="F60">
        <f>IF(ABS(G60-L60)&lt;0.05,0,1)</f>
        <v>0</v>
      </c>
      <c r="G60" s="838">
        <v>2774093.7462023832</v>
      </c>
      <c r="H60" s="182">
        <f>CitrusPurPrice/G15</f>
        <v>11.264120263777711</v>
      </c>
      <c r="I60" s="183"/>
      <c r="J60" s="184"/>
      <c r="K60" s="839">
        <f>NPV(K58,$H$35:$Q$35)</f>
        <v>2202303.1813019346</v>
      </c>
      <c r="L60" s="839">
        <f>NPV(L58,$H$35:$Q$35)</f>
        <v>2774093.7462023832</v>
      </c>
      <c r="M60" s="840">
        <f>NPV(M58,$H$35:$Q$35)</f>
        <v>1676174.7800403405</v>
      </c>
      <c r="P60" s="1"/>
      <c r="Q60" s="1"/>
      <c r="R60" s="1"/>
    </row>
    <row r="61" spans="1:18">
      <c r="F61"/>
      <c r="G61" s="12"/>
      <c r="H61" s="144"/>
      <c r="I61" s="144"/>
      <c r="J61" s="674"/>
      <c r="K61" s="675"/>
      <c r="M61" s="70"/>
      <c r="P61" s="1"/>
      <c r="Q61" s="1"/>
      <c r="R61" s="1"/>
    </row>
    <row r="62" spans="1:18">
      <c r="F62" s="12"/>
      <c r="G62" s="1"/>
      <c r="H62" s="1"/>
      <c r="I62" s="1"/>
      <c r="J62" s="674"/>
      <c r="K62" s="856"/>
      <c r="N62" s="1"/>
      <c r="O62" s="1"/>
      <c r="P62" s="1"/>
      <c r="Q62" s="1"/>
    </row>
    <row r="63" spans="1:18">
      <c r="D63" s="12"/>
      <c r="E63" s="12"/>
      <c r="F63" s="12"/>
      <c r="G63" s="12"/>
      <c r="H63" s="12"/>
      <c r="I63" s="24"/>
      <c r="J63" s="24"/>
      <c r="K63" s="24"/>
      <c r="L63" s="24"/>
      <c r="M63" s="24"/>
      <c r="N63" s="24"/>
      <c r="O63" s="24"/>
      <c r="P63" s="24"/>
      <c r="Q63" s="24"/>
    </row>
    <row r="64" spans="1:18" ht="15.75">
      <c r="A64" s="483" t="s">
        <v>47</v>
      </c>
      <c r="B64" s="379"/>
      <c r="C64" s="379"/>
      <c r="D64" s="379"/>
      <c r="E64" s="379"/>
      <c r="F64" s="379"/>
      <c r="G64" s="379"/>
      <c r="H64" s="379"/>
      <c r="I64" s="379"/>
      <c r="J64" s="379"/>
      <c r="K64" s="379"/>
      <c r="L64" s="379"/>
      <c r="M64" s="379"/>
      <c r="N64" s="379"/>
      <c r="O64" s="379"/>
      <c r="P64" s="379"/>
      <c r="Q64" s="379"/>
      <c r="R64" s="24"/>
    </row>
    <row r="65" spans="1:17">
      <c r="D65" s="480"/>
      <c r="E65" s="480"/>
      <c r="F65" s="323"/>
      <c r="G65" s="309" t="s">
        <v>203</v>
      </c>
      <c r="H65" s="328"/>
      <c r="I65" s="323"/>
      <c r="J65" s="323"/>
      <c r="K65" s="246"/>
      <c r="L65" s="323"/>
      <c r="M65" s="246"/>
      <c r="N65" s="246"/>
      <c r="O65" s="246"/>
      <c r="P65" s="246"/>
      <c r="Q65" s="292"/>
    </row>
    <row r="66" spans="1:17" ht="13.5" thickBot="1">
      <c r="D66" s="256">
        <v>1998</v>
      </c>
      <c r="E66" s="256">
        <v>1999</v>
      </c>
      <c r="F66" s="256">
        <v>2000</v>
      </c>
      <c r="G66" s="256">
        <v>2001</v>
      </c>
      <c r="H66" s="289">
        <v>2002</v>
      </c>
      <c r="I66" s="289">
        <v>2003</v>
      </c>
      <c r="J66" s="289">
        <v>2004</v>
      </c>
      <c r="K66" s="289">
        <v>2005</v>
      </c>
      <c r="L66" s="289">
        <v>2006</v>
      </c>
      <c r="M66" s="293">
        <v>2007</v>
      </c>
      <c r="N66" s="293">
        <v>2008</v>
      </c>
      <c r="O66" s="293">
        <v>2009</v>
      </c>
      <c r="P66" s="293">
        <v>2010</v>
      </c>
      <c r="Q66" s="465">
        <v>2011</v>
      </c>
    </row>
    <row r="67" spans="1:17" ht="13.5" thickBot="1">
      <c r="B67" s="20" t="s">
        <v>477</v>
      </c>
      <c r="C67" s="806" t="s">
        <v>478</v>
      </c>
      <c r="F67" s="487" t="s">
        <v>213</v>
      </c>
      <c r="G67" s="256">
        <v>1</v>
      </c>
      <c r="H67" s="289">
        <v>2</v>
      </c>
      <c r="I67" s="289">
        <v>3</v>
      </c>
      <c r="J67" s="289">
        <v>4</v>
      </c>
      <c r="K67" s="289">
        <v>5</v>
      </c>
      <c r="L67" s="289">
        <v>6</v>
      </c>
      <c r="M67" s="289">
        <v>7</v>
      </c>
      <c r="N67" s="289">
        <v>8</v>
      </c>
      <c r="O67" s="289">
        <v>9</v>
      </c>
      <c r="P67" s="289">
        <v>10</v>
      </c>
      <c r="Q67" s="389">
        <v>11</v>
      </c>
    </row>
    <row r="68" spans="1:17" ht="13.5" thickBot="1">
      <c r="A68" s="841" t="str">
        <f>A2</f>
        <v>Citrus</v>
      </c>
      <c r="B68" s="808">
        <f>Assumptions!C28</f>
        <v>1</v>
      </c>
      <c r="C68" s="809">
        <v>1</v>
      </c>
      <c r="D68" s="801">
        <f>D76*$B$68</f>
        <v>0</v>
      </c>
      <c r="E68" s="801">
        <f>E76*$B$68</f>
        <v>0</v>
      </c>
      <c r="F68" s="801">
        <f>F76*$B$68</f>
        <v>0</v>
      </c>
      <c r="G68" s="46">
        <f t="shared" ref="G68:L68" si="15">CHOOSE($C$68,G76,G79,G82)*$B$68+G69</f>
        <v>346941</v>
      </c>
      <c r="H68" s="46">
        <f t="shared" si="15"/>
        <v>402886</v>
      </c>
      <c r="I68" s="46">
        <f t="shared" si="15"/>
        <v>429460</v>
      </c>
      <c r="J68" s="46">
        <f t="shared" si="15"/>
        <v>433496</v>
      </c>
      <c r="K68" s="46">
        <f t="shared" si="15"/>
        <v>431092</v>
      </c>
      <c r="L68" s="46">
        <f t="shared" si="15"/>
        <v>431092</v>
      </c>
      <c r="M68" s="46">
        <f>CHOOSE($C$68,M76,M79,M82)*$B$68+M69</f>
        <v>431092</v>
      </c>
      <c r="N68" s="46">
        <f>CHOOSE($C$68,N76,N79,N82)*$B$68+N69</f>
        <v>431092</v>
      </c>
      <c r="O68" s="46">
        <f>CHOOSE($C$68,O76,O79,O82)*$B$68+O69</f>
        <v>431092</v>
      </c>
      <c r="P68" s="46">
        <f>CHOOSE($C$68,P76,P79,P82)*$B$68+P69</f>
        <v>431092</v>
      </c>
      <c r="Q68" s="46">
        <f>CHOOSE($C$68,Q76,Q79,Q82)*$B$68+Q69</f>
        <v>431092</v>
      </c>
    </row>
    <row r="69" spans="1:17">
      <c r="C69" s="810"/>
      <c r="D69" s="16"/>
      <c r="E69" s="16"/>
      <c r="F69" s="799" t="s">
        <v>479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/>
      <c r="N69" s="1"/>
      <c r="O69" s="1"/>
      <c r="P69" s="1"/>
      <c r="Q69" s="1"/>
    </row>
    <row r="70" spans="1:17">
      <c r="C70" s="811"/>
      <c r="F70" s="7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7" t="str">
        <f>Assumptions!B33</f>
        <v>1. Base Case</v>
      </c>
      <c r="B71" s="20" t="s">
        <v>488</v>
      </c>
      <c r="C71" s="811"/>
    </row>
    <row r="72" spans="1:17">
      <c r="A72" s="6" t="s">
        <v>485</v>
      </c>
      <c r="B72" s="20" t="s">
        <v>489</v>
      </c>
      <c r="C72" s="811"/>
    </row>
    <row r="73" spans="1:17">
      <c r="A73" s="842" t="s">
        <v>490</v>
      </c>
      <c r="C73" s="811"/>
      <c r="D73" s="536">
        <v>284831</v>
      </c>
      <c r="E73" s="536">
        <v>334506</v>
      </c>
      <c r="F73" s="536">
        <v>168145</v>
      </c>
      <c r="G73" s="852">
        <v>345452</v>
      </c>
      <c r="H73" s="852">
        <v>402636</v>
      </c>
      <c r="I73" s="852">
        <v>429210</v>
      </c>
      <c r="J73" s="852">
        <v>433246</v>
      </c>
      <c r="K73" s="852">
        <v>430842</v>
      </c>
      <c r="L73" s="1">
        <f t="shared" ref="L73:Q74" si="16">K73</f>
        <v>430842</v>
      </c>
      <c r="M73" s="1">
        <f t="shared" si="16"/>
        <v>430842</v>
      </c>
      <c r="N73" s="1">
        <f t="shared" si="16"/>
        <v>430842</v>
      </c>
      <c r="O73" s="1">
        <f t="shared" si="16"/>
        <v>430842</v>
      </c>
      <c r="P73" s="1">
        <f t="shared" si="16"/>
        <v>430842</v>
      </c>
      <c r="Q73" s="1">
        <f t="shared" si="16"/>
        <v>430842</v>
      </c>
    </row>
    <row r="74" spans="1:17">
      <c r="A74" s="842" t="s">
        <v>58</v>
      </c>
      <c r="C74" s="811"/>
      <c r="D74" s="939">
        <v>306174</v>
      </c>
      <c r="E74" s="940">
        <v>304885</v>
      </c>
      <c r="F74" s="940">
        <v>307928</v>
      </c>
      <c r="G74" s="853">
        <v>1489</v>
      </c>
      <c r="H74" s="853">
        <v>250</v>
      </c>
      <c r="I74" s="853">
        <v>250</v>
      </c>
      <c r="J74" s="853">
        <v>250</v>
      </c>
      <c r="K74" s="853">
        <v>250</v>
      </c>
      <c r="L74" s="538">
        <f t="shared" si="16"/>
        <v>250</v>
      </c>
      <c r="M74" s="538">
        <f t="shared" si="16"/>
        <v>250</v>
      </c>
      <c r="N74" s="538">
        <f t="shared" si="16"/>
        <v>250</v>
      </c>
      <c r="O74" s="538">
        <f t="shared" si="16"/>
        <v>250</v>
      </c>
      <c r="P74" s="538">
        <f t="shared" si="16"/>
        <v>250</v>
      </c>
      <c r="Q74" s="538">
        <f t="shared" si="16"/>
        <v>250</v>
      </c>
    </row>
    <row r="75" spans="1:17">
      <c r="A75" s="6" t="s">
        <v>268</v>
      </c>
      <c r="B75" s="843">
        <v>1</v>
      </c>
      <c r="C75" s="811"/>
      <c r="D75" s="540">
        <f>SUM(D73:D74)*$B$75</f>
        <v>591005</v>
      </c>
      <c r="E75" s="540">
        <f>SUM(E73:E74)*$B$75</f>
        <v>639391</v>
      </c>
      <c r="F75" s="540">
        <f>SUM(F73:F74)*$B$75</f>
        <v>476073</v>
      </c>
      <c r="G75" s="539">
        <f t="shared" ref="G75:L75" si="17">SUM(G73:G74)*$B$75</f>
        <v>346941</v>
      </c>
      <c r="H75" s="539">
        <f t="shared" si="17"/>
        <v>402886</v>
      </c>
      <c r="I75" s="539">
        <f t="shared" si="17"/>
        <v>429460</v>
      </c>
      <c r="J75" s="539">
        <f t="shared" si="17"/>
        <v>433496</v>
      </c>
      <c r="K75" s="539">
        <f t="shared" si="17"/>
        <v>431092</v>
      </c>
      <c r="L75" s="539">
        <f t="shared" si="17"/>
        <v>431092</v>
      </c>
      <c r="M75" s="539">
        <f>SUM(M73:M74)*$B$75</f>
        <v>431092</v>
      </c>
      <c r="N75" s="539">
        <f>SUM(N73:N74)*$B$75</f>
        <v>431092</v>
      </c>
      <c r="O75" s="539">
        <f>SUM(O73:O74)*$B$75</f>
        <v>431092</v>
      </c>
      <c r="P75" s="539">
        <f>SUM(P73:P74)*$B$75</f>
        <v>431092</v>
      </c>
      <c r="Q75" s="539">
        <f>SUM(Q73:Q74)*$B$75</f>
        <v>431092</v>
      </c>
    </row>
    <row r="76" spans="1:17">
      <c r="A76" s="551" t="s">
        <v>268</v>
      </c>
      <c r="B76" s="550"/>
      <c r="C76" s="811"/>
      <c r="D76" s="547"/>
      <c r="E76" s="547"/>
      <c r="F76" s="547"/>
      <c r="G76" s="548">
        <f t="shared" ref="G76:Q76" si="18">G75</f>
        <v>346941</v>
      </c>
      <c r="H76" s="548">
        <f t="shared" si="18"/>
        <v>402886</v>
      </c>
      <c r="I76" s="548">
        <f t="shared" si="18"/>
        <v>429460</v>
      </c>
      <c r="J76" s="548">
        <f t="shared" si="18"/>
        <v>433496</v>
      </c>
      <c r="K76" s="548">
        <f t="shared" si="18"/>
        <v>431092</v>
      </c>
      <c r="L76" s="548">
        <f t="shared" si="18"/>
        <v>431092</v>
      </c>
      <c r="M76" s="548">
        <f t="shared" si="18"/>
        <v>431092</v>
      </c>
      <c r="N76" s="548">
        <f t="shared" si="18"/>
        <v>431092</v>
      </c>
      <c r="O76" s="548">
        <f t="shared" si="18"/>
        <v>431092</v>
      </c>
      <c r="P76" s="548">
        <f t="shared" si="18"/>
        <v>431092</v>
      </c>
      <c r="Q76" s="548">
        <f t="shared" si="18"/>
        <v>431092</v>
      </c>
    </row>
    <row r="77" spans="1:17">
      <c r="C77" s="811"/>
      <c r="D77" s="549"/>
      <c r="F77" s="77"/>
      <c r="G77" s="72"/>
      <c r="H77" s="72"/>
      <c r="I77" s="72"/>
      <c r="J77" s="78"/>
      <c r="K77" s="78"/>
      <c r="L77" s="72"/>
      <c r="M77" s="72"/>
      <c r="N77" s="72"/>
      <c r="O77" s="72"/>
      <c r="P77" s="72"/>
      <c r="Q77" s="72"/>
    </row>
    <row r="78" spans="1:17" hidden="1" outlineLevel="1">
      <c r="C78" s="811"/>
    </row>
    <row r="79" spans="1:17" hidden="1" outlineLevel="1">
      <c r="A79" s="7" t="str">
        <f>Assumptions!B34</f>
        <v>2. Optimistic</v>
      </c>
      <c r="B79" s="813">
        <v>1.1000000000000001</v>
      </c>
      <c r="C79" s="811">
        <v>2</v>
      </c>
      <c r="D79" s="798">
        <f>D76</f>
        <v>0</v>
      </c>
      <c r="E79" s="798">
        <f>E76</f>
        <v>0</v>
      </c>
      <c r="F79" s="798">
        <f>F76</f>
        <v>0</v>
      </c>
      <c r="G79" s="26">
        <f t="shared" ref="G79:L79" si="19">F79*$B$79+G80</f>
        <v>0</v>
      </c>
      <c r="H79" s="26">
        <f t="shared" si="19"/>
        <v>0</v>
      </c>
      <c r="I79" s="26">
        <f t="shared" si="19"/>
        <v>0</v>
      </c>
      <c r="J79" s="26">
        <f t="shared" si="19"/>
        <v>0</v>
      </c>
      <c r="K79" s="26">
        <f t="shared" si="19"/>
        <v>0</v>
      </c>
      <c r="L79" s="26">
        <f t="shared" si="19"/>
        <v>0</v>
      </c>
      <c r="M79" s="26">
        <f>L79*$B$79+M80</f>
        <v>0</v>
      </c>
      <c r="N79" s="26">
        <f>M79*$B$79+N80</f>
        <v>0</v>
      </c>
      <c r="O79" s="26">
        <f>N79*$B$79+O80</f>
        <v>0</v>
      </c>
      <c r="P79" s="26">
        <f>O79*$B$79+P80</f>
        <v>0</v>
      </c>
      <c r="Q79" s="26">
        <f>P79*$B$79+Q80</f>
        <v>0</v>
      </c>
    </row>
    <row r="80" spans="1:17" hidden="1" outlineLevel="1">
      <c r="A80" s="7"/>
      <c r="C80" s="811"/>
      <c r="D80" s="16"/>
      <c r="E80" s="16"/>
      <c r="F80" s="799" t="s">
        <v>479</v>
      </c>
      <c r="G80" s="1">
        <v>0</v>
      </c>
      <c r="H80" s="1">
        <v>0</v>
      </c>
      <c r="I80" s="1">
        <f t="shared" ref="I80:Q80" si="20">H80</f>
        <v>0</v>
      </c>
      <c r="J80" s="12">
        <f t="shared" si="20"/>
        <v>0</v>
      </c>
      <c r="K80" s="12">
        <f t="shared" si="20"/>
        <v>0</v>
      </c>
      <c r="L80" s="1">
        <f t="shared" si="20"/>
        <v>0</v>
      </c>
      <c r="M80" s="1">
        <f t="shared" si="20"/>
        <v>0</v>
      </c>
      <c r="N80" s="1">
        <f t="shared" si="20"/>
        <v>0</v>
      </c>
      <c r="O80" s="1">
        <f t="shared" si="20"/>
        <v>0</v>
      </c>
      <c r="P80" s="1">
        <f t="shared" si="20"/>
        <v>0</v>
      </c>
      <c r="Q80" s="1">
        <f t="shared" si="20"/>
        <v>0</v>
      </c>
    </row>
    <row r="81" spans="1:18" hidden="1" outlineLevel="1">
      <c r="A81" s="7"/>
      <c r="C81" s="811"/>
    </row>
    <row r="82" spans="1:18" hidden="1" outlineLevel="1">
      <c r="A82" s="7" t="str">
        <f>Assumptions!B35</f>
        <v>3. Pessimistic</v>
      </c>
      <c r="B82" s="813">
        <v>0.9</v>
      </c>
      <c r="C82" s="811">
        <v>3</v>
      </c>
      <c r="D82" s="798">
        <f>D76</f>
        <v>0</v>
      </c>
      <c r="E82" s="798">
        <f>E76</f>
        <v>0</v>
      </c>
      <c r="F82" s="798">
        <f>F76</f>
        <v>0</v>
      </c>
      <c r="G82" s="26">
        <f t="shared" ref="G82:L82" si="21">F82*$B$82+G83</f>
        <v>0</v>
      </c>
      <c r="H82" s="26">
        <f t="shared" si="21"/>
        <v>0</v>
      </c>
      <c r="I82" s="26">
        <f t="shared" si="21"/>
        <v>0</v>
      </c>
      <c r="J82" s="26">
        <f t="shared" si="21"/>
        <v>0</v>
      </c>
      <c r="K82" s="26">
        <f t="shared" si="21"/>
        <v>0</v>
      </c>
      <c r="L82" s="26">
        <f t="shared" si="21"/>
        <v>0</v>
      </c>
      <c r="M82" s="26">
        <f>L82*$B$82+M83</f>
        <v>0</v>
      </c>
      <c r="N82" s="26">
        <f>M82*$B$82+N83</f>
        <v>0</v>
      </c>
      <c r="O82" s="26">
        <f>N82*$B$82+O83</f>
        <v>0</v>
      </c>
      <c r="P82" s="26">
        <f>O82*$B$82+P83</f>
        <v>0</v>
      </c>
      <c r="Q82" s="26">
        <f>P82*$B$82+Q83</f>
        <v>0</v>
      </c>
    </row>
    <row r="83" spans="1:18" ht="13.5" hidden="1" outlineLevel="1" thickBot="1">
      <c r="C83" s="815"/>
      <c r="D83" s="16"/>
      <c r="E83" s="16"/>
      <c r="F83" s="799" t="s">
        <v>479</v>
      </c>
      <c r="G83" s="1">
        <v>0</v>
      </c>
      <c r="H83" s="1">
        <v>0</v>
      </c>
      <c r="I83" s="1">
        <f t="shared" ref="I83:Q83" si="22">H83</f>
        <v>0</v>
      </c>
      <c r="J83" s="12">
        <f t="shared" si="22"/>
        <v>0</v>
      </c>
      <c r="K83" s="12">
        <f t="shared" si="22"/>
        <v>0</v>
      </c>
      <c r="L83" s="1">
        <f t="shared" si="22"/>
        <v>0</v>
      </c>
      <c r="M83" s="1">
        <f t="shared" si="22"/>
        <v>0</v>
      </c>
      <c r="N83" s="1">
        <f t="shared" si="22"/>
        <v>0</v>
      </c>
      <c r="O83" s="1">
        <f t="shared" si="22"/>
        <v>0</v>
      </c>
      <c r="P83" s="1">
        <f t="shared" si="22"/>
        <v>0</v>
      </c>
      <c r="Q83" s="1">
        <f t="shared" si="22"/>
        <v>0</v>
      </c>
    </row>
    <row r="84" spans="1:18" hidden="1" outlineLevel="1"/>
    <row r="85" spans="1:18" collapsed="1"/>
    <row r="86" spans="1:18" ht="15.75">
      <c r="A86" s="483" t="s">
        <v>241</v>
      </c>
      <c r="B86" s="379"/>
      <c r="C86" s="379"/>
      <c r="D86" s="379"/>
      <c r="E86" s="379"/>
      <c r="F86" s="379"/>
      <c r="G86" s="379"/>
      <c r="H86" s="379"/>
      <c r="I86" s="379"/>
      <c r="J86" s="379"/>
      <c r="K86" s="379"/>
      <c r="L86" s="379"/>
      <c r="M86" s="379"/>
      <c r="N86" s="379"/>
      <c r="O86" s="379"/>
      <c r="P86" s="379"/>
      <c r="Q86" s="379"/>
      <c r="R86" s="24"/>
    </row>
    <row r="87" spans="1:18" s="24" customFormat="1" ht="14.25" customHeight="1">
      <c r="A87" s="488"/>
      <c r="D87" s="480"/>
      <c r="E87" s="480"/>
      <c r="F87" s="323"/>
      <c r="G87" s="309" t="s">
        <v>203</v>
      </c>
      <c r="H87" s="328"/>
      <c r="I87" s="323"/>
      <c r="J87" s="323"/>
      <c r="K87" s="246"/>
      <c r="L87" s="323"/>
      <c r="M87" s="246"/>
      <c r="N87" s="246"/>
      <c r="O87" s="246"/>
      <c r="P87" s="246"/>
      <c r="Q87" s="292"/>
    </row>
    <row r="88" spans="1:18" s="24" customFormat="1" ht="16.5" thickBot="1">
      <c r="A88" s="488"/>
      <c r="D88" s="256">
        <v>1998</v>
      </c>
      <c r="E88" s="256">
        <v>1999</v>
      </c>
      <c r="F88" s="256">
        <v>2000</v>
      </c>
      <c r="G88" s="256">
        <v>2001</v>
      </c>
      <c r="H88" s="289">
        <v>2002</v>
      </c>
      <c r="I88" s="289">
        <v>2003</v>
      </c>
      <c r="J88" s="289">
        <v>2004</v>
      </c>
      <c r="K88" s="289">
        <v>2005</v>
      </c>
      <c r="L88" s="289">
        <v>2006</v>
      </c>
      <c r="M88" s="293">
        <v>2007</v>
      </c>
      <c r="N88" s="293">
        <v>2008</v>
      </c>
      <c r="O88" s="293">
        <v>2009</v>
      </c>
      <c r="P88" s="293">
        <v>2010</v>
      </c>
      <c r="Q88" s="465">
        <v>2011</v>
      </c>
    </row>
    <row r="89" spans="1:18" ht="13.5" thickBot="1">
      <c r="B89" s="20" t="s">
        <v>477</v>
      </c>
      <c r="C89" s="806" t="s">
        <v>478</v>
      </c>
      <c r="F89" s="487" t="s">
        <v>213</v>
      </c>
      <c r="G89" s="256">
        <v>1</v>
      </c>
      <c r="H89" s="289">
        <v>2</v>
      </c>
      <c r="I89" s="289">
        <v>3</v>
      </c>
      <c r="J89" s="289">
        <v>4</v>
      </c>
      <c r="K89" s="289">
        <v>5</v>
      </c>
      <c r="L89" s="289">
        <v>6</v>
      </c>
      <c r="M89" s="289">
        <v>7</v>
      </c>
      <c r="N89" s="289">
        <v>8</v>
      </c>
      <c r="O89" s="289">
        <v>9</v>
      </c>
      <c r="P89" s="289">
        <v>10</v>
      </c>
      <c r="Q89" s="389">
        <v>11</v>
      </c>
    </row>
    <row r="90" spans="1:18" ht="13.5" thickBot="1">
      <c r="A90" s="841" t="str">
        <f>A2</f>
        <v>Citrus</v>
      </c>
      <c r="B90" s="808">
        <f>Assumptions!C28</f>
        <v>1</v>
      </c>
      <c r="C90" s="816">
        <v>1</v>
      </c>
      <c r="D90" s="73">
        <f>D100*$B$90</f>
        <v>371819</v>
      </c>
      <c r="E90" s="73">
        <f>E100*$B$90</f>
        <v>431944</v>
      </c>
      <c r="F90" s="73">
        <f>F100*$B$90</f>
        <v>261030</v>
      </c>
      <c r="G90" s="46">
        <f t="shared" ref="G90:L90" si="23">CHOOSE($C$90,G100,G103,G106)*$B$90+G91</f>
        <v>100664</v>
      </c>
      <c r="H90" s="46">
        <f t="shared" si="23"/>
        <v>108845</v>
      </c>
      <c r="I90" s="46">
        <f t="shared" si="23"/>
        <v>104444</v>
      </c>
      <c r="J90" s="46">
        <f t="shared" si="23"/>
        <v>109651</v>
      </c>
      <c r="K90" s="46">
        <f t="shared" si="23"/>
        <v>111033</v>
      </c>
      <c r="L90" s="46">
        <f t="shared" si="23"/>
        <v>111033</v>
      </c>
      <c r="M90" s="46">
        <f>CHOOSE($C$90,M100,M103,M106)*$B$90+M91</f>
        <v>111033</v>
      </c>
      <c r="N90" s="46">
        <f>CHOOSE($C$90,N100,N103,N106)*$B$90+N91</f>
        <v>111033</v>
      </c>
      <c r="O90" s="46">
        <f>CHOOSE($C$90,O100,O103,O106)*$B$90+O91</f>
        <v>111033</v>
      </c>
      <c r="P90" s="46">
        <f>CHOOSE($C$90,P100,P103,P106)*$B$90+P91</f>
        <v>111033</v>
      </c>
      <c r="Q90" s="46">
        <f>CHOOSE($C$90,Q100,Q103,Q106)*$B$90+Q91</f>
        <v>111033</v>
      </c>
    </row>
    <row r="91" spans="1:18">
      <c r="C91" s="817"/>
      <c r="D91" s="16"/>
      <c r="E91" s="16"/>
      <c r="F91" s="799" t="s">
        <v>479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8">
      <c r="C92" s="818"/>
      <c r="D92" s="800"/>
      <c r="E92" s="800"/>
    </row>
    <row r="93" spans="1:18">
      <c r="A93" s="7" t="str">
        <f>Assumptions!B39</f>
        <v>1. Base Case</v>
      </c>
      <c r="C93" s="818"/>
    </row>
    <row r="94" spans="1:18">
      <c r="B94" s="20" t="s">
        <v>488</v>
      </c>
      <c r="C94" s="818"/>
    </row>
    <row r="95" spans="1:18">
      <c r="A95" s="636" t="s">
        <v>491</v>
      </c>
      <c r="B95" s="20" t="s">
        <v>489</v>
      </c>
      <c r="C95" s="818"/>
    </row>
    <row r="96" spans="1:18">
      <c r="A96" s="842" t="s">
        <v>492</v>
      </c>
      <c r="B96" s="72"/>
      <c r="C96" s="818"/>
      <c r="D96" s="536">
        <v>78061</v>
      </c>
      <c r="E96" s="536">
        <v>81667</v>
      </c>
      <c r="F96" s="536">
        <v>78982</v>
      </c>
      <c r="G96" s="852">
        <v>66149</v>
      </c>
      <c r="H96" s="852">
        <v>73376</v>
      </c>
      <c r="I96" s="852">
        <v>69037</v>
      </c>
      <c r="J96" s="852">
        <v>69491</v>
      </c>
      <c r="K96" s="852">
        <v>69991</v>
      </c>
      <c r="L96" s="1">
        <f t="shared" ref="L96:Q98" si="24">K96</f>
        <v>69991</v>
      </c>
      <c r="M96" s="1">
        <f t="shared" si="24"/>
        <v>69991</v>
      </c>
      <c r="N96" s="1">
        <f t="shared" si="24"/>
        <v>69991</v>
      </c>
      <c r="O96" s="1">
        <f t="shared" si="24"/>
        <v>69991</v>
      </c>
      <c r="P96" s="1">
        <f t="shared" si="24"/>
        <v>69991</v>
      </c>
      <c r="Q96" s="1">
        <f t="shared" si="24"/>
        <v>69991</v>
      </c>
    </row>
    <row r="97" spans="1:17">
      <c r="A97" s="842" t="s">
        <v>493</v>
      </c>
      <c r="B97" s="72"/>
      <c r="C97" s="818"/>
      <c r="D97" s="536">
        <v>269818</v>
      </c>
      <c r="E97" s="536">
        <v>324854</v>
      </c>
      <c r="F97" s="536">
        <v>162348</v>
      </c>
      <c r="G97" s="852">
        <v>6661</v>
      </c>
      <c r="H97" s="852">
        <v>6563</v>
      </c>
      <c r="I97" s="852">
        <v>6417</v>
      </c>
      <c r="J97" s="852">
        <v>6417</v>
      </c>
      <c r="K97" s="852">
        <v>6417</v>
      </c>
      <c r="L97" s="1">
        <f t="shared" si="24"/>
        <v>6417</v>
      </c>
      <c r="M97" s="1">
        <f t="shared" si="24"/>
        <v>6417</v>
      </c>
      <c r="N97" s="1">
        <f t="shared" si="24"/>
        <v>6417</v>
      </c>
      <c r="O97" s="1">
        <f t="shared" si="24"/>
        <v>6417</v>
      </c>
      <c r="P97" s="1">
        <f t="shared" si="24"/>
        <v>6417</v>
      </c>
      <c r="Q97" s="1">
        <f t="shared" si="24"/>
        <v>6417</v>
      </c>
    </row>
    <row r="98" spans="1:17">
      <c r="A98" s="842" t="s">
        <v>494</v>
      </c>
      <c r="B98" s="72"/>
      <c r="C98" s="818"/>
      <c r="D98" s="939">
        <v>23940</v>
      </c>
      <c r="E98" s="940">
        <v>25423</v>
      </c>
      <c r="F98" s="940">
        <v>19700</v>
      </c>
      <c r="G98" s="853">
        <v>27854</v>
      </c>
      <c r="H98" s="853">
        <v>28906</v>
      </c>
      <c r="I98" s="853">
        <v>28990</v>
      </c>
      <c r="J98" s="853">
        <v>33743</v>
      </c>
      <c r="K98" s="853">
        <v>34625</v>
      </c>
      <c r="L98" s="538">
        <f t="shared" si="24"/>
        <v>34625</v>
      </c>
      <c r="M98" s="538">
        <f t="shared" si="24"/>
        <v>34625</v>
      </c>
      <c r="N98" s="538">
        <f t="shared" si="24"/>
        <v>34625</v>
      </c>
      <c r="O98" s="538">
        <f t="shared" si="24"/>
        <v>34625</v>
      </c>
      <c r="P98" s="538">
        <f t="shared" si="24"/>
        <v>34625</v>
      </c>
      <c r="Q98" s="538">
        <f t="shared" si="24"/>
        <v>34625</v>
      </c>
    </row>
    <row r="99" spans="1:17">
      <c r="A99" s="6" t="s">
        <v>495</v>
      </c>
      <c r="B99" s="843">
        <v>1</v>
      </c>
      <c r="C99" s="818"/>
      <c r="D99" s="18">
        <f>SUM(D96:D98)*$B$99</f>
        <v>371819</v>
      </c>
      <c r="E99" s="18">
        <f>SUM(E96:E98)*$B$99</f>
        <v>431944</v>
      </c>
      <c r="F99" s="18">
        <f>SUM(F96:F98)*$B$99</f>
        <v>261030</v>
      </c>
      <c r="G99" s="539">
        <f t="shared" ref="G99:L99" si="25">SUM(G96:G98)*$B$99</f>
        <v>100664</v>
      </c>
      <c r="H99" s="539">
        <f t="shared" si="25"/>
        <v>108845</v>
      </c>
      <c r="I99" s="539">
        <f t="shared" si="25"/>
        <v>104444</v>
      </c>
      <c r="J99" s="539">
        <f t="shared" si="25"/>
        <v>109651</v>
      </c>
      <c r="K99" s="539">
        <f t="shared" si="25"/>
        <v>111033</v>
      </c>
      <c r="L99" s="539">
        <f t="shared" si="25"/>
        <v>111033</v>
      </c>
      <c r="M99" s="539">
        <f>SUM(M96:M98)*$B$99</f>
        <v>111033</v>
      </c>
      <c r="N99" s="539">
        <f>SUM(N96:N98)*$B$99</f>
        <v>111033</v>
      </c>
      <c r="O99" s="539">
        <f>SUM(O96:O98)*$B$99</f>
        <v>111033</v>
      </c>
      <c r="P99" s="539">
        <f>SUM(P96:P98)*$B$99</f>
        <v>111033</v>
      </c>
      <c r="Q99" s="539">
        <f>SUM(Q96:Q98)*$B$99</f>
        <v>111033</v>
      </c>
    </row>
    <row r="100" spans="1:17">
      <c r="A100" s="551" t="s">
        <v>279</v>
      </c>
      <c r="B100" s="819">
        <v>1</v>
      </c>
      <c r="C100" s="811">
        <v>1</v>
      </c>
      <c r="D100" s="565">
        <f>D99</f>
        <v>371819</v>
      </c>
      <c r="E100" s="565">
        <f>E99</f>
        <v>431944</v>
      </c>
      <c r="F100" s="565">
        <f>F99</f>
        <v>261030</v>
      </c>
      <c r="G100" s="566">
        <f t="shared" ref="G100:Q100" si="26">G99</f>
        <v>100664</v>
      </c>
      <c r="H100" s="566">
        <f t="shared" si="26"/>
        <v>108845</v>
      </c>
      <c r="I100" s="566">
        <f t="shared" si="26"/>
        <v>104444</v>
      </c>
      <c r="J100" s="566">
        <f t="shared" si="26"/>
        <v>109651</v>
      </c>
      <c r="K100" s="566">
        <f t="shared" si="26"/>
        <v>111033</v>
      </c>
      <c r="L100" s="566">
        <f t="shared" si="26"/>
        <v>111033</v>
      </c>
      <c r="M100" s="566">
        <f t="shared" si="26"/>
        <v>111033</v>
      </c>
      <c r="N100" s="566">
        <f t="shared" si="26"/>
        <v>111033</v>
      </c>
      <c r="O100" s="566">
        <f t="shared" si="26"/>
        <v>111033</v>
      </c>
      <c r="P100" s="566">
        <f t="shared" si="26"/>
        <v>111033</v>
      </c>
      <c r="Q100" s="566">
        <f t="shared" si="26"/>
        <v>111033</v>
      </c>
    </row>
    <row r="101" spans="1:17">
      <c r="C101" s="818"/>
      <c r="F101" s="77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</row>
    <row r="102" spans="1:17" hidden="1" outlineLevel="1">
      <c r="C102" s="818"/>
    </row>
    <row r="103" spans="1:17" hidden="1" outlineLevel="1">
      <c r="A103" s="7" t="str">
        <f>Assumptions!B40</f>
        <v>2. Optimistic</v>
      </c>
      <c r="B103" s="819">
        <v>0.9</v>
      </c>
      <c r="C103" s="811">
        <v>2</v>
      </c>
      <c r="D103" s="791">
        <f>D100</f>
        <v>371819</v>
      </c>
      <c r="E103" s="791">
        <f>E100</f>
        <v>431944</v>
      </c>
      <c r="F103" s="791">
        <f>F100</f>
        <v>261030</v>
      </c>
      <c r="G103" s="26">
        <f t="shared" ref="G103:Q103" si="27">F103*$B$103+G104</f>
        <v>234927</v>
      </c>
      <c r="H103" s="26">
        <f t="shared" si="27"/>
        <v>211434.30000000002</v>
      </c>
      <c r="I103" s="26">
        <f t="shared" si="27"/>
        <v>190290.87000000002</v>
      </c>
      <c r="J103" s="26">
        <f t="shared" si="27"/>
        <v>171261.78300000002</v>
      </c>
      <c r="K103" s="26">
        <f t="shared" si="27"/>
        <v>154135.60470000003</v>
      </c>
      <c r="L103" s="26">
        <f t="shared" si="27"/>
        <v>138722.04423000003</v>
      </c>
      <c r="M103" s="26">
        <f t="shared" si="27"/>
        <v>124849.83980700003</v>
      </c>
      <c r="N103" s="26">
        <f t="shared" si="27"/>
        <v>112364.85582630003</v>
      </c>
      <c r="O103" s="26">
        <f t="shared" si="27"/>
        <v>101128.37024367003</v>
      </c>
      <c r="P103" s="26">
        <f t="shared" si="27"/>
        <v>91015.533219303019</v>
      </c>
      <c r="Q103" s="26">
        <f t="shared" si="27"/>
        <v>81913.979897372716</v>
      </c>
    </row>
    <row r="104" spans="1:17" hidden="1" outlineLevel="1">
      <c r="A104" s="7"/>
      <c r="C104" s="821"/>
      <c r="D104" s="16"/>
      <c r="E104" s="16"/>
      <c r="F104" s="799" t="s">
        <v>479</v>
      </c>
      <c r="G104" s="1">
        <v>0</v>
      </c>
      <c r="H104" s="1">
        <v>0</v>
      </c>
      <c r="I104" s="1">
        <f t="shared" ref="I104:Q104" si="28">H104</f>
        <v>0</v>
      </c>
      <c r="J104" s="12">
        <f t="shared" si="28"/>
        <v>0</v>
      </c>
      <c r="K104" s="12">
        <f t="shared" si="28"/>
        <v>0</v>
      </c>
      <c r="L104" s="1">
        <f t="shared" si="28"/>
        <v>0</v>
      </c>
      <c r="M104" s="1">
        <f t="shared" si="28"/>
        <v>0</v>
      </c>
      <c r="N104" s="1">
        <f t="shared" si="28"/>
        <v>0</v>
      </c>
      <c r="O104" s="1">
        <f t="shared" si="28"/>
        <v>0</v>
      </c>
      <c r="P104" s="1">
        <f t="shared" si="28"/>
        <v>0</v>
      </c>
      <c r="Q104" s="1">
        <f t="shared" si="28"/>
        <v>0</v>
      </c>
    </row>
    <row r="105" spans="1:17" hidden="1" outlineLevel="1">
      <c r="A105" s="7"/>
      <c r="C105" s="821"/>
    </row>
    <row r="106" spans="1:17" hidden="1" outlineLevel="1">
      <c r="A106" s="7" t="str">
        <f>Assumptions!B41</f>
        <v>3. Pessimistic</v>
      </c>
      <c r="B106" s="819">
        <v>1.1000000000000001</v>
      </c>
      <c r="C106" s="811">
        <v>3</v>
      </c>
      <c r="D106" s="791">
        <f>D100</f>
        <v>371819</v>
      </c>
      <c r="E106" s="791">
        <f>E100</f>
        <v>431944</v>
      </c>
      <c r="F106" s="791">
        <f>F100</f>
        <v>261030</v>
      </c>
      <c r="G106" s="26">
        <f t="shared" ref="G106:Q106" si="29">F106*$B$106+G107</f>
        <v>287133</v>
      </c>
      <c r="H106" s="26">
        <f t="shared" si="29"/>
        <v>315846.30000000005</v>
      </c>
      <c r="I106" s="26">
        <f t="shared" si="29"/>
        <v>347430.93000000005</v>
      </c>
      <c r="J106" s="26">
        <f t="shared" si="29"/>
        <v>382174.0230000001</v>
      </c>
      <c r="K106" s="26">
        <f t="shared" si="29"/>
        <v>420391.42530000012</v>
      </c>
      <c r="L106" s="26">
        <f t="shared" si="29"/>
        <v>462430.56783000019</v>
      </c>
      <c r="M106" s="26">
        <f t="shared" si="29"/>
        <v>508673.62461300025</v>
      </c>
      <c r="N106" s="26">
        <f t="shared" si="29"/>
        <v>559540.9870743003</v>
      </c>
      <c r="O106" s="26">
        <f t="shared" si="29"/>
        <v>615495.08578173036</v>
      </c>
      <c r="P106" s="26">
        <f t="shared" si="29"/>
        <v>677044.59435990348</v>
      </c>
      <c r="Q106" s="26">
        <f t="shared" si="29"/>
        <v>744749.05379589391</v>
      </c>
    </row>
    <row r="107" spans="1:17" ht="13.5" hidden="1" outlineLevel="1" thickBot="1">
      <c r="C107" s="815"/>
      <c r="D107" s="16"/>
      <c r="E107" s="16"/>
      <c r="F107" s="799" t="s">
        <v>479</v>
      </c>
      <c r="G107" s="1">
        <v>0</v>
      </c>
      <c r="H107" s="1">
        <v>0</v>
      </c>
      <c r="I107" s="1">
        <f t="shared" ref="I107:Q107" si="30">H107</f>
        <v>0</v>
      </c>
      <c r="J107" s="12">
        <f t="shared" si="30"/>
        <v>0</v>
      </c>
      <c r="K107" s="12">
        <f t="shared" si="30"/>
        <v>0</v>
      </c>
      <c r="L107" s="1">
        <f t="shared" si="30"/>
        <v>0</v>
      </c>
      <c r="M107" s="1">
        <f t="shared" si="30"/>
        <v>0</v>
      </c>
      <c r="N107" s="1">
        <f t="shared" si="30"/>
        <v>0</v>
      </c>
      <c r="O107" s="1">
        <f t="shared" si="30"/>
        <v>0</v>
      </c>
      <c r="P107" s="1">
        <f t="shared" si="30"/>
        <v>0</v>
      </c>
      <c r="Q107" s="1">
        <f t="shared" si="30"/>
        <v>0</v>
      </c>
    </row>
    <row r="108" spans="1:17" collapsed="1"/>
    <row r="109" spans="1:17" ht="15.75">
      <c r="A109" s="483" t="s">
        <v>282</v>
      </c>
      <c r="B109" s="379"/>
      <c r="C109" s="379"/>
      <c r="D109" s="379"/>
      <c r="E109" s="379"/>
      <c r="F109" s="379"/>
      <c r="G109" s="379"/>
      <c r="H109" s="379"/>
      <c r="I109" s="379"/>
      <c r="J109" s="379"/>
      <c r="K109" s="379"/>
      <c r="L109" s="379"/>
      <c r="M109" s="379"/>
      <c r="N109" s="379"/>
      <c r="O109" s="379"/>
      <c r="P109" s="379"/>
      <c r="Q109" s="379"/>
    </row>
    <row r="110" spans="1:17" s="24" customFormat="1" ht="12.75" customHeight="1">
      <c r="A110" s="488"/>
      <c r="D110" s="480"/>
      <c r="E110" s="480"/>
      <c r="F110" s="323"/>
      <c r="G110" s="309" t="s">
        <v>203</v>
      </c>
      <c r="H110" s="328"/>
      <c r="I110" s="323"/>
      <c r="J110" s="323"/>
      <c r="K110" s="246"/>
      <c r="L110" s="323"/>
      <c r="M110" s="246"/>
      <c r="N110" s="246"/>
      <c r="O110" s="246"/>
      <c r="P110" s="246"/>
      <c r="Q110" s="292"/>
    </row>
    <row r="111" spans="1:17" s="24" customFormat="1" ht="12.75" customHeight="1">
      <c r="A111" s="488"/>
      <c r="B111" s="20" t="s">
        <v>488</v>
      </c>
      <c r="D111" s="256">
        <v>1998</v>
      </c>
      <c r="E111" s="256">
        <v>1999</v>
      </c>
      <c r="F111" s="256">
        <v>2000</v>
      </c>
      <c r="G111" s="256">
        <v>2001</v>
      </c>
      <c r="H111" s="289">
        <v>2002</v>
      </c>
      <c r="I111" s="289">
        <v>2003</v>
      </c>
      <c r="J111" s="289">
        <v>2004</v>
      </c>
      <c r="K111" s="289">
        <v>2005</v>
      </c>
      <c r="L111" s="289">
        <v>2006</v>
      </c>
      <c r="M111" s="293">
        <v>2007</v>
      </c>
      <c r="N111" s="293">
        <v>2008</v>
      </c>
      <c r="O111" s="293">
        <v>2009</v>
      </c>
      <c r="P111" s="293">
        <v>2010</v>
      </c>
      <c r="Q111" s="465">
        <v>2011</v>
      </c>
    </row>
    <row r="112" spans="1:17" s="24" customFormat="1" ht="12.75" customHeight="1">
      <c r="A112" s="488"/>
      <c r="B112" s="20" t="s">
        <v>489</v>
      </c>
      <c r="F112" s="487" t="s">
        <v>213</v>
      </c>
      <c r="G112" s="256">
        <v>1</v>
      </c>
      <c r="H112" s="289">
        <v>2</v>
      </c>
      <c r="I112" s="289">
        <v>3</v>
      </c>
      <c r="J112" s="289">
        <v>4</v>
      </c>
      <c r="K112" s="289">
        <v>5</v>
      </c>
      <c r="L112" s="289">
        <v>6</v>
      </c>
      <c r="M112" s="289">
        <v>7</v>
      </c>
      <c r="N112" s="289">
        <v>8</v>
      </c>
      <c r="O112" s="289">
        <v>9</v>
      </c>
      <c r="P112" s="289">
        <v>10</v>
      </c>
      <c r="Q112" s="389">
        <v>11</v>
      </c>
    </row>
    <row r="113" spans="1:17">
      <c r="A113" s="6" t="s">
        <v>496</v>
      </c>
      <c r="B113" s="843">
        <v>1</v>
      </c>
      <c r="D113" s="540">
        <f>44639-1241</f>
        <v>43398</v>
      </c>
      <c r="E113" s="540">
        <f>80595-2183</f>
        <v>78412</v>
      </c>
      <c r="F113" s="540">
        <f>261252-15176</f>
        <v>246076</v>
      </c>
      <c r="G113" s="844">
        <f>$B$113*220271</f>
        <v>220271</v>
      </c>
      <c r="H113" s="844">
        <f>$B$113*288077</f>
        <v>288077</v>
      </c>
      <c r="I113" s="844">
        <f>55294*$B$113</f>
        <v>55294</v>
      </c>
      <c r="J113" s="844">
        <f>25943*$B$113</f>
        <v>25943</v>
      </c>
      <c r="K113" s="844">
        <f>25943*$B$113</f>
        <v>25943</v>
      </c>
      <c r="L113" s="539">
        <f>K113*$B$113</f>
        <v>25943</v>
      </c>
      <c r="M113" s="539">
        <f>L113</f>
        <v>25943</v>
      </c>
      <c r="N113" s="539">
        <f>M113</f>
        <v>25943</v>
      </c>
      <c r="O113" s="539">
        <f>N113</f>
        <v>25943</v>
      </c>
      <c r="P113" s="539">
        <f>O113</f>
        <v>25943</v>
      </c>
      <c r="Q113" s="539">
        <f>P113</f>
        <v>25943</v>
      </c>
    </row>
    <row r="114" spans="1:17">
      <c r="A114" s="38" t="s">
        <v>283</v>
      </c>
      <c r="D114" s="565">
        <f t="shared" ref="D114:Q114" si="31">D113</f>
        <v>43398</v>
      </c>
      <c r="E114" s="565">
        <f t="shared" si="31"/>
        <v>78412</v>
      </c>
      <c r="F114" s="565">
        <f t="shared" si="31"/>
        <v>246076</v>
      </c>
      <c r="G114" s="566">
        <f t="shared" si="31"/>
        <v>220271</v>
      </c>
      <c r="H114" s="566">
        <f t="shared" si="31"/>
        <v>288077</v>
      </c>
      <c r="I114" s="566">
        <f t="shared" si="31"/>
        <v>55294</v>
      </c>
      <c r="J114" s="566">
        <f t="shared" si="31"/>
        <v>25943</v>
      </c>
      <c r="K114" s="566">
        <f t="shared" si="31"/>
        <v>25943</v>
      </c>
      <c r="L114" s="566">
        <f t="shared" si="31"/>
        <v>25943</v>
      </c>
      <c r="M114" s="566">
        <f t="shared" si="31"/>
        <v>25943</v>
      </c>
      <c r="N114" s="566">
        <f t="shared" si="31"/>
        <v>25943</v>
      </c>
      <c r="O114" s="566">
        <f t="shared" si="31"/>
        <v>25943</v>
      </c>
      <c r="P114" s="566">
        <f t="shared" si="31"/>
        <v>25943</v>
      </c>
      <c r="Q114" s="566">
        <f t="shared" si="31"/>
        <v>25943</v>
      </c>
    </row>
    <row r="115" spans="1:17">
      <c r="A115" s="8"/>
    </row>
    <row r="116" spans="1:17" ht="15.75">
      <c r="A116" s="483" t="s">
        <v>314</v>
      </c>
      <c r="B116" s="412"/>
      <c r="C116" s="412"/>
      <c r="D116" s="412"/>
      <c r="E116" s="412"/>
      <c r="F116" s="412"/>
      <c r="G116" s="412"/>
      <c r="H116" s="412"/>
      <c r="I116" s="412"/>
      <c r="J116" s="412"/>
      <c r="K116" s="412"/>
      <c r="L116" s="412"/>
      <c r="M116" s="412"/>
      <c r="N116" s="412"/>
      <c r="O116" s="412"/>
      <c r="P116" s="412"/>
      <c r="Q116" s="412"/>
    </row>
    <row r="118" spans="1:17">
      <c r="A118" s="67" t="s">
        <v>33</v>
      </c>
      <c r="B118" s="23"/>
      <c r="C118" s="855">
        <v>3505188</v>
      </c>
      <c r="D118" s="206"/>
      <c r="E118" s="206"/>
      <c r="F118" s="18"/>
      <c r="G118" s="787">
        <f>Assumptions!G28</f>
        <v>1.4999999999999999E-2</v>
      </c>
      <c r="H118" s="788">
        <f t="shared" ref="H118:Q118" si="32">G118</f>
        <v>1.4999999999999999E-2</v>
      </c>
      <c r="I118" s="788">
        <f t="shared" si="32"/>
        <v>1.4999999999999999E-2</v>
      </c>
      <c r="J118" s="788">
        <f t="shared" si="32"/>
        <v>1.4999999999999999E-2</v>
      </c>
      <c r="K118" s="788">
        <f t="shared" si="32"/>
        <v>1.4999999999999999E-2</v>
      </c>
      <c r="L118" s="788">
        <f t="shared" si="32"/>
        <v>1.4999999999999999E-2</v>
      </c>
      <c r="M118" s="788">
        <f t="shared" si="32"/>
        <v>1.4999999999999999E-2</v>
      </c>
      <c r="N118" s="788">
        <f t="shared" si="32"/>
        <v>1.4999999999999999E-2</v>
      </c>
      <c r="O118" s="788">
        <f t="shared" si="32"/>
        <v>1.4999999999999999E-2</v>
      </c>
      <c r="P118" s="788">
        <f t="shared" si="32"/>
        <v>1.4999999999999999E-2</v>
      </c>
      <c r="Q118" s="789">
        <f t="shared" si="32"/>
        <v>1.4999999999999999E-2</v>
      </c>
    </row>
    <row r="119" spans="1:17">
      <c r="A119" s="2" t="s">
        <v>472</v>
      </c>
      <c r="D119" s="206"/>
      <c r="E119" s="206"/>
      <c r="F119" s="18"/>
      <c r="G119" s="29">
        <f>C118*G118</f>
        <v>52577.82</v>
      </c>
      <c r="H119" s="29">
        <f t="shared" ref="H119:Q119" si="33">+G119</f>
        <v>52577.82</v>
      </c>
      <c r="I119" s="29">
        <f t="shared" si="33"/>
        <v>52577.82</v>
      </c>
      <c r="J119" s="29">
        <f t="shared" si="33"/>
        <v>52577.82</v>
      </c>
      <c r="K119" s="29">
        <f t="shared" si="33"/>
        <v>52577.82</v>
      </c>
      <c r="L119" s="29">
        <f t="shared" si="33"/>
        <v>52577.82</v>
      </c>
      <c r="M119" s="29">
        <f t="shared" si="33"/>
        <v>52577.82</v>
      </c>
      <c r="N119" s="29">
        <f t="shared" si="33"/>
        <v>52577.82</v>
      </c>
      <c r="O119" s="29">
        <f t="shared" si="33"/>
        <v>52577.82</v>
      </c>
      <c r="P119" s="29">
        <f t="shared" si="33"/>
        <v>52577.82</v>
      </c>
      <c r="Q119" s="29">
        <f t="shared" si="33"/>
        <v>52577.82</v>
      </c>
    </row>
    <row r="120" spans="1:17">
      <c r="A120" s="2" t="s">
        <v>9</v>
      </c>
      <c r="D120" s="660"/>
      <c r="E120" s="660"/>
      <c r="F120" s="213"/>
      <c r="G120" s="614">
        <f>G142</f>
        <v>3691.14</v>
      </c>
      <c r="H120" s="614">
        <f t="shared" ref="H120:Q120" si="34">H142</f>
        <v>6995.2049999999999</v>
      </c>
      <c r="I120" s="614">
        <f t="shared" si="34"/>
        <v>11316.36</v>
      </c>
      <c r="J120" s="614">
        <f t="shared" si="34"/>
        <v>12145.77</v>
      </c>
      <c r="K120" s="614">
        <f t="shared" si="34"/>
        <v>12534.915000000001</v>
      </c>
      <c r="L120" s="614">
        <f t="shared" si="34"/>
        <v>12924.060000000001</v>
      </c>
      <c r="M120" s="614">
        <f t="shared" si="34"/>
        <v>13313.205000000002</v>
      </c>
      <c r="N120" s="614">
        <f t="shared" si="34"/>
        <v>13702.350000000002</v>
      </c>
      <c r="O120" s="614">
        <f t="shared" si="34"/>
        <v>14091.495000000003</v>
      </c>
      <c r="P120" s="614">
        <f t="shared" si="34"/>
        <v>14480.640000000003</v>
      </c>
      <c r="Q120" s="614">
        <f t="shared" si="34"/>
        <v>14869.785000000003</v>
      </c>
    </row>
    <row r="121" spans="1:17">
      <c r="A121" s="38" t="s">
        <v>221</v>
      </c>
      <c r="D121" s="569">
        <v>51771</v>
      </c>
      <c r="E121" s="569">
        <v>51234</v>
      </c>
      <c r="F121" s="569">
        <v>50439</v>
      </c>
      <c r="G121" s="615">
        <f t="shared" ref="G121:Q121" si="35">SUM(G119:G120)</f>
        <v>56268.959999999999</v>
      </c>
      <c r="H121" s="615">
        <f t="shared" si="35"/>
        <v>59573.025000000001</v>
      </c>
      <c r="I121" s="615">
        <f t="shared" si="35"/>
        <v>63894.18</v>
      </c>
      <c r="J121" s="566">
        <f t="shared" si="35"/>
        <v>64723.59</v>
      </c>
      <c r="K121" s="566">
        <f t="shared" si="35"/>
        <v>65112.735000000001</v>
      </c>
      <c r="L121" s="615">
        <f t="shared" si="35"/>
        <v>65501.880000000005</v>
      </c>
      <c r="M121" s="615">
        <f t="shared" si="35"/>
        <v>65891.024999999994</v>
      </c>
      <c r="N121" s="615">
        <f t="shared" si="35"/>
        <v>66280.17</v>
      </c>
      <c r="O121" s="615">
        <f t="shared" si="35"/>
        <v>66669.315000000002</v>
      </c>
      <c r="P121" s="615">
        <f t="shared" si="35"/>
        <v>67058.460000000006</v>
      </c>
      <c r="Q121" s="615">
        <f t="shared" si="35"/>
        <v>67447.60500000001</v>
      </c>
    </row>
    <row r="122" spans="1:17">
      <c r="A122" s="1"/>
      <c r="D122" s="206"/>
      <c r="E122" s="206"/>
      <c r="F122" s="18"/>
      <c r="G122" s="1"/>
      <c r="H122" s="1"/>
      <c r="I122" s="1"/>
      <c r="J122" s="12"/>
      <c r="K122" s="12"/>
      <c r="L122" s="1"/>
      <c r="M122" s="1"/>
      <c r="N122" s="1"/>
      <c r="O122" s="1"/>
      <c r="P122" s="1"/>
      <c r="Q122" s="1"/>
    </row>
    <row r="123" spans="1:17">
      <c r="A123" s="69" t="s">
        <v>7</v>
      </c>
      <c r="D123" s="206"/>
      <c r="E123" s="206"/>
      <c r="F123" s="18"/>
      <c r="G123" s="787">
        <v>0.05</v>
      </c>
      <c r="H123" s="788">
        <v>0.05</v>
      </c>
      <c r="I123" s="788">
        <v>0.04</v>
      </c>
      <c r="J123" s="788">
        <f t="shared" ref="J123:Q123" si="36">I123</f>
        <v>0.04</v>
      </c>
      <c r="K123" s="788">
        <v>0.03</v>
      </c>
      <c r="L123" s="788">
        <f t="shared" si="36"/>
        <v>0.03</v>
      </c>
      <c r="M123" s="788">
        <f t="shared" si="36"/>
        <v>0.03</v>
      </c>
      <c r="N123" s="788">
        <f t="shared" si="36"/>
        <v>0.03</v>
      </c>
      <c r="O123" s="788">
        <v>0.02</v>
      </c>
      <c r="P123" s="788">
        <f t="shared" si="36"/>
        <v>0.02</v>
      </c>
      <c r="Q123" s="788">
        <f t="shared" si="36"/>
        <v>0.02</v>
      </c>
    </row>
    <row r="124" spans="1:17">
      <c r="A124" s="69"/>
      <c r="D124" s="206"/>
      <c r="E124" s="206"/>
      <c r="F124" s="18"/>
      <c r="G124" s="50">
        <v>0.05</v>
      </c>
      <c r="H124" s="51">
        <v>9.5000000000000001E-2</v>
      </c>
      <c r="I124" s="51">
        <v>8.5500000000000007E-2</v>
      </c>
      <c r="J124" s="51">
        <v>7.6999999999999999E-2</v>
      </c>
      <c r="K124" s="51">
        <v>6.93E-2</v>
      </c>
      <c r="L124" s="51">
        <v>6.2300000000000001E-2</v>
      </c>
      <c r="M124" s="51">
        <v>5.8999999999999997E-2</v>
      </c>
      <c r="N124" s="51">
        <v>5.8999999999999997E-2</v>
      </c>
      <c r="O124" s="51">
        <v>5.91E-2</v>
      </c>
      <c r="P124" s="51">
        <v>5.8999999999999997E-2</v>
      </c>
      <c r="Q124" s="52">
        <v>5.91E-2</v>
      </c>
    </row>
    <row r="125" spans="1:17">
      <c r="A125" s="2" t="s">
        <v>472</v>
      </c>
      <c r="B125" s="14"/>
      <c r="D125" s="206"/>
      <c r="E125" s="206"/>
      <c r="F125" s="18"/>
      <c r="G125" s="1">
        <f>G123*$C$118</f>
        <v>175259.40000000002</v>
      </c>
      <c r="H125" s="1">
        <f t="shared" ref="H125:Q125" si="37">H123*$C$118</f>
        <v>175259.40000000002</v>
      </c>
      <c r="I125" s="1">
        <f t="shared" si="37"/>
        <v>140207.51999999999</v>
      </c>
      <c r="J125" s="1">
        <f t="shared" si="37"/>
        <v>140207.51999999999</v>
      </c>
      <c r="K125" s="1">
        <f t="shared" si="37"/>
        <v>105155.64</v>
      </c>
      <c r="L125" s="1">
        <f t="shared" si="37"/>
        <v>105155.64</v>
      </c>
      <c r="M125" s="1">
        <f t="shared" si="37"/>
        <v>105155.64</v>
      </c>
      <c r="N125" s="1">
        <f t="shared" si="37"/>
        <v>105155.64</v>
      </c>
      <c r="O125" s="1">
        <f t="shared" si="37"/>
        <v>70103.759999999995</v>
      </c>
      <c r="P125" s="1">
        <f t="shared" si="37"/>
        <v>70103.759999999995</v>
      </c>
      <c r="Q125" s="1">
        <f t="shared" si="37"/>
        <v>70103.759999999995</v>
      </c>
    </row>
    <row r="126" spans="1:17" ht="15">
      <c r="A126" s="2" t="s">
        <v>9</v>
      </c>
      <c r="B126" s="15"/>
      <c r="D126" s="208"/>
      <c r="E126" s="208"/>
      <c r="F126" s="18"/>
      <c r="G126" s="5">
        <f>G155</f>
        <v>12303.800000000001</v>
      </c>
      <c r="H126" s="5">
        <f t="shared" ref="H126:Q126" si="38">H155</f>
        <v>34390.770000000004</v>
      </c>
      <c r="I126" s="5">
        <f t="shared" si="38"/>
        <v>56369.093000000001</v>
      </c>
      <c r="J126" s="5">
        <f t="shared" si="38"/>
        <v>67913.037499999991</v>
      </c>
      <c r="K126" s="5">
        <f t="shared" si="38"/>
        <v>65194.597300000001</v>
      </c>
      <c r="L126" s="5">
        <f t="shared" si="38"/>
        <v>61266.616099999999</v>
      </c>
      <c r="M126" s="5">
        <f t="shared" si="38"/>
        <v>58442.602899999998</v>
      </c>
      <c r="N126" s="5">
        <f t="shared" si="38"/>
        <v>57271.016799999998</v>
      </c>
      <c r="O126" s="5">
        <f t="shared" si="38"/>
        <v>57755.762199999997</v>
      </c>
      <c r="P126" s="5">
        <f t="shared" si="38"/>
        <v>59186.960399999989</v>
      </c>
      <c r="Q126" s="5">
        <f t="shared" si="38"/>
        <v>60748.985599999993</v>
      </c>
    </row>
    <row r="127" spans="1:17">
      <c r="A127" s="38" t="s">
        <v>220</v>
      </c>
      <c r="D127" s="206"/>
      <c r="E127" s="206"/>
      <c r="F127" s="18"/>
      <c r="G127" s="1">
        <f t="shared" ref="G127:Q127" si="39">SUM(G125:G126)</f>
        <v>187563.2</v>
      </c>
      <c r="H127" s="1">
        <f t="shared" si="39"/>
        <v>209650.17000000004</v>
      </c>
      <c r="I127" s="1">
        <f t="shared" si="39"/>
        <v>196576.61299999998</v>
      </c>
      <c r="J127" s="12">
        <f t="shared" si="39"/>
        <v>208120.5575</v>
      </c>
      <c r="K127" s="12">
        <f t="shared" si="39"/>
        <v>170350.23730000001</v>
      </c>
      <c r="L127" s="1">
        <f t="shared" si="39"/>
        <v>166422.2561</v>
      </c>
      <c r="M127" s="1">
        <f t="shared" si="39"/>
        <v>163598.24290000001</v>
      </c>
      <c r="N127" s="1">
        <f t="shared" si="39"/>
        <v>162426.6568</v>
      </c>
      <c r="O127" s="1">
        <f t="shared" si="39"/>
        <v>127859.52219999999</v>
      </c>
      <c r="P127" s="1">
        <f t="shared" si="39"/>
        <v>129290.72039999999</v>
      </c>
      <c r="Q127" s="1">
        <f t="shared" si="39"/>
        <v>130852.74559999999</v>
      </c>
    </row>
    <row r="128" spans="1:17">
      <c r="D128" s="25">
        <v>23395</v>
      </c>
      <c r="E128" s="25">
        <v>18374</v>
      </c>
      <c r="F128" s="25">
        <v>37371</v>
      </c>
      <c r="G128" s="10">
        <f>(G127-G121)*0.385</f>
        <v>50548.282400000011</v>
      </c>
      <c r="H128" s="10">
        <f t="shared" ref="H128:Q128" si="40">(H127-H121)*0.385</f>
        <v>57779.700825000022</v>
      </c>
      <c r="I128" s="10">
        <f t="shared" si="40"/>
        <v>51082.736704999996</v>
      </c>
      <c r="J128" s="10">
        <f t="shared" si="40"/>
        <v>55207.832487500003</v>
      </c>
      <c r="K128" s="10">
        <f t="shared" si="40"/>
        <v>40516.438385500005</v>
      </c>
      <c r="L128" s="10">
        <f t="shared" si="40"/>
        <v>38854.344798500002</v>
      </c>
      <c r="M128" s="10">
        <f t="shared" si="40"/>
        <v>37617.278891500006</v>
      </c>
      <c r="N128" s="10">
        <f t="shared" si="40"/>
        <v>37016.397418</v>
      </c>
      <c r="O128" s="10">
        <f t="shared" si="40"/>
        <v>23558.229771999995</v>
      </c>
      <c r="P128" s="10">
        <f t="shared" si="40"/>
        <v>23959.420253999993</v>
      </c>
      <c r="Q128" s="10">
        <f t="shared" si="40"/>
        <v>24410.979130999993</v>
      </c>
    </row>
    <row r="129" spans="1:18" hidden="1" outlineLevel="1">
      <c r="A129" t="s">
        <v>506</v>
      </c>
      <c r="D129"/>
      <c r="G129" s="24"/>
    </row>
    <row r="130" spans="1:18" hidden="1" outlineLevel="1">
      <c r="D130"/>
      <c r="G130" s="256">
        <v>2001</v>
      </c>
      <c r="H130" s="289">
        <v>2002</v>
      </c>
      <c r="I130" s="289">
        <v>2003</v>
      </c>
      <c r="J130" s="289">
        <v>2004</v>
      </c>
      <c r="K130" s="289">
        <v>2005</v>
      </c>
      <c r="L130" s="289">
        <v>2006</v>
      </c>
      <c r="M130" s="293">
        <v>2007</v>
      </c>
      <c r="N130" s="293">
        <v>2008</v>
      </c>
      <c r="O130" s="293">
        <v>2009</v>
      </c>
      <c r="P130" s="293">
        <v>2010</v>
      </c>
      <c r="Q130" s="858">
        <v>2011</v>
      </c>
      <c r="R130" s="861"/>
    </row>
    <row r="131" spans="1:18" hidden="1" outlineLevel="1">
      <c r="A131">
        <v>2000</v>
      </c>
      <c r="B131" t="s">
        <v>507</v>
      </c>
      <c r="D131"/>
      <c r="G131" s="26">
        <f>F$114*G$118</f>
        <v>3691.14</v>
      </c>
      <c r="H131" s="26">
        <f>G131</f>
        <v>3691.14</v>
      </c>
      <c r="I131" s="26">
        <f t="shared" ref="I131:Q131" si="41">H131</f>
        <v>3691.14</v>
      </c>
      <c r="J131" s="26">
        <f t="shared" si="41"/>
        <v>3691.14</v>
      </c>
      <c r="K131" s="26">
        <f t="shared" si="41"/>
        <v>3691.14</v>
      </c>
      <c r="L131" s="26">
        <f t="shared" si="41"/>
        <v>3691.14</v>
      </c>
      <c r="M131" s="26">
        <f t="shared" si="41"/>
        <v>3691.14</v>
      </c>
      <c r="N131" s="26">
        <f t="shared" si="41"/>
        <v>3691.14</v>
      </c>
      <c r="O131" s="26">
        <f t="shared" si="41"/>
        <v>3691.14</v>
      </c>
      <c r="P131" s="26">
        <f t="shared" si="41"/>
        <v>3691.14</v>
      </c>
      <c r="Q131" s="26">
        <f t="shared" si="41"/>
        <v>3691.14</v>
      </c>
      <c r="R131" s="88"/>
    </row>
    <row r="132" spans="1:18" hidden="1" outlineLevel="1">
      <c r="A132">
        <v>2001</v>
      </c>
      <c r="B132" t="s">
        <v>507</v>
      </c>
      <c r="D132"/>
      <c r="G132" s="26"/>
      <c r="H132" s="26">
        <f>G$114*H$118</f>
        <v>3304.0650000000001</v>
      </c>
      <c r="I132" s="26">
        <f>H132</f>
        <v>3304.0650000000001</v>
      </c>
      <c r="J132" s="26">
        <f t="shared" ref="J132:Q132" si="42">I132</f>
        <v>3304.0650000000001</v>
      </c>
      <c r="K132" s="26">
        <f t="shared" si="42"/>
        <v>3304.0650000000001</v>
      </c>
      <c r="L132" s="26">
        <f t="shared" si="42"/>
        <v>3304.0650000000001</v>
      </c>
      <c r="M132" s="26">
        <f t="shared" si="42"/>
        <v>3304.0650000000001</v>
      </c>
      <c r="N132" s="26">
        <f t="shared" si="42"/>
        <v>3304.0650000000001</v>
      </c>
      <c r="O132" s="26">
        <f t="shared" si="42"/>
        <v>3304.0650000000001</v>
      </c>
      <c r="P132" s="26">
        <f t="shared" si="42"/>
        <v>3304.0650000000001</v>
      </c>
      <c r="Q132" s="26">
        <f t="shared" si="42"/>
        <v>3304.0650000000001</v>
      </c>
      <c r="R132" s="88"/>
    </row>
    <row r="133" spans="1:18" hidden="1" outlineLevel="1">
      <c r="A133">
        <v>2002</v>
      </c>
      <c r="B133" t="s">
        <v>507</v>
      </c>
      <c r="D133"/>
      <c r="G133" s="26"/>
      <c r="H133" s="26"/>
      <c r="I133" s="26">
        <f>H$114*I$118</f>
        <v>4321.1549999999997</v>
      </c>
      <c r="J133" s="26">
        <f>I133</f>
        <v>4321.1549999999997</v>
      </c>
      <c r="K133" s="26">
        <f t="shared" ref="K133:Q133" si="43">J133</f>
        <v>4321.1549999999997</v>
      </c>
      <c r="L133" s="26">
        <f t="shared" si="43"/>
        <v>4321.1549999999997</v>
      </c>
      <c r="M133" s="26">
        <f t="shared" si="43"/>
        <v>4321.1549999999997</v>
      </c>
      <c r="N133" s="26">
        <f t="shared" si="43"/>
        <v>4321.1549999999997</v>
      </c>
      <c r="O133" s="26">
        <f t="shared" si="43"/>
        <v>4321.1549999999997</v>
      </c>
      <c r="P133" s="26">
        <f t="shared" si="43"/>
        <v>4321.1549999999997</v>
      </c>
      <c r="Q133" s="26">
        <f t="shared" si="43"/>
        <v>4321.1549999999997</v>
      </c>
      <c r="R133" s="88"/>
    </row>
    <row r="134" spans="1:18" hidden="1" outlineLevel="1">
      <c r="A134">
        <v>2003</v>
      </c>
      <c r="B134" t="s">
        <v>507</v>
      </c>
      <c r="D134"/>
      <c r="G134" s="26"/>
      <c r="H134" s="26"/>
      <c r="I134" s="26"/>
      <c r="J134" s="26">
        <f>I$114*J$118</f>
        <v>829.41</v>
      </c>
      <c r="K134" s="26">
        <f>J134</f>
        <v>829.41</v>
      </c>
      <c r="L134" s="26">
        <f t="shared" ref="L134:Q134" si="44">K134</f>
        <v>829.41</v>
      </c>
      <c r="M134" s="26">
        <f t="shared" si="44"/>
        <v>829.41</v>
      </c>
      <c r="N134" s="26">
        <f t="shared" si="44"/>
        <v>829.41</v>
      </c>
      <c r="O134" s="26">
        <f t="shared" si="44"/>
        <v>829.41</v>
      </c>
      <c r="P134" s="26">
        <f t="shared" si="44"/>
        <v>829.41</v>
      </c>
      <c r="Q134" s="26">
        <f t="shared" si="44"/>
        <v>829.41</v>
      </c>
      <c r="R134" s="88"/>
    </row>
    <row r="135" spans="1:18" hidden="1" outlineLevel="1">
      <c r="A135">
        <v>2004</v>
      </c>
      <c r="B135" t="s">
        <v>507</v>
      </c>
      <c r="D135"/>
      <c r="G135" s="26"/>
      <c r="H135" s="26"/>
      <c r="I135" s="26"/>
      <c r="J135" s="26"/>
      <c r="K135" s="26">
        <f>J$114*K$118</f>
        <v>389.14499999999998</v>
      </c>
      <c r="L135" s="26">
        <f t="shared" ref="L135:Q135" si="45">K135</f>
        <v>389.14499999999998</v>
      </c>
      <c r="M135" s="26">
        <f t="shared" si="45"/>
        <v>389.14499999999998</v>
      </c>
      <c r="N135" s="26">
        <f t="shared" si="45"/>
        <v>389.14499999999998</v>
      </c>
      <c r="O135" s="26">
        <f t="shared" si="45"/>
        <v>389.14499999999998</v>
      </c>
      <c r="P135" s="26">
        <f t="shared" si="45"/>
        <v>389.14499999999998</v>
      </c>
      <c r="Q135" s="26">
        <f t="shared" si="45"/>
        <v>389.14499999999998</v>
      </c>
      <c r="R135" s="88"/>
    </row>
    <row r="136" spans="1:18" hidden="1" outlineLevel="1">
      <c r="A136">
        <v>2005</v>
      </c>
      <c r="B136" t="s">
        <v>507</v>
      </c>
      <c r="D136"/>
      <c r="G136" s="26"/>
      <c r="H136" s="26"/>
      <c r="I136" s="26"/>
      <c r="J136" s="26"/>
      <c r="K136" s="26"/>
      <c r="L136" s="26">
        <f>K$114*L$118</f>
        <v>389.14499999999998</v>
      </c>
      <c r="M136" s="26">
        <f>L136</f>
        <v>389.14499999999998</v>
      </c>
      <c r="N136" s="26">
        <f>M136</f>
        <v>389.14499999999998</v>
      </c>
      <c r="O136" s="26">
        <f>N136</f>
        <v>389.14499999999998</v>
      </c>
      <c r="P136" s="26">
        <f>O136</f>
        <v>389.14499999999998</v>
      </c>
      <c r="Q136" s="26">
        <f>P136</f>
        <v>389.14499999999998</v>
      </c>
      <c r="R136" s="88"/>
    </row>
    <row r="137" spans="1:18" hidden="1" outlineLevel="1">
      <c r="A137">
        <v>2006</v>
      </c>
      <c r="B137" t="s">
        <v>507</v>
      </c>
      <c r="D137"/>
      <c r="G137" s="26"/>
      <c r="H137" s="26"/>
      <c r="I137" s="26"/>
      <c r="J137" s="26"/>
      <c r="K137" s="26"/>
      <c r="L137" s="26"/>
      <c r="M137" s="26">
        <f>L$114*M$118</f>
        <v>389.14499999999998</v>
      </c>
      <c r="N137" s="26">
        <f>M137</f>
        <v>389.14499999999998</v>
      </c>
      <c r="O137" s="26">
        <f>N137</f>
        <v>389.14499999999998</v>
      </c>
      <c r="P137" s="26">
        <f>O137</f>
        <v>389.14499999999998</v>
      </c>
      <c r="Q137" s="26">
        <f>P137</f>
        <v>389.14499999999998</v>
      </c>
      <c r="R137" s="88"/>
    </row>
    <row r="138" spans="1:18" hidden="1" outlineLevel="1">
      <c r="A138">
        <v>2007</v>
      </c>
      <c r="B138" t="s">
        <v>507</v>
      </c>
      <c r="D138"/>
      <c r="G138" s="26"/>
      <c r="H138" s="26"/>
      <c r="I138" s="26"/>
      <c r="J138" s="26"/>
      <c r="K138" s="26"/>
      <c r="L138" s="26"/>
      <c r="M138" s="26"/>
      <c r="N138" s="26">
        <f>M$114*N$118</f>
        <v>389.14499999999998</v>
      </c>
      <c r="O138" s="26">
        <f>N138</f>
        <v>389.14499999999998</v>
      </c>
      <c r="P138" s="26">
        <f>O138</f>
        <v>389.14499999999998</v>
      </c>
      <c r="Q138" s="26">
        <f>P138</f>
        <v>389.14499999999998</v>
      </c>
      <c r="R138" s="88"/>
    </row>
    <row r="139" spans="1:18" hidden="1" outlineLevel="1">
      <c r="A139">
        <v>2008</v>
      </c>
      <c r="B139" t="s">
        <v>507</v>
      </c>
      <c r="D139"/>
      <c r="G139" s="26"/>
      <c r="H139" s="26"/>
      <c r="I139" s="26"/>
      <c r="J139" s="26"/>
      <c r="K139" s="26"/>
      <c r="L139" s="26"/>
      <c r="M139" s="26"/>
      <c r="N139" s="26"/>
      <c r="O139" s="26">
        <f>N$114*O$118</f>
        <v>389.14499999999998</v>
      </c>
      <c r="P139" s="26">
        <f>O139</f>
        <v>389.14499999999998</v>
      </c>
      <c r="Q139" s="26">
        <f>P139</f>
        <v>389.14499999999998</v>
      </c>
      <c r="R139" s="88"/>
    </row>
    <row r="140" spans="1:18" hidden="1" outlineLevel="1">
      <c r="A140">
        <v>2009</v>
      </c>
      <c r="B140" t="s">
        <v>507</v>
      </c>
      <c r="D140"/>
      <c r="G140" s="26"/>
      <c r="H140" s="26"/>
      <c r="I140" s="26"/>
      <c r="J140" s="26"/>
      <c r="K140" s="26"/>
      <c r="L140" s="26"/>
      <c r="M140" s="26"/>
      <c r="N140" s="26"/>
      <c r="O140" s="26"/>
      <c r="P140" s="26">
        <f>O$114*P$118</f>
        <v>389.14499999999998</v>
      </c>
      <c r="Q140" s="26">
        <f>P140</f>
        <v>389.14499999999998</v>
      </c>
      <c r="R140" s="88"/>
    </row>
    <row r="141" spans="1:18" hidden="1" outlineLevel="1">
      <c r="A141">
        <v>2010</v>
      </c>
      <c r="B141" t="s">
        <v>507</v>
      </c>
      <c r="D141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>
        <f>P$114*Q$118</f>
        <v>389.14499999999998</v>
      </c>
      <c r="R141" s="88"/>
    </row>
    <row r="142" spans="1:18" hidden="1" outlineLevel="1">
      <c r="A142" t="s">
        <v>221</v>
      </c>
      <c r="D142"/>
      <c r="G142" s="859">
        <f t="shared" ref="G142:Q142" si="46">SUM(G131:G141)</f>
        <v>3691.14</v>
      </c>
      <c r="H142" s="859">
        <f t="shared" si="46"/>
        <v>6995.2049999999999</v>
      </c>
      <c r="I142" s="859">
        <f t="shared" si="46"/>
        <v>11316.36</v>
      </c>
      <c r="J142" s="859">
        <f t="shared" si="46"/>
        <v>12145.77</v>
      </c>
      <c r="K142" s="859">
        <f t="shared" si="46"/>
        <v>12534.915000000001</v>
      </c>
      <c r="L142" s="859">
        <f t="shared" si="46"/>
        <v>12924.060000000001</v>
      </c>
      <c r="M142" s="859">
        <f t="shared" si="46"/>
        <v>13313.205000000002</v>
      </c>
      <c r="N142" s="859">
        <f t="shared" si="46"/>
        <v>13702.350000000002</v>
      </c>
      <c r="O142" s="859">
        <f t="shared" si="46"/>
        <v>14091.495000000003</v>
      </c>
      <c r="P142" s="859">
        <f t="shared" si="46"/>
        <v>14480.640000000003</v>
      </c>
      <c r="Q142" s="859">
        <f t="shared" si="46"/>
        <v>14869.785000000003</v>
      </c>
      <c r="R142" s="88"/>
    </row>
    <row r="143" spans="1:18" hidden="1" outlineLevel="1">
      <c r="D143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88"/>
    </row>
    <row r="144" spans="1:18" hidden="1" outlineLevel="1">
      <c r="A144">
        <v>2000</v>
      </c>
      <c r="B144" t="s">
        <v>507</v>
      </c>
      <c r="D144"/>
      <c r="G144" s="26">
        <f>$F$114*G$124</f>
        <v>12303.800000000001</v>
      </c>
      <c r="H144" s="26">
        <f t="shared" ref="H144:Q144" si="47">$F$114*H$124</f>
        <v>23377.22</v>
      </c>
      <c r="I144" s="26">
        <f t="shared" si="47"/>
        <v>21039.498000000003</v>
      </c>
      <c r="J144" s="26">
        <f t="shared" si="47"/>
        <v>18947.851999999999</v>
      </c>
      <c r="K144" s="26">
        <f t="shared" si="47"/>
        <v>17053.066800000001</v>
      </c>
      <c r="L144" s="26">
        <f t="shared" si="47"/>
        <v>15330.534799999999</v>
      </c>
      <c r="M144" s="26">
        <f t="shared" si="47"/>
        <v>14518.483999999999</v>
      </c>
      <c r="N144" s="26">
        <f t="shared" si="47"/>
        <v>14518.483999999999</v>
      </c>
      <c r="O144" s="26">
        <f t="shared" si="47"/>
        <v>14543.0916</v>
      </c>
      <c r="P144" s="26">
        <f t="shared" si="47"/>
        <v>14518.483999999999</v>
      </c>
      <c r="Q144" s="26">
        <f t="shared" si="47"/>
        <v>14543.0916</v>
      </c>
      <c r="R144" s="88"/>
    </row>
    <row r="145" spans="1:18" hidden="1" outlineLevel="1">
      <c r="A145">
        <v>2001</v>
      </c>
      <c r="B145" t="s">
        <v>507</v>
      </c>
      <c r="D145"/>
      <c r="G145" s="26"/>
      <c r="H145" s="26">
        <f>$G$114*G$124</f>
        <v>11013.550000000001</v>
      </c>
      <c r="I145" s="26">
        <f t="shared" ref="I145:Q145" si="48">$G$114*H$124</f>
        <v>20925.744999999999</v>
      </c>
      <c r="J145" s="26">
        <f t="shared" si="48"/>
        <v>18833.1705</v>
      </c>
      <c r="K145" s="26">
        <f t="shared" si="48"/>
        <v>16960.866999999998</v>
      </c>
      <c r="L145" s="26">
        <f t="shared" si="48"/>
        <v>15264.7803</v>
      </c>
      <c r="M145" s="26">
        <f t="shared" si="48"/>
        <v>13722.8833</v>
      </c>
      <c r="N145" s="26">
        <f t="shared" si="48"/>
        <v>12995.989</v>
      </c>
      <c r="O145" s="26">
        <f t="shared" si="48"/>
        <v>12995.989</v>
      </c>
      <c r="P145" s="26">
        <f t="shared" si="48"/>
        <v>13018.016100000001</v>
      </c>
      <c r="Q145" s="26">
        <f t="shared" si="48"/>
        <v>12995.989</v>
      </c>
      <c r="R145" s="88"/>
    </row>
    <row r="146" spans="1:18" hidden="1" outlineLevel="1">
      <c r="A146">
        <v>2002</v>
      </c>
      <c r="B146" t="s">
        <v>507</v>
      </c>
      <c r="D146"/>
      <c r="G146" s="26"/>
      <c r="H146" s="26"/>
      <c r="I146" s="26">
        <f>$H$114*G$124</f>
        <v>14403.85</v>
      </c>
      <c r="J146" s="26">
        <f t="shared" ref="J146:Q146" si="49">$H$114*H$124</f>
        <v>27367.314999999999</v>
      </c>
      <c r="K146" s="26">
        <f t="shared" si="49"/>
        <v>24630.583500000001</v>
      </c>
      <c r="L146" s="26">
        <f t="shared" si="49"/>
        <v>22181.929</v>
      </c>
      <c r="M146" s="26">
        <f t="shared" si="49"/>
        <v>19963.736100000002</v>
      </c>
      <c r="N146" s="26">
        <f t="shared" si="49"/>
        <v>17947.197100000001</v>
      </c>
      <c r="O146" s="26">
        <f t="shared" si="49"/>
        <v>16996.542999999998</v>
      </c>
      <c r="P146" s="26">
        <f t="shared" si="49"/>
        <v>16996.542999999998</v>
      </c>
      <c r="Q146" s="26">
        <f t="shared" si="49"/>
        <v>17025.350699999999</v>
      </c>
      <c r="R146" s="88"/>
    </row>
    <row r="147" spans="1:18" hidden="1" outlineLevel="1">
      <c r="A147">
        <v>2003</v>
      </c>
      <c r="B147" t="s">
        <v>507</v>
      </c>
      <c r="D147"/>
      <c r="G147" s="26"/>
      <c r="H147" s="26"/>
      <c r="I147" s="26"/>
      <c r="J147" s="26">
        <f>$I$114*G$124</f>
        <v>2764.7000000000003</v>
      </c>
      <c r="K147" s="26">
        <f t="shared" ref="K147:Q147" si="50">$I$114*H$124</f>
        <v>5252.93</v>
      </c>
      <c r="L147" s="26">
        <f t="shared" si="50"/>
        <v>4727.6370000000006</v>
      </c>
      <c r="M147" s="26">
        <f t="shared" si="50"/>
        <v>4257.6379999999999</v>
      </c>
      <c r="N147" s="26">
        <f t="shared" si="50"/>
        <v>3831.8742000000002</v>
      </c>
      <c r="O147" s="26">
        <f t="shared" si="50"/>
        <v>3444.8162000000002</v>
      </c>
      <c r="P147" s="26">
        <f t="shared" si="50"/>
        <v>3262.346</v>
      </c>
      <c r="Q147" s="26">
        <f t="shared" si="50"/>
        <v>3262.346</v>
      </c>
      <c r="R147" s="88"/>
    </row>
    <row r="148" spans="1:18" hidden="1" outlineLevel="1">
      <c r="A148">
        <v>2004</v>
      </c>
      <c r="B148" t="s">
        <v>507</v>
      </c>
      <c r="D148"/>
      <c r="G148" s="26"/>
      <c r="H148" s="26"/>
      <c r="I148" s="26"/>
      <c r="J148" s="26"/>
      <c r="K148" s="26">
        <f>$J$114*G$124</f>
        <v>1297.1500000000001</v>
      </c>
      <c r="L148" s="26">
        <f t="shared" ref="L148:Q148" si="51">$J$114*H$124</f>
        <v>2464.585</v>
      </c>
      <c r="M148" s="26">
        <f t="shared" si="51"/>
        <v>2218.1265000000003</v>
      </c>
      <c r="N148" s="26">
        <f t="shared" si="51"/>
        <v>1997.6109999999999</v>
      </c>
      <c r="O148" s="26">
        <f t="shared" si="51"/>
        <v>1797.8498999999999</v>
      </c>
      <c r="P148" s="26">
        <f t="shared" si="51"/>
        <v>1616.2489</v>
      </c>
      <c r="Q148" s="26">
        <f t="shared" si="51"/>
        <v>1530.6369999999999</v>
      </c>
      <c r="R148" s="88"/>
    </row>
    <row r="149" spans="1:18" hidden="1" outlineLevel="1">
      <c r="A149">
        <v>2005</v>
      </c>
      <c r="B149" t="s">
        <v>507</v>
      </c>
      <c r="D149"/>
      <c r="G149" s="26"/>
      <c r="H149" s="26"/>
      <c r="I149" s="26"/>
      <c r="J149" s="26"/>
      <c r="K149" s="26"/>
      <c r="L149" s="26">
        <f t="shared" ref="L149:Q149" si="52">$K$114*G$124</f>
        <v>1297.1500000000001</v>
      </c>
      <c r="M149" s="26">
        <f t="shared" si="52"/>
        <v>2464.585</v>
      </c>
      <c r="N149" s="26">
        <f t="shared" si="52"/>
        <v>2218.1265000000003</v>
      </c>
      <c r="O149" s="26">
        <f t="shared" si="52"/>
        <v>1997.6109999999999</v>
      </c>
      <c r="P149" s="26">
        <f t="shared" si="52"/>
        <v>1797.8498999999999</v>
      </c>
      <c r="Q149" s="26">
        <f t="shared" si="52"/>
        <v>1616.2489</v>
      </c>
      <c r="R149" s="88"/>
    </row>
    <row r="150" spans="1:18" hidden="1" outlineLevel="1">
      <c r="A150">
        <v>2006</v>
      </c>
      <c r="B150" t="s">
        <v>507</v>
      </c>
      <c r="D150"/>
      <c r="G150" s="26"/>
      <c r="H150" s="26"/>
      <c r="I150" s="26"/>
      <c r="J150" s="26"/>
      <c r="K150" s="26"/>
      <c r="L150" s="26"/>
      <c r="M150" s="26">
        <f>$L$114*G$124</f>
        <v>1297.1500000000001</v>
      </c>
      <c r="N150" s="26">
        <f>$L$114*H$124</f>
        <v>2464.585</v>
      </c>
      <c r="O150" s="26">
        <f>$L$114*I$124</f>
        <v>2218.1265000000003</v>
      </c>
      <c r="P150" s="26">
        <f>$L$114*J$124</f>
        <v>1997.6109999999999</v>
      </c>
      <c r="Q150" s="26">
        <f>$L$114*K$124</f>
        <v>1797.8498999999999</v>
      </c>
      <c r="R150" s="88"/>
    </row>
    <row r="151" spans="1:18" hidden="1" outlineLevel="1">
      <c r="A151">
        <v>2007</v>
      </c>
      <c r="B151" t="s">
        <v>507</v>
      </c>
      <c r="D151"/>
      <c r="G151" s="26"/>
      <c r="H151" s="26"/>
      <c r="I151" s="26"/>
      <c r="J151" s="26"/>
      <c r="K151" s="26"/>
      <c r="L151" s="26"/>
      <c r="M151" s="26"/>
      <c r="N151" s="26">
        <f>$M$114*G$124</f>
        <v>1297.1500000000001</v>
      </c>
      <c r="O151" s="26">
        <f>$M$114*H$124</f>
        <v>2464.585</v>
      </c>
      <c r="P151" s="26">
        <f>$M$114*I$124</f>
        <v>2218.1265000000003</v>
      </c>
      <c r="Q151" s="26">
        <f>$M$114*J$124</f>
        <v>1997.6109999999999</v>
      </c>
      <c r="R151" s="88"/>
    </row>
    <row r="152" spans="1:18" hidden="1" outlineLevel="1">
      <c r="A152">
        <v>2008</v>
      </c>
      <c r="B152" t="s">
        <v>507</v>
      </c>
      <c r="D152"/>
      <c r="G152" s="26"/>
      <c r="H152" s="26"/>
      <c r="I152" s="26"/>
      <c r="J152" s="26"/>
      <c r="K152" s="26"/>
      <c r="L152" s="26"/>
      <c r="M152" s="26"/>
      <c r="N152" s="26"/>
      <c r="O152" s="26">
        <f>$N$114*G$124</f>
        <v>1297.1500000000001</v>
      </c>
      <c r="P152" s="26">
        <f>$N$114*H$124</f>
        <v>2464.585</v>
      </c>
      <c r="Q152" s="26">
        <f>$N$114*I$124</f>
        <v>2218.1265000000003</v>
      </c>
      <c r="R152" s="88"/>
    </row>
    <row r="153" spans="1:18" hidden="1" outlineLevel="1">
      <c r="A153">
        <v>2009</v>
      </c>
      <c r="B153" t="s">
        <v>507</v>
      </c>
      <c r="D153"/>
      <c r="G153" s="26"/>
      <c r="H153" s="26"/>
      <c r="I153" s="26"/>
      <c r="J153" s="26"/>
      <c r="K153" s="26"/>
      <c r="L153" s="26"/>
      <c r="M153" s="26"/>
      <c r="N153" s="26"/>
      <c r="O153" s="26"/>
      <c r="P153" s="26">
        <f>$O$114*G$124</f>
        <v>1297.1500000000001</v>
      </c>
      <c r="Q153" s="26">
        <f>$O$114*H$124</f>
        <v>2464.585</v>
      </c>
      <c r="R153" s="88"/>
    </row>
    <row r="154" spans="1:18" hidden="1" outlineLevel="1">
      <c r="A154">
        <v>2010</v>
      </c>
      <c r="B154" t="s">
        <v>507</v>
      </c>
      <c r="D154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>
        <f>$P$114*G$124</f>
        <v>1297.1500000000001</v>
      </c>
      <c r="R154" s="88"/>
    </row>
    <row r="155" spans="1:18" hidden="1" outlineLevel="1">
      <c r="D155"/>
      <c r="G155" s="859">
        <f t="shared" ref="G155:Q155" si="53">SUM(G144:G154)</f>
        <v>12303.800000000001</v>
      </c>
      <c r="H155" s="859">
        <f t="shared" si="53"/>
        <v>34390.770000000004</v>
      </c>
      <c r="I155" s="859">
        <f t="shared" si="53"/>
        <v>56369.093000000001</v>
      </c>
      <c r="J155" s="859">
        <f t="shared" si="53"/>
        <v>67913.037499999991</v>
      </c>
      <c r="K155" s="859">
        <f t="shared" si="53"/>
        <v>65194.597300000001</v>
      </c>
      <c r="L155" s="859">
        <f t="shared" si="53"/>
        <v>61266.616099999999</v>
      </c>
      <c r="M155" s="859">
        <f t="shared" si="53"/>
        <v>58442.602899999998</v>
      </c>
      <c r="N155" s="859">
        <f t="shared" si="53"/>
        <v>57271.016799999998</v>
      </c>
      <c r="O155" s="859">
        <f t="shared" si="53"/>
        <v>57755.762199999997</v>
      </c>
      <c r="P155" s="859">
        <f t="shared" si="53"/>
        <v>59186.960399999989</v>
      </c>
      <c r="Q155" s="859">
        <f t="shared" si="53"/>
        <v>60748.985599999993</v>
      </c>
      <c r="R155" s="88"/>
    </row>
    <row r="156" spans="1:18" collapsed="1"/>
  </sheetData>
  <mergeCells count="1">
    <mergeCell ref="K57:M57"/>
  </mergeCells>
  <phoneticPr fontId="0" type="noConversion"/>
  <conditionalFormatting sqref="C11">
    <cfRule type="cellIs" dxfId="2" priority="1" stopIfTrue="1" operator="notBetween">
      <formula>0.25</formula>
      <formula>-0.25</formula>
    </cfRule>
  </conditionalFormatting>
  <printOptions horizontalCentered="1"/>
  <pageMargins left="0" right="0" top="0" bottom="0.25" header="0" footer="0"/>
  <pageSetup scale="46" orientation="landscape" r:id="rId1"/>
  <headerFooter alignWithMargins="0"/>
  <rowBreaks count="2" manualBreakCount="2">
    <brk id="63" max="16383" man="1"/>
    <brk id="85" max="17" man="1"/>
  </row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2">
    <pageSetUpPr fitToPage="1"/>
  </sheetPr>
  <dimension ref="A1:Y163"/>
  <sheetViews>
    <sheetView showGridLines="0" topLeftCell="G24" zoomScale="75" zoomScaleNormal="75" zoomScaleSheetLayoutView="50" workbookViewId="0">
      <selection activeCell="H43" sqref="H43"/>
    </sheetView>
  </sheetViews>
  <sheetFormatPr defaultRowHeight="12.75" outlineLevelRow="1" outlineLevelCol="1"/>
  <cols>
    <col min="1" max="1" width="38.85546875" customWidth="1"/>
    <col min="2" max="2" width="15.85546875" customWidth="1" outlineLevel="1"/>
    <col min="3" max="3" width="12.85546875" customWidth="1" outlineLevel="1"/>
    <col min="4" max="4" width="13.85546875" customWidth="1" outlineLevel="1"/>
    <col min="5" max="6" width="15.5703125" style="24" bestFit="1" customWidth="1"/>
    <col min="7" max="7" width="15.85546875" style="24" bestFit="1" customWidth="1"/>
    <col min="8" max="8" width="16.85546875" customWidth="1"/>
    <col min="9" max="9" width="15.5703125" bestFit="1" customWidth="1"/>
    <col min="10" max="11" width="15.28515625" bestFit="1" customWidth="1"/>
    <col min="12" max="13" width="14" customWidth="1"/>
    <col min="14" max="14" width="15.85546875" customWidth="1"/>
    <col min="15" max="15" width="14.42578125" customWidth="1"/>
    <col min="16" max="16" width="15.140625" customWidth="1"/>
    <col min="17" max="17" width="14" customWidth="1"/>
    <col min="18" max="18" width="16" customWidth="1"/>
    <col min="19" max="19" width="13.42578125" customWidth="1"/>
  </cols>
  <sheetData>
    <row r="1" spans="1:20" ht="20.25">
      <c r="A1" s="714" t="str">
        <f>"Project "&amp;Assumptions!D6</f>
        <v>Project ETS</v>
      </c>
      <c r="B1" s="114"/>
      <c r="C1" s="115"/>
      <c r="D1" s="34"/>
      <c r="E1" s="56"/>
      <c r="F1" s="56"/>
      <c r="G1" s="468" t="s">
        <v>103</v>
      </c>
      <c r="H1" s="481"/>
      <c r="I1" s="467"/>
    </row>
    <row r="2" spans="1:20" ht="15.75">
      <c r="A2" s="715" t="s">
        <v>544</v>
      </c>
      <c r="B2" s="141"/>
      <c r="C2" s="117"/>
      <c r="D2" s="34"/>
      <c r="E2" s="45"/>
      <c r="F2" s="45"/>
      <c r="G2" s="482"/>
      <c r="H2" s="54"/>
      <c r="I2" s="156"/>
      <c r="J2" s="54"/>
      <c r="S2" s="24"/>
    </row>
    <row r="3" spans="1:20" ht="16.5" thickBot="1">
      <c r="A3" s="639" t="s">
        <v>346</v>
      </c>
      <c r="B3" s="640"/>
      <c r="C3" s="121"/>
      <c r="D3" s="34"/>
      <c r="E3" s="45"/>
      <c r="F3" s="45"/>
      <c r="G3" s="482"/>
      <c r="H3" s="34"/>
      <c r="I3" s="156"/>
      <c r="J3" s="54"/>
      <c r="S3" s="24"/>
    </row>
    <row r="4" spans="1:20" ht="13.5" thickBot="1">
      <c r="A4" s="142"/>
      <c r="B4" s="141"/>
      <c r="E4" s="45"/>
      <c r="F4" s="45"/>
      <c r="G4" s="157"/>
      <c r="H4" s="158"/>
      <c r="I4" s="159"/>
      <c r="J4" s="54"/>
      <c r="S4" s="24"/>
    </row>
    <row r="5" spans="1:20">
      <c r="A5" s="142"/>
      <c r="B5" s="141"/>
      <c r="E5" s="45"/>
      <c r="F5" s="45"/>
      <c r="G5" s="43"/>
      <c r="H5" s="54"/>
      <c r="I5" s="54"/>
      <c r="J5" s="54"/>
      <c r="S5" s="24"/>
    </row>
    <row r="6" spans="1:20" ht="15.75">
      <c r="A6" s="483" t="s">
        <v>54</v>
      </c>
      <c r="B6" s="484"/>
      <c r="C6" s="412"/>
      <c r="D6" s="412"/>
      <c r="E6" s="485"/>
      <c r="F6" s="485"/>
      <c r="G6" s="412"/>
      <c r="H6" s="486"/>
      <c r="I6" s="486"/>
      <c r="J6" s="486"/>
      <c r="K6" s="412"/>
      <c r="L6" s="412"/>
      <c r="M6" s="412"/>
      <c r="N6" s="412"/>
      <c r="O6" s="412"/>
      <c r="P6" s="412"/>
      <c r="Q6" s="412"/>
      <c r="R6" s="412"/>
      <c r="S6" s="662"/>
    </row>
    <row r="7" spans="1:20">
      <c r="E7" s="480"/>
      <c r="F7" s="480"/>
      <c r="G7" s="323"/>
      <c r="H7" s="309" t="s">
        <v>203</v>
      </c>
      <c r="I7" s="328"/>
      <c r="J7" s="323"/>
      <c r="K7" s="323"/>
      <c r="L7" s="246"/>
      <c r="M7" s="323"/>
      <c r="N7" s="246"/>
      <c r="O7" s="246"/>
      <c r="P7" s="246"/>
      <c r="Q7" s="246"/>
      <c r="R7" s="292"/>
      <c r="S7" s="31"/>
      <c r="T7" s="31"/>
    </row>
    <row r="8" spans="1:20">
      <c r="D8" s="387">
        <v>1997</v>
      </c>
      <c r="E8" s="256">
        <v>1998</v>
      </c>
      <c r="F8" s="256">
        <v>1999</v>
      </c>
      <c r="G8" s="256">
        <v>2000</v>
      </c>
      <c r="H8" s="256">
        <v>2001</v>
      </c>
      <c r="I8" s="289">
        <v>2002</v>
      </c>
      <c r="J8" s="289">
        <v>2003</v>
      </c>
      <c r="K8" s="289">
        <v>2004</v>
      </c>
      <c r="L8" s="289">
        <v>2005</v>
      </c>
      <c r="M8" s="289">
        <v>2006</v>
      </c>
      <c r="N8" s="293">
        <v>2007</v>
      </c>
      <c r="O8" s="293">
        <v>2008</v>
      </c>
      <c r="P8" s="293">
        <v>2009</v>
      </c>
      <c r="Q8" s="293">
        <v>2010</v>
      </c>
      <c r="R8" s="465">
        <v>2011</v>
      </c>
      <c r="S8" s="1"/>
      <c r="T8" s="1"/>
    </row>
    <row r="9" spans="1:20">
      <c r="G9" s="348" t="s">
        <v>213</v>
      </c>
      <c r="H9" s="256">
        <v>1</v>
      </c>
      <c r="I9" s="289">
        <v>2</v>
      </c>
      <c r="J9" s="289">
        <v>3</v>
      </c>
      <c r="K9" s="289">
        <v>4</v>
      </c>
      <c r="L9" s="289">
        <v>5</v>
      </c>
      <c r="M9" s="289">
        <v>6</v>
      </c>
      <c r="N9" s="289">
        <v>7</v>
      </c>
      <c r="O9" s="289">
        <v>8</v>
      </c>
      <c r="P9" s="289">
        <v>9</v>
      </c>
      <c r="Q9" s="289">
        <v>10</v>
      </c>
      <c r="R9" s="389">
        <v>11</v>
      </c>
      <c r="S9" s="1"/>
      <c r="T9" s="1"/>
    </row>
    <row r="10" spans="1:20">
      <c r="E10" s="45"/>
      <c r="F10" s="45"/>
      <c r="G10" s="12"/>
      <c r="H10" s="58"/>
      <c r="I10" s="1"/>
      <c r="J10" s="1"/>
      <c r="K10" s="12"/>
      <c r="L10" s="12"/>
      <c r="M10" s="1"/>
      <c r="N10" s="1"/>
      <c r="O10" s="1"/>
      <c r="P10" s="1"/>
      <c r="Q10" s="1"/>
      <c r="R10" s="1"/>
      <c r="S10" s="24"/>
    </row>
    <row r="11" spans="1:20">
      <c r="A11" s="559" t="s">
        <v>294</v>
      </c>
      <c r="B11" s="80"/>
      <c r="C11" s="76"/>
      <c r="D11" s="547">
        <f t="shared" ref="D11:R11" si="0">D59</f>
        <v>35137.754999999997</v>
      </c>
      <c r="E11" s="547">
        <f t="shared" si="0"/>
        <v>42737.521999999997</v>
      </c>
      <c r="F11" s="547">
        <f t="shared" si="0"/>
        <v>33711.148000000001</v>
      </c>
      <c r="G11" s="547">
        <f t="shared" si="0"/>
        <v>29084.758000000002</v>
      </c>
      <c r="H11" s="548">
        <f t="shared" si="0"/>
        <v>27803.514595699206</v>
      </c>
      <c r="I11" s="548">
        <f t="shared" si="0"/>
        <v>27803.514595699206</v>
      </c>
      <c r="J11" s="548">
        <f t="shared" si="0"/>
        <v>27803.514595699206</v>
      </c>
      <c r="K11" s="548">
        <f t="shared" si="0"/>
        <v>27803.514595699206</v>
      </c>
      <c r="L11" s="548">
        <f t="shared" si="0"/>
        <v>27803.514595699206</v>
      </c>
      <c r="M11" s="548">
        <f t="shared" si="0"/>
        <v>27803.514595699206</v>
      </c>
      <c r="N11" s="548">
        <f t="shared" si="0"/>
        <v>27803.514595699206</v>
      </c>
      <c r="O11" s="548">
        <f t="shared" si="0"/>
        <v>27803.514595699206</v>
      </c>
      <c r="P11" s="548">
        <f t="shared" si="0"/>
        <v>27803.514595699206</v>
      </c>
      <c r="Q11" s="548">
        <f t="shared" si="0"/>
        <v>27803.514595699206</v>
      </c>
      <c r="R11" s="548">
        <f t="shared" si="0"/>
        <v>27803.514595699206</v>
      </c>
      <c r="S11" s="24"/>
    </row>
    <row r="12" spans="1:20">
      <c r="D12" s="207"/>
      <c r="E12" s="207"/>
      <c r="F12" s="207"/>
      <c r="G12" s="18"/>
      <c r="H12" s="59"/>
      <c r="I12" s="12"/>
      <c r="J12" s="12"/>
      <c r="K12" s="12"/>
      <c r="L12" s="12"/>
      <c r="M12" s="1"/>
      <c r="N12" s="1"/>
      <c r="O12" s="1"/>
      <c r="P12" s="1"/>
      <c r="Q12" s="1"/>
      <c r="R12" s="1"/>
      <c r="S12" s="24"/>
    </row>
    <row r="13" spans="1:20">
      <c r="A13" s="106" t="s">
        <v>295</v>
      </c>
      <c r="B13" s="79"/>
      <c r="C13" s="34"/>
      <c r="D13" s="547">
        <f t="shared" ref="D13:R13" si="1">D83</f>
        <v>4057.8</v>
      </c>
      <c r="E13" s="547">
        <f t="shared" si="1"/>
        <v>4435.8559999999998</v>
      </c>
      <c r="F13" s="547">
        <f t="shared" si="1"/>
        <v>3706.308</v>
      </c>
      <c r="G13" s="547">
        <f t="shared" si="1"/>
        <v>4473</v>
      </c>
      <c r="H13" s="548">
        <f t="shared" si="1"/>
        <v>4619.3</v>
      </c>
      <c r="I13" s="548">
        <f t="shared" si="1"/>
        <v>4619.3</v>
      </c>
      <c r="J13" s="548">
        <f t="shared" si="1"/>
        <v>4619.3</v>
      </c>
      <c r="K13" s="548">
        <f t="shared" si="1"/>
        <v>4619.3</v>
      </c>
      <c r="L13" s="548">
        <f t="shared" si="1"/>
        <v>4619.3</v>
      </c>
      <c r="M13" s="548">
        <f t="shared" si="1"/>
        <v>4619.3</v>
      </c>
      <c r="N13" s="548">
        <f t="shared" si="1"/>
        <v>4619.3</v>
      </c>
      <c r="O13" s="548">
        <f t="shared" si="1"/>
        <v>4619.3</v>
      </c>
      <c r="P13" s="548">
        <f t="shared" si="1"/>
        <v>4619.3</v>
      </c>
      <c r="Q13" s="548">
        <f t="shared" si="1"/>
        <v>4619.3</v>
      </c>
      <c r="R13" s="548">
        <f t="shared" si="1"/>
        <v>4619.3</v>
      </c>
      <c r="S13" s="24"/>
    </row>
    <row r="14" spans="1:20">
      <c r="A14" s="106"/>
      <c r="B14" s="79"/>
      <c r="C14" s="34"/>
      <c r="D14" s="567"/>
      <c r="E14" s="567"/>
      <c r="F14" s="567"/>
      <c r="G14" s="567"/>
      <c r="H14" s="568"/>
      <c r="I14" s="568"/>
      <c r="J14" s="568"/>
      <c r="K14" s="568"/>
      <c r="L14" s="568"/>
      <c r="M14" s="568"/>
      <c r="N14" s="568"/>
      <c r="O14" s="568"/>
      <c r="P14" s="568"/>
      <c r="Q14" s="568"/>
      <c r="R14" s="568"/>
      <c r="S14" s="24"/>
    </row>
    <row r="15" spans="1:20">
      <c r="A15" s="106" t="s">
        <v>1</v>
      </c>
      <c r="B15" s="34"/>
      <c r="C15" s="34"/>
      <c r="D15" s="547">
        <f t="shared" ref="D15:R15" si="2">(D11-D13)</f>
        <v>31079.954999999998</v>
      </c>
      <c r="E15" s="547">
        <f t="shared" si="2"/>
        <v>38301.665999999997</v>
      </c>
      <c r="F15" s="547">
        <f t="shared" si="2"/>
        <v>30004.84</v>
      </c>
      <c r="G15" s="547">
        <f t="shared" si="2"/>
        <v>24611.758000000002</v>
      </c>
      <c r="H15" s="548">
        <f t="shared" si="2"/>
        <v>23184.214595699206</v>
      </c>
      <c r="I15" s="548">
        <f t="shared" si="2"/>
        <v>23184.214595699206</v>
      </c>
      <c r="J15" s="548">
        <f t="shared" si="2"/>
        <v>23184.214595699206</v>
      </c>
      <c r="K15" s="548">
        <f t="shared" si="2"/>
        <v>23184.214595699206</v>
      </c>
      <c r="L15" s="548">
        <f t="shared" si="2"/>
        <v>23184.214595699206</v>
      </c>
      <c r="M15" s="548">
        <f t="shared" si="2"/>
        <v>23184.214595699206</v>
      </c>
      <c r="N15" s="548">
        <f t="shared" si="2"/>
        <v>23184.214595699206</v>
      </c>
      <c r="O15" s="548">
        <f t="shared" si="2"/>
        <v>23184.214595699206</v>
      </c>
      <c r="P15" s="548">
        <f t="shared" si="2"/>
        <v>23184.214595699206</v>
      </c>
      <c r="Q15" s="548">
        <f t="shared" si="2"/>
        <v>23184.214595699206</v>
      </c>
      <c r="R15" s="548">
        <f t="shared" si="2"/>
        <v>23184.214595699206</v>
      </c>
      <c r="S15" s="24"/>
    </row>
    <row r="16" spans="1:20">
      <c r="A16" s="586" t="s">
        <v>280</v>
      </c>
      <c r="B16" s="7"/>
      <c r="C16" s="7"/>
      <c r="D16" s="587">
        <f t="shared" ref="D16:R16" si="3">D11/D13</f>
        <v>8.6593116959929013</v>
      </c>
      <c r="E16" s="587">
        <f t="shared" si="3"/>
        <v>9.6345602742740066</v>
      </c>
      <c r="F16" s="587">
        <f t="shared" si="3"/>
        <v>9.0956142878573498</v>
      </c>
      <c r="G16" s="587">
        <f t="shared" si="3"/>
        <v>6.5022933154482452</v>
      </c>
      <c r="H16" s="588">
        <f t="shared" si="3"/>
        <v>6.0189887203037697</v>
      </c>
      <c r="I16" s="588">
        <f t="shared" si="3"/>
        <v>6.0189887203037697</v>
      </c>
      <c r="J16" s="588">
        <f t="shared" si="3"/>
        <v>6.0189887203037697</v>
      </c>
      <c r="K16" s="588">
        <f t="shared" si="3"/>
        <v>6.0189887203037697</v>
      </c>
      <c r="L16" s="588">
        <f t="shared" si="3"/>
        <v>6.0189887203037697</v>
      </c>
      <c r="M16" s="588">
        <f t="shared" si="3"/>
        <v>6.0189887203037697</v>
      </c>
      <c r="N16" s="588">
        <f t="shared" si="3"/>
        <v>6.0189887203037697</v>
      </c>
      <c r="O16" s="588">
        <f t="shared" si="3"/>
        <v>6.0189887203037697</v>
      </c>
      <c r="P16" s="588">
        <f t="shared" si="3"/>
        <v>6.0189887203037697</v>
      </c>
      <c r="Q16" s="588">
        <f t="shared" si="3"/>
        <v>6.0189887203037697</v>
      </c>
      <c r="R16" s="588">
        <f t="shared" si="3"/>
        <v>6.0189887203037697</v>
      </c>
      <c r="S16" s="24"/>
    </row>
    <row r="17" spans="1:19">
      <c r="A17" s="586" t="s">
        <v>281</v>
      </c>
      <c r="B17" s="7"/>
      <c r="C17" s="7"/>
      <c r="D17" s="589">
        <f t="shared" ref="D17:R17" si="4">(D11-D13)/D11</f>
        <v>0.88451738023672832</v>
      </c>
      <c r="E17" s="589">
        <f t="shared" si="4"/>
        <v>0.89620699113065094</v>
      </c>
      <c r="F17" s="589">
        <f t="shared" si="4"/>
        <v>0.89005690343147015</v>
      </c>
      <c r="G17" s="589">
        <f t="shared" si="4"/>
        <v>0.84620810666535373</v>
      </c>
      <c r="H17" s="590">
        <f t="shared" si="4"/>
        <v>0.8338591337400727</v>
      </c>
      <c r="I17" s="590">
        <f t="shared" si="4"/>
        <v>0.8338591337400727</v>
      </c>
      <c r="J17" s="590">
        <f t="shared" si="4"/>
        <v>0.8338591337400727</v>
      </c>
      <c r="K17" s="590">
        <f t="shared" si="4"/>
        <v>0.8338591337400727</v>
      </c>
      <c r="L17" s="590">
        <f t="shared" si="4"/>
        <v>0.8338591337400727</v>
      </c>
      <c r="M17" s="590">
        <f t="shared" si="4"/>
        <v>0.8338591337400727</v>
      </c>
      <c r="N17" s="590">
        <f t="shared" si="4"/>
        <v>0.8338591337400727</v>
      </c>
      <c r="O17" s="590">
        <f t="shared" si="4"/>
        <v>0.8338591337400727</v>
      </c>
      <c r="P17" s="590">
        <f t="shared" si="4"/>
        <v>0.8338591337400727</v>
      </c>
      <c r="Q17" s="590">
        <f t="shared" si="4"/>
        <v>0.8338591337400727</v>
      </c>
      <c r="R17" s="590">
        <f t="shared" si="4"/>
        <v>0.8338591337400727</v>
      </c>
      <c r="S17" s="24"/>
    </row>
    <row r="18" spans="1:19">
      <c r="D18" s="16"/>
      <c r="E18" s="16"/>
      <c r="F18" s="16"/>
      <c r="G18" s="16"/>
      <c r="H18" s="24"/>
      <c r="S18" s="24"/>
    </row>
    <row r="19" spans="1:19">
      <c r="A19" s="6" t="s">
        <v>222</v>
      </c>
      <c r="D19" s="573">
        <v>622</v>
      </c>
      <c r="E19" s="573">
        <v>637.79999999999995</v>
      </c>
      <c r="F19" s="573">
        <v>978.9</v>
      </c>
      <c r="G19" s="574">
        <v>1294.5</v>
      </c>
      <c r="H19" s="217">
        <f>G19</f>
        <v>1294.5</v>
      </c>
      <c r="I19" s="217">
        <f t="shared" ref="I19:R19" si="5">H19</f>
        <v>1294.5</v>
      </c>
      <c r="J19" s="217">
        <f t="shared" si="5"/>
        <v>1294.5</v>
      </c>
      <c r="K19" s="217">
        <f t="shared" si="5"/>
        <v>1294.5</v>
      </c>
      <c r="L19" s="217">
        <f t="shared" si="5"/>
        <v>1294.5</v>
      </c>
      <c r="M19" s="217">
        <f t="shared" si="5"/>
        <v>1294.5</v>
      </c>
      <c r="N19" s="217">
        <f t="shared" si="5"/>
        <v>1294.5</v>
      </c>
      <c r="O19" s="217">
        <f t="shared" si="5"/>
        <v>1294.5</v>
      </c>
      <c r="P19" s="217">
        <f t="shared" si="5"/>
        <v>1294.5</v>
      </c>
      <c r="Q19" s="217">
        <f t="shared" si="5"/>
        <v>1294.5</v>
      </c>
      <c r="R19" s="217">
        <f t="shared" si="5"/>
        <v>1294.5</v>
      </c>
      <c r="S19" s="24"/>
    </row>
    <row r="20" spans="1:19">
      <c r="A20" s="6" t="s">
        <v>223</v>
      </c>
      <c r="D20" s="573"/>
      <c r="E20" s="573">
        <v>0</v>
      </c>
      <c r="F20" s="573">
        <v>0</v>
      </c>
      <c r="G20" s="574">
        <v>0</v>
      </c>
      <c r="H20" s="217">
        <v>0</v>
      </c>
      <c r="I20" s="539">
        <f>H20</f>
        <v>0</v>
      </c>
      <c r="J20" s="539">
        <f>I20*Curves!F35</f>
        <v>0</v>
      </c>
      <c r="K20" s="539">
        <f>J20*Curves!G35</f>
        <v>0</v>
      </c>
      <c r="L20" s="539">
        <f>K20*Curves!H35</f>
        <v>0</v>
      </c>
      <c r="M20" s="539">
        <f>L20*Curves!I35</f>
        <v>0</v>
      </c>
      <c r="N20" s="539">
        <f>M20*Curves!J35</f>
        <v>0</v>
      </c>
      <c r="O20" s="539">
        <f>N20*Curves!K35</f>
        <v>0</v>
      </c>
      <c r="P20" s="539">
        <f>O20*Curves!L35</f>
        <v>0</v>
      </c>
      <c r="Q20" s="539">
        <f>P20*Curves!M35</f>
        <v>0</v>
      </c>
      <c r="R20" s="539">
        <f>Q20*Curves!N35</f>
        <v>0</v>
      </c>
      <c r="S20" s="24"/>
    </row>
    <row r="21" spans="1:19">
      <c r="A21" s="6" t="s">
        <v>293</v>
      </c>
      <c r="B21" s="15"/>
      <c r="D21" s="573">
        <f>D128</f>
        <v>9918.5</v>
      </c>
      <c r="E21" s="573">
        <f>E128</f>
        <v>16969.544999999998</v>
      </c>
      <c r="F21" s="573">
        <f>F128</f>
        <v>16972.560000000001</v>
      </c>
      <c r="G21" s="573">
        <f>G128</f>
        <v>10169.299999999999</v>
      </c>
      <c r="H21" s="572">
        <f t="shared" ref="H21:R21" si="6">H128</f>
        <v>10226.778516</v>
      </c>
      <c r="I21" s="572">
        <f t="shared" si="6"/>
        <v>10231.821535942219</v>
      </c>
      <c r="J21" s="572">
        <f t="shared" si="6"/>
        <v>10236.864555884438</v>
      </c>
      <c r="K21" s="572">
        <f t="shared" si="6"/>
        <v>10241.907575826657</v>
      </c>
      <c r="L21" s="572">
        <f t="shared" si="6"/>
        <v>10246.950595768876</v>
      </c>
      <c r="M21" s="572">
        <f t="shared" si="6"/>
        <v>10251.993615711097</v>
      </c>
      <c r="N21" s="572">
        <f t="shared" si="6"/>
        <v>10257.036635653316</v>
      </c>
      <c r="O21" s="572">
        <f t="shared" si="6"/>
        <v>10262.079655595535</v>
      </c>
      <c r="P21" s="572">
        <f t="shared" si="6"/>
        <v>10267.122675537754</v>
      </c>
      <c r="Q21" s="572">
        <f t="shared" si="6"/>
        <v>10272.165695479973</v>
      </c>
      <c r="R21" s="572">
        <f t="shared" si="6"/>
        <v>10277.208715422192</v>
      </c>
      <c r="S21" s="24"/>
    </row>
    <row r="22" spans="1:19">
      <c r="D22" s="575"/>
      <c r="E22" s="575"/>
      <c r="F22" s="575"/>
      <c r="G22" s="537"/>
      <c r="H22" s="576"/>
      <c r="I22" s="538"/>
      <c r="J22" s="538"/>
      <c r="K22" s="576"/>
      <c r="L22" s="576"/>
      <c r="M22" s="538"/>
      <c r="N22" s="538"/>
      <c r="O22" s="538"/>
      <c r="P22" s="538"/>
      <c r="Q22" s="538"/>
      <c r="R22" s="538"/>
      <c r="S22" s="24"/>
    </row>
    <row r="23" spans="1:19">
      <c r="A23" s="106" t="s">
        <v>2</v>
      </c>
      <c r="B23" s="34"/>
      <c r="C23" s="34"/>
      <c r="D23" s="547">
        <f t="shared" ref="D23:R23" si="7">D15+D19+D20-D21</f>
        <v>21783.454999999998</v>
      </c>
      <c r="E23" s="547">
        <f t="shared" si="7"/>
        <v>21969.921000000002</v>
      </c>
      <c r="F23" s="547">
        <f t="shared" si="7"/>
        <v>14011.18</v>
      </c>
      <c r="G23" s="547">
        <f t="shared" si="7"/>
        <v>15736.958000000002</v>
      </c>
      <c r="H23" s="548">
        <f t="shared" si="7"/>
        <v>14251.936079699206</v>
      </c>
      <c r="I23" s="548">
        <f t="shared" si="7"/>
        <v>14246.893059756987</v>
      </c>
      <c r="J23" s="548">
        <f t="shared" si="7"/>
        <v>14241.850039814768</v>
      </c>
      <c r="K23" s="548">
        <f t="shared" si="7"/>
        <v>14236.807019872549</v>
      </c>
      <c r="L23" s="548">
        <f t="shared" si="7"/>
        <v>14231.76399993033</v>
      </c>
      <c r="M23" s="548">
        <f t="shared" si="7"/>
        <v>14226.720979988109</v>
      </c>
      <c r="N23" s="548">
        <f t="shared" si="7"/>
        <v>14221.67796004589</v>
      </c>
      <c r="O23" s="548">
        <f t="shared" si="7"/>
        <v>14216.634940103671</v>
      </c>
      <c r="P23" s="548">
        <f t="shared" si="7"/>
        <v>14211.591920161452</v>
      </c>
      <c r="Q23" s="548">
        <f t="shared" si="7"/>
        <v>14206.548900219233</v>
      </c>
      <c r="R23" s="548">
        <f t="shared" si="7"/>
        <v>14201.505880277015</v>
      </c>
      <c r="S23" s="24"/>
    </row>
    <row r="24" spans="1:19">
      <c r="D24" s="206"/>
      <c r="E24" s="206"/>
      <c r="F24" s="206"/>
      <c r="G24" s="18"/>
      <c r="H24" s="12"/>
      <c r="I24" s="1"/>
      <c r="J24" s="1"/>
      <c r="K24" s="12"/>
      <c r="L24" s="12"/>
      <c r="M24" s="1"/>
      <c r="N24" s="1"/>
      <c r="O24" s="1"/>
      <c r="P24" s="1"/>
      <c r="Q24" s="1"/>
      <c r="R24" s="1"/>
      <c r="S24" s="24"/>
    </row>
    <row r="25" spans="1:19">
      <c r="A25" s="284" t="s">
        <v>296</v>
      </c>
      <c r="D25" s="206"/>
      <c r="E25" s="206"/>
      <c r="F25" s="206"/>
      <c r="G25" s="18"/>
      <c r="H25" s="12"/>
      <c r="I25" s="1"/>
      <c r="J25" s="1"/>
      <c r="K25" s="12"/>
      <c r="L25" s="12"/>
      <c r="M25" s="1"/>
      <c r="N25" s="1"/>
      <c r="O25" s="1"/>
      <c r="P25" s="1"/>
      <c r="Q25" s="1"/>
      <c r="R25" s="1"/>
      <c r="S25" s="24"/>
    </row>
    <row r="26" spans="1:19">
      <c r="A26" s="793" t="s">
        <v>3</v>
      </c>
      <c r="D26" s="785">
        <f t="shared" ref="D26:R26" si="8">$B$28*(D15+D19+D20-D134)</f>
        <v>4568.0076749999989</v>
      </c>
      <c r="E26" s="785">
        <f t="shared" si="8"/>
        <v>1925.1447600000015</v>
      </c>
      <c r="F26" s="785">
        <f t="shared" si="8"/>
        <v>-1140.1313000000005</v>
      </c>
      <c r="G26" s="785">
        <f t="shared" si="8"/>
        <v>2143.5483300000014</v>
      </c>
      <c r="H26" s="786">
        <f t="shared" si="8"/>
        <v>3955.8193850941943</v>
      </c>
      <c r="I26" s="786">
        <f t="shared" si="8"/>
        <v>3950.2832027639797</v>
      </c>
      <c r="J26" s="786">
        <f t="shared" si="8"/>
        <v>3945.7590988365719</v>
      </c>
      <c r="K26" s="786">
        <f t="shared" si="8"/>
        <v>5034.7503820769052</v>
      </c>
      <c r="L26" s="786">
        <f t="shared" si="8"/>
        <v>5031.0834767883753</v>
      </c>
      <c r="M26" s="786">
        <f t="shared" si="8"/>
        <v>5027.7876791336985</v>
      </c>
      <c r="N26" s="786">
        <f t="shared" si="8"/>
        <v>5024.6359320052516</v>
      </c>
      <c r="O26" s="786">
        <f t="shared" si="8"/>
        <v>5021.4539265055982</v>
      </c>
      <c r="P26" s="786">
        <f t="shared" si="8"/>
        <v>6111.3317427059446</v>
      </c>
      <c r="Q26" s="786">
        <f t="shared" si="8"/>
        <v>6108.1506541266308</v>
      </c>
      <c r="R26" s="786">
        <f t="shared" si="8"/>
        <v>6104.9623384769784</v>
      </c>
      <c r="S26" s="24"/>
    </row>
    <row r="27" spans="1:19">
      <c r="A27" s="579" t="s">
        <v>4</v>
      </c>
      <c r="D27" s="668">
        <f t="shared" ref="D27:R27" si="9">D28-D26</f>
        <v>3818.6225000000013</v>
      </c>
      <c r="E27" s="668">
        <f t="shared" si="9"/>
        <v>6533.2748250000004</v>
      </c>
      <c r="F27" s="668">
        <f t="shared" si="9"/>
        <v>6534.4356000000007</v>
      </c>
      <c r="G27" s="668">
        <f t="shared" si="9"/>
        <v>3915.1804999999995</v>
      </c>
      <c r="H27" s="434">
        <f t="shared" si="9"/>
        <v>1531.1760055900004</v>
      </c>
      <c r="I27" s="434">
        <f t="shared" si="9"/>
        <v>1534.7706252424605</v>
      </c>
      <c r="J27" s="434">
        <f t="shared" si="9"/>
        <v>1537.3531664921138</v>
      </c>
      <c r="K27" s="434">
        <f t="shared" si="9"/>
        <v>446.42032057402594</v>
      </c>
      <c r="L27" s="434">
        <f t="shared" si="9"/>
        <v>448.14566318480229</v>
      </c>
      <c r="M27" s="434">
        <f t="shared" si="9"/>
        <v>449.49989816172365</v>
      </c>
      <c r="N27" s="434">
        <f t="shared" si="9"/>
        <v>450.71008261241604</v>
      </c>
      <c r="O27" s="434">
        <f t="shared" si="9"/>
        <v>451.95052543431575</v>
      </c>
      <c r="P27" s="434">
        <f t="shared" si="9"/>
        <v>-639.86885344378516</v>
      </c>
      <c r="Q27" s="434">
        <f t="shared" si="9"/>
        <v>-638.62932754222584</v>
      </c>
      <c r="R27" s="434">
        <f t="shared" si="9"/>
        <v>-637.38257457032796</v>
      </c>
      <c r="S27" s="24"/>
    </row>
    <row r="28" spans="1:19">
      <c r="A28" s="67" t="s">
        <v>297</v>
      </c>
      <c r="B28" s="664">
        <f>Assumptions!D10</f>
        <v>0.38500000000000001</v>
      </c>
      <c r="D28" s="565">
        <f t="shared" ref="D28:R28" si="10">D23*$B$28</f>
        <v>8386.6301750000002</v>
      </c>
      <c r="E28" s="565">
        <f t="shared" si="10"/>
        <v>8458.4195850000015</v>
      </c>
      <c r="F28" s="565">
        <f t="shared" si="10"/>
        <v>5394.3042999999998</v>
      </c>
      <c r="G28" s="565">
        <f t="shared" si="10"/>
        <v>6058.7288300000009</v>
      </c>
      <c r="H28" s="566">
        <f t="shared" si="10"/>
        <v>5486.9953906841947</v>
      </c>
      <c r="I28" s="615">
        <f t="shared" si="10"/>
        <v>5485.0538280064402</v>
      </c>
      <c r="J28" s="615">
        <f t="shared" si="10"/>
        <v>5483.1122653286857</v>
      </c>
      <c r="K28" s="615">
        <f t="shared" si="10"/>
        <v>5481.1707026509312</v>
      </c>
      <c r="L28" s="615">
        <f t="shared" si="10"/>
        <v>5479.2291399731776</v>
      </c>
      <c r="M28" s="615">
        <f t="shared" si="10"/>
        <v>5477.2875772954221</v>
      </c>
      <c r="N28" s="615">
        <f t="shared" si="10"/>
        <v>5475.3460146176676</v>
      </c>
      <c r="O28" s="615">
        <f t="shared" si="10"/>
        <v>5473.404451939914</v>
      </c>
      <c r="P28" s="615">
        <f t="shared" si="10"/>
        <v>5471.4628892621595</v>
      </c>
      <c r="Q28" s="615">
        <f t="shared" si="10"/>
        <v>5469.521326584405</v>
      </c>
      <c r="R28" s="615">
        <f t="shared" si="10"/>
        <v>5467.5797639066504</v>
      </c>
      <c r="S28" s="24"/>
    </row>
    <row r="29" spans="1:19">
      <c r="A29" s="1"/>
      <c r="B29" s="23"/>
      <c r="D29" s="575"/>
      <c r="E29" s="575"/>
      <c r="F29" s="575"/>
      <c r="G29" s="537"/>
      <c r="H29" s="576"/>
      <c r="I29" s="538"/>
      <c r="J29" s="538"/>
      <c r="K29" s="576"/>
      <c r="L29" s="576"/>
      <c r="M29" s="538"/>
      <c r="N29" s="538"/>
      <c r="O29" s="538"/>
      <c r="P29" s="538"/>
      <c r="Q29" s="538"/>
      <c r="R29" s="538"/>
      <c r="S29" s="24"/>
    </row>
    <row r="30" spans="1:19">
      <c r="A30" s="580" t="s">
        <v>13</v>
      </c>
      <c r="B30" s="227"/>
      <c r="C30" s="34"/>
      <c r="D30" s="547">
        <f t="shared" ref="D30:R30" si="11">D23-D28</f>
        <v>13396.824824999998</v>
      </c>
      <c r="E30" s="547">
        <f t="shared" si="11"/>
        <v>13511.501415000001</v>
      </c>
      <c r="F30" s="547">
        <f t="shared" si="11"/>
        <v>8616.8757000000005</v>
      </c>
      <c r="G30" s="547">
        <f t="shared" si="11"/>
        <v>9678.2291700000023</v>
      </c>
      <c r="H30" s="548">
        <f t="shared" si="11"/>
        <v>8764.9406890150112</v>
      </c>
      <c r="I30" s="548">
        <f t="shared" si="11"/>
        <v>8761.8392317505459</v>
      </c>
      <c r="J30" s="548">
        <f t="shared" si="11"/>
        <v>8758.7377744860823</v>
      </c>
      <c r="K30" s="548">
        <f t="shared" si="11"/>
        <v>8755.6363172216188</v>
      </c>
      <c r="L30" s="548">
        <f t="shared" si="11"/>
        <v>8752.5348599571516</v>
      </c>
      <c r="M30" s="548">
        <f t="shared" si="11"/>
        <v>8749.4334026926881</v>
      </c>
      <c r="N30" s="548">
        <f t="shared" si="11"/>
        <v>8746.3319454282228</v>
      </c>
      <c r="O30" s="548">
        <f t="shared" si="11"/>
        <v>8743.2304881637574</v>
      </c>
      <c r="P30" s="548">
        <f t="shared" si="11"/>
        <v>8740.1290308992939</v>
      </c>
      <c r="Q30" s="548">
        <f t="shared" si="11"/>
        <v>8737.0275736348285</v>
      </c>
      <c r="R30" s="548">
        <f t="shared" si="11"/>
        <v>8733.9261163703632</v>
      </c>
      <c r="S30" s="19" t="s">
        <v>1</v>
      </c>
    </row>
    <row r="31" spans="1:19">
      <c r="A31" s="2"/>
      <c r="B31" s="23"/>
      <c r="D31" s="206"/>
      <c r="E31" s="206"/>
      <c r="F31" s="206"/>
      <c r="G31" s="18"/>
      <c r="H31" s="12"/>
      <c r="I31" s="1"/>
      <c r="J31" s="1"/>
      <c r="K31" s="12"/>
      <c r="L31" s="12"/>
      <c r="M31" s="1"/>
      <c r="N31" s="1"/>
      <c r="O31" s="1"/>
      <c r="P31" s="1"/>
      <c r="Q31" s="1"/>
      <c r="R31" s="1"/>
      <c r="S31" s="19" t="s">
        <v>42</v>
      </c>
    </row>
    <row r="32" spans="1:19">
      <c r="A32" s="69" t="s">
        <v>298</v>
      </c>
      <c r="B32" s="23"/>
      <c r="D32" s="581">
        <f t="shared" ref="D32:R32" si="12">D30+D27+D21</f>
        <v>27133.947325000001</v>
      </c>
      <c r="E32" s="581">
        <f t="shared" si="12"/>
        <v>37014.321239999997</v>
      </c>
      <c r="F32" s="581">
        <f t="shared" si="12"/>
        <v>32123.871300000003</v>
      </c>
      <c r="G32" s="581">
        <f t="shared" si="12"/>
        <v>23762.70967</v>
      </c>
      <c r="H32" s="217">
        <f t="shared" si="12"/>
        <v>20522.895210605013</v>
      </c>
      <c r="I32" s="539">
        <f t="shared" si="12"/>
        <v>20528.431392935228</v>
      </c>
      <c r="J32" s="539">
        <f t="shared" si="12"/>
        <v>20532.955496862633</v>
      </c>
      <c r="K32" s="217">
        <f t="shared" si="12"/>
        <v>19443.964213622305</v>
      </c>
      <c r="L32" s="217">
        <f t="shared" si="12"/>
        <v>19447.631118910831</v>
      </c>
      <c r="M32" s="539">
        <f t="shared" si="12"/>
        <v>19450.92691656551</v>
      </c>
      <c r="N32" s="539">
        <f t="shared" si="12"/>
        <v>19454.078663693956</v>
      </c>
      <c r="O32" s="539">
        <f t="shared" si="12"/>
        <v>19457.260669193609</v>
      </c>
      <c r="P32" s="539">
        <f t="shared" si="12"/>
        <v>18367.382852993262</v>
      </c>
      <c r="Q32" s="539">
        <f t="shared" si="12"/>
        <v>18370.563941572575</v>
      </c>
      <c r="R32" s="539">
        <f t="shared" si="12"/>
        <v>18373.752257222226</v>
      </c>
      <c r="S32" s="19" t="s">
        <v>43</v>
      </c>
    </row>
    <row r="33" spans="1:19">
      <c r="A33" s="69" t="s">
        <v>17</v>
      </c>
      <c r="B33" s="101"/>
      <c r="D33" s="18">
        <f t="shared" ref="D33:R33" si="13">D107</f>
        <v>10111.6</v>
      </c>
      <c r="E33" s="18">
        <f t="shared" si="13"/>
        <v>103.386</v>
      </c>
      <c r="F33" s="18">
        <f t="shared" si="13"/>
        <v>154</v>
      </c>
      <c r="G33" s="18">
        <f t="shared" si="13"/>
        <v>163.9</v>
      </c>
      <c r="H33" s="217">
        <f t="shared" si="13"/>
        <v>140.08388728386805</v>
      </c>
      <c r="I33" s="217">
        <f t="shared" si="13"/>
        <v>140.08388728386805</v>
      </c>
      <c r="J33" s="217">
        <f t="shared" si="13"/>
        <v>140.08388728386805</v>
      </c>
      <c r="K33" s="217">
        <f t="shared" si="13"/>
        <v>140.08388728386805</v>
      </c>
      <c r="L33" s="217">
        <f t="shared" si="13"/>
        <v>140.08388728386805</v>
      </c>
      <c r="M33" s="217">
        <f t="shared" si="13"/>
        <v>140.08388728386805</v>
      </c>
      <c r="N33" s="217">
        <f t="shared" si="13"/>
        <v>140.08388728386805</v>
      </c>
      <c r="O33" s="217">
        <f t="shared" si="13"/>
        <v>140.08388728386805</v>
      </c>
      <c r="P33" s="217">
        <f t="shared" si="13"/>
        <v>140.08388728386805</v>
      </c>
      <c r="Q33" s="217">
        <f t="shared" si="13"/>
        <v>140.08388728386805</v>
      </c>
      <c r="R33" s="217">
        <f t="shared" si="13"/>
        <v>140.08388728386805</v>
      </c>
      <c r="S33" s="583"/>
    </row>
    <row r="34" spans="1:19">
      <c r="A34" s="2"/>
      <c r="B34" s="101"/>
      <c r="D34" s="18"/>
      <c r="E34" s="18"/>
      <c r="F34" s="18"/>
      <c r="G34" s="18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03"/>
    </row>
    <row r="35" spans="1:19" ht="27.75" customHeight="1" thickBot="1">
      <c r="A35" s="661" t="s">
        <v>333</v>
      </c>
      <c r="B35" s="582"/>
      <c r="C35" s="582"/>
      <c r="D35" s="584">
        <f t="shared" ref="D35:Q35" si="14">D32-D33</f>
        <v>17022.347325000002</v>
      </c>
      <c r="E35" s="584">
        <f t="shared" si="14"/>
        <v>36910.935239999999</v>
      </c>
      <c r="F35" s="584">
        <f t="shared" si="14"/>
        <v>31969.871300000003</v>
      </c>
      <c r="G35" s="584">
        <f t="shared" si="14"/>
        <v>23598.809669999999</v>
      </c>
      <c r="H35" s="585">
        <f t="shared" si="14"/>
        <v>20382.811323321144</v>
      </c>
      <c r="I35" s="585">
        <f t="shared" si="14"/>
        <v>20388.34750565136</v>
      </c>
      <c r="J35" s="585">
        <f t="shared" si="14"/>
        <v>20392.871609578764</v>
      </c>
      <c r="K35" s="585">
        <f t="shared" si="14"/>
        <v>19303.880326338436</v>
      </c>
      <c r="L35" s="585">
        <f t="shared" si="14"/>
        <v>19307.547231626962</v>
      </c>
      <c r="M35" s="585">
        <f t="shared" si="14"/>
        <v>19310.843029281641</v>
      </c>
      <c r="N35" s="585">
        <f t="shared" si="14"/>
        <v>19313.994776410087</v>
      </c>
      <c r="O35" s="585">
        <f t="shared" si="14"/>
        <v>19317.17678190974</v>
      </c>
      <c r="P35" s="585">
        <f t="shared" si="14"/>
        <v>18227.298965709393</v>
      </c>
      <c r="Q35" s="585">
        <f t="shared" si="14"/>
        <v>18230.480054288706</v>
      </c>
      <c r="R35" s="585">
        <f>R32-R33+S35</f>
        <v>226891.59973123122</v>
      </c>
      <c r="S35" s="857">
        <f>R15*S37</f>
        <v>208657.93136129287</v>
      </c>
    </row>
    <row r="36" spans="1:19" ht="13.5" thickTop="1">
      <c r="A36" s="641"/>
      <c r="B36" s="34"/>
      <c r="C36" s="34"/>
      <c r="D36" s="34"/>
      <c r="E36" s="548"/>
      <c r="F36" s="548"/>
      <c r="G36" s="548"/>
      <c r="H36" s="548"/>
      <c r="I36" s="548"/>
      <c r="J36" s="548"/>
      <c r="K36" s="548"/>
      <c r="L36" s="548"/>
      <c r="M36" s="548"/>
      <c r="N36" s="548"/>
      <c r="O36" s="548"/>
      <c r="P36" s="548"/>
      <c r="Q36" s="548"/>
      <c r="R36" s="548"/>
      <c r="S36" s="195"/>
    </row>
    <row r="37" spans="1:19">
      <c r="A37" s="641"/>
      <c r="B37" s="34"/>
      <c r="C37" s="34"/>
      <c r="D37" s="34"/>
      <c r="E37" s="548"/>
      <c r="F37" s="548"/>
      <c r="G37" s="548"/>
      <c r="H37" s="548"/>
      <c r="I37" s="548"/>
      <c r="J37" s="548"/>
      <c r="K37" s="548"/>
      <c r="L37" s="548"/>
      <c r="M37" s="548"/>
      <c r="N37" s="548"/>
      <c r="O37" s="548"/>
      <c r="P37" s="548"/>
      <c r="Q37" s="548"/>
      <c r="R37" s="548"/>
      <c r="S37" s="592">
        <f>Scenarios!C5</f>
        <v>9</v>
      </c>
    </row>
    <row r="38" spans="1:19">
      <c r="A38" s="641"/>
      <c r="B38" s="34"/>
      <c r="C38" s="34"/>
      <c r="D38" s="34"/>
      <c r="E38" s="548"/>
      <c r="F38" s="548"/>
      <c r="G38" s="548"/>
      <c r="H38" s="548"/>
      <c r="I38" s="548"/>
      <c r="J38" s="548"/>
      <c r="K38" s="548"/>
      <c r="L38" s="548"/>
      <c r="M38" s="548"/>
      <c r="N38" s="548"/>
      <c r="O38" s="548"/>
      <c r="P38" s="548"/>
      <c r="Q38" s="548"/>
      <c r="R38" s="548"/>
      <c r="S38" s="591" t="s">
        <v>302</v>
      </c>
    </row>
    <row r="39" spans="1:19" ht="13.5" thickBot="1">
      <c r="M39" s="48"/>
    </row>
    <row r="40" spans="1:19" ht="15">
      <c r="G40"/>
      <c r="H40" s="145" t="s">
        <v>10</v>
      </c>
      <c r="I40" s="146" t="str">
        <f>(Assumptions!D8-1&amp;" EBITDA")</f>
        <v>2001 EBITDA</v>
      </c>
      <c r="J40" s="146" t="s">
        <v>44</v>
      </c>
      <c r="K40" s="147"/>
      <c r="L40" s="1028" t="s">
        <v>11</v>
      </c>
      <c r="M40" s="1028"/>
      <c r="N40" s="1029"/>
      <c r="Q40" s="1"/>
      <c r="R40" s="1"/>
    </row>
    <row r="41" spans="1:19" ht="15">
      <c r="G41"/>
      <c r="H41" s="148" t="s">
        <v>12</v>
      </c>
      <c r="I41" s="149" t="s">
        <v>18</v>
      </c>
      <c r="J41" s="149" t="s">
        <v>45</v>
      </c>
      <c r="K41" s="150"/>
      <c r="L41" s="151">
        <f>Asset3Drate-0.025</f>
        <v>4.9999999999999996E-2</v>
      </c>
      <c r="M41" s="599">
        <f>Scenarios!C6</f>
        <v>7.4999999999999997E-2</v>
      </c>
      <c r="N41" s="152">
        <f>Asset3Drate+0.025</f>
        <v>0.1</v>
      </c>
      <c r="Q41" s="1"/>
      <c r="R41" s="1"/>
    </row>
    <row r="42" spans="1:19">
      <c r="G42" s="8" t="s">
        <v>16</v>
      </c>
      <c r="H42" s="153"/>
      <c r="I42" s="154"/>
      <c r="J42" s="154"/>
      <c r="K42" s="143"/>
      <c r="L42" s="143"/>
      <c r="M42" s="143"/>
      <c r="N42" s="155"/>
      <c r="Q42" s="1"/>
      <c r="R42" s="1"/>
    </row>
    <row r="43" spans="1:19" ht="13.5" thickBot="1">
      <c r="G43">
        <f>IF(ABS(H43-M43)&lt;0.05,0,1)</f>
        <v>0</v>
      </c>
      <c r="H43" s="181">
        <v>234033.49929457437</v>
      </c>
      <c r="I43" s="182">
        <f>H43/H15</f>
        <v>10.094519196608404</v>
      </c>
      <c r="J43" s="183"/>
      <c r="K43" s="184"/>
      <c r="L43" s="676">
        <f>NPV(L41,$I$35:$R$35)</f>
        <v>277125.74558616814</v>
      </c>
      <c r="M43" s="676">
        <f>NPV(M41,$I$35:$R$35)</f>
        <v>234033.49929457437</v>
      </c>
      <c r="N43" s="180">
        <f>NPV(N41,$I$35:$R$35)</f>
        <v>199595.81301501425</v>
      </c>
      <c r="Q43" s="1"/>
      <c r="R43" s="1"/>
      <c r="S43" s="1"/>
    </row>
    <row r="44" spans="1:19">
      <c r="G44"/>
      <c r="H44" s="12"/>
      <c r="I44" s="144"/>
      <c r="J44" s="144"/>
      <c r="K44" s="12"/>
      <c r="L44" s="674"/>
      <c r="M44" s="675"/>
      <c r="N44" s="70"/>
      <c r="Q44" s="1"/>
      <c r="R44" s="1"/>
      <c r="S44" s="1"/>
    </row>
    <row r="45" spans="1:19">
      <c r="G45" s="12"/>
      <c r="H45" s="1"/>
      <c r="I45" s="1"/>
      <c r="J45" s="1"/>
      <c r="K45" s="1"/>
      <c r="L45" s="674"/>
      <c r="M45" s="70"/>
      <c r="O45" s="1"/>
      <c r="P45" s="1"/>
      <c r="Q45" s="1"/>
      <c r="R45" s="1"/>
    </row>
    <row r="46" spans="1:19">
      <c r="E46" s="12"/>
      <c r="F46" s="12"/>
      <c r="G46" s="12"/>
      <c r="H46" s="12"/>
      <c r="I46" s="12"/>
      <c r="J46" s="24"/>
      <c r="K46" s="24"/>
      <c r="L46" s="24"/>
      <c r="M46" s="24"/>
      <c r="N46" s="24"/>
      <c r="O46" s="24"/>
      <c r="P46" s="24"/>
      <c r="Q46" s="24"/>
      <c r="R46" s="24"/>
    </row>
    <row r="47" spans="1:19" ht="15.75">
      <c r="A47" s="483" t="s">
        <v>47</v>
      </c>
      <c r="B47" s="379"/>
      <c r="C47" s="379"/>
      <c r="D47" s="379"/>
      <c r="E47" s="379"/>
      <c r="F47" s="379"/>
      <c r="G47" s="379"/>
      <c r="H47" s="379"/>
      <c r="I47" s="379"/>
      <c r="J47" s="379"/>
      <c r="K47" s="379"/>
      <c r="L47" s="379"/>
      <c r="M47" s="379"/>
      <c r="N47" s="379"/>
      <c r="O47" s="379"/>
      <c r="P47" s="379"/>
      <c r="Q47" s="379"/>
      <c r="R47" s="379"/>
      <c r="S47" s="24"/>
    </row>
    <row r="48" spans="1:19">
      <c r="E48" s="480"/>
      <c r="F48" s="480"/>
      <c r="G48" s="323"/>
      <c r="H48" s="309" t="s">
        <v>203</v>
      </c>
      <c r="I48" s="328"/>
      <c r="J48" s="323"/>
      <c r="K48" s="323"/>
      <c r="L48" s="246"/>
      <c r="M48" s="323"/>
      <c r="N48" s="246"/>
      <c r="O48" s="246"/>
      <c r="P48" s="246"/>
      <c r="Q48" s="246"/>
      <c r="R48" s="292"/>
      <c r="S48" s="24"/>
    </row>
    <row r="49" spans="1:19">
      <c r="D49" s="387">
        <v>1997</v>
      </c>
      <c r="E49" s="256">
        <v>1998</v>
      </c>
      <c r="F49" s="256">
        <v>1999</v>
      </c>
      <c r="G49" s="256">
        <v>2000</v>
      </c>
      <c r="H49" s="256">
        <v>2001</v>
      </c>
      <c r="I49" s="289">
        <v>2002</v>
      </c>
      <c r="J49" s="289">
        <v>2003</v>
      </c>
      <c r="K49" s="289">
        <v>2004</v>
      </c>
      <c r="L49" s="289">
        <v>2005</v>
      </c>
      <c r="M49" s="289">
        <v>2006</v>
      </c>
      <c r="N49" s="293">
        <v>2007</v>
      </c>
      <c r="O49" s="293">
        <v>2008</v>
      </c>
      <c r="P49" s="293">
        <v>2009</v>
      </c>
      <c r="Q49" s="293">
        <v>2010</v>
      </c>
      <c r="R49" s="654">
        <v>2011</v>
      </c>
      <c r="S49" s="24"/>
    </row>
    <row r="50" spans="1:19">
      <c r="B50" s="39" t="s">
        <v>57</v>
      </c>
      <c r="C50" s="310"/>
      <c r="D50" s="31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4"/>
    </row>
    <row r="51" spans="1:19">
      <c r="A51" s="6" t="s">
        <v>321</v>
      </c>
      <c r="B51" s="671">
        <v>0</v>
      </c>
      <c r="C51" s="310"/>
      <c r="D51" s="540"/>
      <c r="E51" s="540">
        <f>$B$51*2606</f>
        <v>0</v>
      </c>
      <c r="F51" s="540">
        <f>$B$51*2667</f>
        <v>0</v>
      </c>
      <c r="G51" s="540">
        <f>$B$51*2676</f>
        <v>0</v>
      </c>
      <c r="H51" s="781">
        <f>$B$51*2*1289</f>
        <v>0</v>
      </c>
      <c r="I51" s="539">
        <f t="shared" ref="I51:R51" si="15">H51*I62</f>
        <v>0</v>
      </c>
      <c r="J51" s="539">
        <f t="shared" si="15"/>
        <v>0</v>
      </c>
      <c r="K51" s="539">
        <f t="shared" si="15"/>
        <v>0</v>
      </c>
      <c r="L51" s="539">
        <f t="shared" si="15"/>
        <v>0</v>
      </c>
      <c r="M51" s="539">
        <f t="shared" si="15"/>
        <v>0</v>
      </c>
      <c r="N51" s="539">
        <f t="shared" si="15"/>
        <v>0</v>
      </c>
      <c r="O51" s="539">
        <f t="shared" si="15"/>
        <v>0</v>
      </c>
      <c r="P51" s="539">
        <f t="shared" si="15"/>
        <v>0</v>
      </c>
      <c r="Q51" s="539">
        <f t="shared" si="15"/>
        <v>0</v>
      </c>
      <c r="R51" s="539">
        <f t="shared" si="15"/>
        <v>0</v>
      </c>
      <c r="S51" s="24"/>
    </row>
    <row r="52" spans="1:19">
      <c r="A52" s="636" t="s">
        <v>322</v>
      </c>
      <c r="B52" s="671">
        <v>0</v>
      </c>
      <c r="C52" s="310"/>
      <c r="D52" s="540"/>
      <c r="E52" s="540">
        <f>$B$52*1051</f>
        <v>0</v>
      </c>
      <c r="F52" s="540">
        <f>$B$52*1156</f>
        <v>0</v>
      </c>
      <c r="G52" s="540">
        <f>$B$52*1196</f>
        <v>0</v>
      </c>
      <c r="H52" s="781">
        <f>$B$52*2*779</f>
        <v>0</v>
      </c>
      <c r="I52" s="539">
        <f t="shared" ref="I52:R52" si="16">H52*I63</f>
        <v>0</v>
      </c>
      <c r="J52" s="539">
        <f t="shared" si="16"/>
        <v>0</v>
      </c>
      <c r="K52" s="539">
        <f t="shared" si="16"/>
        <v>0</v>
      </c>
      <c r="L52" s="539">
        <f t="shared" si="16"/>
        <v>0</v>
      </c>
      <c r="M52" s="539">
        <f t="shared" si="16"/>
        <v>0</v>
      </c>
      <c r="N52" s="539">
        <f t="shared" si="16"/>
        <v>0</v>
      </c>
      <c r="O52" s="539">
        <f t="shared" si="16"/>
        <v>0</v>
      </c>
      <c r="P52" s="539">
        <f t="shared" si="16"/>
        <v>0</v>
      </c>
      <c r="Q52" s="539">
        <f t="shared" si="16"/>
        <v>0</v>
      </c>
      <c r="R52" s="539">
        <f t="shared" si="16"/>
        <v>0</v>
      </c>
      <c r="S52" s="24"/>
    </row>
    <row r="53" spans="1:19">
      <c r="A53" s="636" t="s">
        <v>323</v>
      </c>
      <c r="B53" s="671">
        <v>1</v>
      </c>
      <c r="C53" s="310"/>
      <c r="D53" s="646">
        <v>35137.754999999997</v>
      </c>
      <c r="E53" s="646">
        <v>42737.521999999997</v>
      </c>
      <c r="F53" s="646">
        <v>33711.148000000001</v>
      </c>
      <c r="G53" s="646">
        <v>29084.758000000002</v>
      </c>
      <c r="H53" s="539">
        <f>G53*H64</f>
        <v>27803.514595699206</v>
      </c>
      <c r="I53" s="539">
        <f t="shared" ref="I53:R53" si="17">H53*I64</f>
        <v>27803.514595699206</v>
      </c>
      <c r="J53" s="539">
        <f t="shared" si="17"/>
        <v>27803.514595699206</v>
      </c>
      <c r="K53" s="539">
        <f t="shared" si="17"/>
        <v>27803.514595699206</v>
      </c>
      <c r="L53" s="539">
        <f t="shared" si="17"/>
        <v>27803.514595699206</v>
      </c>
      <c r="M53" s="539">
        <f t="shared" si="17"/>
        <v>27803.514595699206</v>
      </c>
      <c r="N53" s="539">
        <f t="shared" si="17"/>
        <v>27803.514595699206</v>
      </c>
      <c r="O53" s="539">
        <f t="shared" si="17"/>
        <v>27803.514595699206</v>
      </c>
      <c r="P53" s="539">
        <f t="shared" si="17"/>
        <v>27803.514595699206</v>
      </c>
      <c r="Q53" s="539">
        <f t="shared" si="17"/>
        <v>27803.514595699206</v>
      </c>
      <c r="R53" s="539">
        <f t="shared" si="17"/>
        <v>27803.514595699206</v>
      </c>
      <c r="S53" s="24"/>
    </row>
    <row r="54" spans="1:19">
      <c r="A54" s="6" t="s">
        <v>324</v>
      </c>
      <c r="B54" s="671">
        <v>0</v>
      </c>
      <c r="C54" s="310"/>
      <c r="D54" s="540"/>
      <c r="E54" s="540">
        <f>$B$54*277</f>
        <v>0</v>
      </c>
      <c r="F54" s="540">
        <f>$B$54*390</f>
        <v>0</v>
      </c>
      <c r="G54" s="540">
        <f>$B$54*500</f>
        <v>0</v>
      </c>
      <c r="H54" s="781">
        <f>$B$54*2*216</f>
        <v>0</v>
      </c>
      <c r="I54" s="539">
        <f t="shared" ref="I54:R54" si="18">H54*I65</f>
        <v>0</v>
      </c>
      <c r="J54" s="539">
        <f t="shared" si="18"/>
        <v>0</v>
      </c>
      <c r="K54" s="539">
        <f t="shared" si="18"/>
        <v>0</v>
      </c>
      <c r="L54" s="539">
        <f t="shared" si="18"/>
        <v>0</v>
      </c>
      <c r="M54" s="539">
        <f t="shared" si="18"/>
        <v>0</v>
      </c>
      <c r="N54" s="539">
        <f t="shared" si="18"/>
        <v>0</v>
      </c>
      <c r="O54" s="539">
        <f t="shared" si="18"/>
        <v>0</v>
      </c>
      <c r="P54" s="539">
        <f t="shared" si="18"/>
        <v>0</v>
      </c>
      <c r="Q54" s="539">
        <f t="shared" si="18"/>
        <v>0</v>
      </c>
      <c r="R54" s="539">
        <f t="shared" si="18"/>
        <v>0</v>
      </c>
      <c r="S54" s="24"/>
    </row>
    <row r="55" spans="1:19">
      <c r="A55" s="6" t="s">
        <v>334</v>
      </c>
      <c r="B55" s="671">
        <v>0</v>
      </c>
      <c r="C55" s="310"/>
      <c r="D55" s="540"/>
      <c r="E55" s="540">
        <f>$B$55*63</f>
        <v>0</v>
      </c>
      <c r="F55" s="540">
        <f>$B$55*98</f>
        <v>0</v>
      </c>
      <c r="G55" s="540">
        <f>$B$55*131</f>
        <v>0</v>
      </c>
      <c r="H55" s="781">
        <f>$B$55*2*96</f>
        <v>0</v>
      </c>
      <c r="I55" s="539">
        <f t="shared" ref="I55:R55" si="19">H55*I66</f>
        <v>0</v>
      </c>
      <c r="J55" s="539">
        <f t="shared" si="19"/>
        <v>0</v>
      </c>
      <c r="K55" s="539">
        <f t="shared" si="19"/>
        <v>0</v>
      </c>
      <c r="L55" s="539">
        <f t="shared" si="19"/>
        <v>0</v>
      </c>
      <c r="M55" s="539">
        <f t="shared" si="19"/>
        <v>0</v>
      </c>
      <c r="N55" s="539">
        <f t="shared" si="19"/>
        <v>0</v>
      </c>
      <c r="O55" s="539">
        <f t="shared" si="19"/>
        <v>0</v>
      </c>
      <c r="P55" s="539">
        <f t="shared" si="19"/>
        <v>0</v>
      </c>
      <c r="Q55" s="539">
        <f t="shared" si="19"/>
        <v>0</v>
      </c>
      <c r="R55" s="539">
        <f t="shared" si="19"/>
        <v>0</v>
      </c>
      <c r="S55" s="24"/>
    </row>
    <row r="56" spans="1:19">
      <c r="A56" s="636" t="s">
        <v>466</v>
      </c>
      <c r="B56" s="671">
        <v>1</v>
      </c>
      <c r="C56" s="310"/>
      <c r="D56" s="540"/>
      <c r="E56" s="540"/>
      <c r="F56" s="540"/>
      <c r="G56" s="540"/>
      <c r="H56" s="539">
        <f>G56*H67</f>
        <v>0</v>
      </c>
      <c r="I56" s="539">
        <f t="shared" ref="I56:R56" si="20">H56*I67</f>
        <v>0</v>
      </c>
      <c r="J56" s="539">
        <f t="shared" si="20"/>
        <v>0</v>
      </c>
      <c r="K56" s="539">
        <f t="shared" si="20"/>
        <v>0</v>
      </c>
      <c r="L56" s="539">
        <f t="shared" si="20"/>
        <v>0</v>
      </c>
      <c r="M56" s="539">
        <f t="shared" si="20"/>
        <v>0</v>
      </c>
      <c r="N56" s="539">
        <f t="shared" si="20"/>
        <v>0</v>
      </c>
      <c r="O56" s="539">
        <f t="shared" si="20"/>
        <v>0</v>
      </c>
      <c r="P56" s="539">
        <f t="shared" si="20"/>
        <v>0</v>
      </c>
      <c r="Q56" s="539">
        <f t="shared" si="20"/>
        <v>0</v>
      </c>
      <c r="R56" s="539">
        <f t="shared" si="20"/>
        <v>0</v>
      </c>
      <c r="S56" s="24"/>
    </row>
    <row r="57" spans="1:19">
      <c r="A57" s="636" t="s">
        <v>326</v>
      </c>
      <c r="B57" s="671">
        <v>0</v>
      </c>
      <c r="C57" s="310"/>
      <c r="D57" s="540"/>
      <c r="E57" s="540"/>
      <c r="F57" s="540"/>
      <c r="G57" s="540"/>
      <c r="H57" s="781">
        <f>$B$57*2*72</f>
        <v>0</v>
      </c>
      <c r="I57" s="539">
        <f t="shared" ref="I57:R57" si="21">H57*I68</f>
        <v>0</v>
      </c>
      <c r="J57" s="539">
        <f t="shared" si="21"/>
        <v>0</v>
      </c>
      <c r="K57" s="539">
        <f t="shared" si="21"/>
        <v>0</v>
      </c>
      <c r="L57" s="539">
        <f t="shared" si="21"/>
        <v>0</v>
      </c>
      <c r="M57" s="539">
        <f t="shared" si="21"/>
        <v>0</v>
      </c>
      <c r="N57" s="539">
        <f t="shared" si="21"/>
        <v>0</v>
      </c>
      <c r="O57" s="539">
        <f t="shared" si="21"/>
        <v>0</v>
      </c>
      <c r="P57" s="539">
        <f t="shared" si="21"/>
        <v>0</v>
      </c>
      <c r="Q57" s="539">
        <f t="shared" si="21"/>
        <v>0</v>
      </c>
      <c r="R57" s="539">
        <f t="shared" si="21"/>
        <v>0</v>
      </c>
      <c r="S57" s="24"/>
    </row>
    <row r="58" spans="1:19">
      <c r="A58" s="645" t="s">
        <v>58</v>
      </c>
      <c r="B58" s="672">
        <v>1</v>
      </c>
      <c r="C58" s="652"/>
      <c r="D58" s="546"/>
      <c r="E58" s="546"/>
      <c r="F58" s="546"/>
      <c r="G58" s="546"/>
      <c r="H58" s="657">
        <f>G58*H69</f>
        <v>0</v>
      </c>
      <c r="I58" s="657">
        <f t="shared" ref="I58:R58" si="22">H58*I69</f>
        <v>0</v>
      </c>
      <c r="J58" s="657">
        <f t="shared" si="22"/>
        <v>0</v>
      </c>
      <c r="K58" s="657">
        <f t="shared" si="22"/>
        <v>0</v>
      </c>
      <c r="L58" s="657">
        <f t="shared" si="22"/>
        <v>0</v>
      </c>
      <c r="M58" s="657">
        <f t="shared" si="22"/>
        <v>0</v>
      </c>
      <c r="N58" s="657">
        <f t="shared" si="22"/>
        <v>0</v>
      </c>
      <c r="O58" s="657">
        <f t="shared" si="22"/>
        <v>0</v>
      </c>
      <c r="P58" s="657">
        <f t="shared" si="22"/>
        <v>0</v>
      </c>
      <c r="Q58" s="657">
        <f t="shared" si="22"/>
        <v>0</v>
      </c>
      <c r="R58" s="657">
        <f t="shared" si="22"/>
        <v>0</v>
      </c>
      <c r="S58" s="24"/>
    </row>
    <row r="59" spans="1:19">
      <c r="A59" s="551" t="s">
        <v>268</v>
      </c>
      <c r="B59" s="550"/>
      <c r="C59" s="310"/>
      <c r="D59" s="547">
        <f t="shared" ref="D59:R59" si="23">SUM(D51:D58)</f>
        <v>35137.754999999997</v>
      </c>
      <c r="E59" s="547">
        <f t="shared" si="23"/>
        <v>42737.521999999997</v>
      </c>
      <c r="F59" s="547">
        <f t="shared" si="23"/>
        <v>33711.148000000001</v>
      </c>
      <c r="G59" s="547">
        <f t="shared" si="23"/>
        <v>29084.758000000002</v>
      </c>
      <c r="H59" s="548">
        <f t="shared" si="23"/>
        <v>27803.514595699206</v>
      </c>
      <c r="I59" s="548">
        <f t="shared" si="23"/>
        <v>27803.514595699206</v>
      </c>
      <c r="J59" s="548">
        <f t="shared" si="23"/>
        <v>27803.514595699206</v>
      </c>
      <c r="K59" s="548">
        <f t="shared" si="23"/>
        <v>27803.514595699206</v>
      </c>
      <c r="L59" s="548">
        <f t="shared" si="23"/>
        <v>27803.514595699206</v>
      </c>
      <c r="M59" s="548">
        <f t="shared" si="23"/>
        <v>27803.514595699206</v>
      </c>
      <c r="N59" s="548">
        <f t="shared" si="23"/>
        <v>27803.514595699206</v>
      </c>
      <c r="O59" s="548">
        <f t="shared" si="23"/>
        <v>27803.514595699206</v>
      </c>
      <c r="P59" s="548">
        <f t="shared" si="23"/>
        <v>27803.514595699206</v>
      </c>
      <c r="Q59" s="548">
        <f t="shared" si="23"/>
        <v>27803.514595699206</v>
      </c>
      <c r="R59" s="548">
        <f t="shared" si="23"/>
        <v>27803.514595699206</v>
      </c>
      <c r="S59" s="24"/>
    </row>
    <row r="60" spans="1:19">
      <c r="C60" s="310"/>
      <c r="D60" s="310"/>
      <c r="E60" s="549"/>
      <c r="H60" s="72"/>
      <c r="I60" s="72"/>
      <c r="J60" s="72"/>
      <c r="K60" s="78"/>
      <c r="L60" s="78"/>
      <c r="M60" s="72"/>
      <c r="N60" s="72"/>
      <c r="O60" s="72"/>
      <c r="P60" s="72"/>
      <c r="Q60" s="72"/>
      <c r="R60" s="72"/>
      <c r="S60" s="24"/>
    </row>
    <row r="61" spans="1:19" ht="15.75" hidden="1" outlineLevel="1">
      <c r="A61" s="651" t="s">
        <v>327</v>
      </c>
      <c r="B61" s="412"/>
      <c r="C61" s="647"/>
      <c r="D61" s="647"/>
      <c r="E61" s="648"/>
      <c r="F61" s="412"/>
      <c r="G61" s="649"/>
      <c r="H61" s="650"/>
      <c r="I61" s="650"/>
      <c r="J61" s="650"/>
      <c r="K61" s="650"/>
      <c r="L61" s="650"/>
      <c r="M61" s="650"/>
      <c r="N61" s="650"/>
      <c r="O61" s="650"/>
      <c r="P61" s="650"/>
      <c r="Q61" s="650"/>
      <c r="R61" s="650"/>
      <c r="S61" s="662"/>
    </row>
    <row r="62" spans="1:19" hidden="1" outlineLevel="1">
      <c r="A62" s="6" t="s">
        <v>321</v>
      </c>
      <c r="C62" s="310"/>
      <c r="D62" s="310"/>
      <c r="E62" s="549"/>
      <c r="H62" s="642">
        <v>1.01</v>
      </c>
      <c r="I62" s="642">
        <v>1.01</v>
      </c>
      <c r="J62" s="642">
        <v>1.01</v>
      </c>
      <c r="K62" s="642">
        <v>1.01</v>
      </c>
      <c r="L62" s="642">
        <v>1.01</v>
      </c>
      <c r="M62" s="642">
        <v>1.01</v>
      </c>
      <c r="N62" s="642">
        <v>1.01</v>
      </c>
      <c r="O62" s="642">
        <v>1.01</v>
      </c>
      <c r="P62" s="642">
        <v>1.01</v>
      </c>
      <c r="Q62" s="642">
        <v>1.01</v>
      </c>
      <c r="R62" s="642">
        <v>1.01</v>
      </c>
      <c r="S62" s="24"/>
    </row>
    <row r="63" spans="1:19" hidden="1" outlineLevel="1">
      <c r="A63" s="636" t="s">
        <v>322</v>
      </c>
      <c r="C63" s="310"/>
      <c r="D63" s="310"/>
      <c r="E63" s="78"/>
      <c r="F63" s="78"/>
      <c r="G63" s="78"/>
      <c r="H63" s="642">
        <v>1.02</v>
      </c>
      <c r="I63" s="642">
        <v>1.02</v>
      </c>
      <c r="J63" s="642">
        <v>1.02</v>
      </c>
      <c r="K63" s="642">
        <v>1.02</v>
      </c>
      <c r="L63" s="642">
        <v>1.02</v>
      </c>
      <c r="M63" s="642">
        <v>1.02</v>
      </c>
      <c r="N63" s="642">
        <v>1.02</v>
      </c>
      <c r="O63" s="642">
        <v>1.02</v>
      </c>
      <c r="P63" s="642">
        <v>1.02</v>
      </c>
      <c r="Q63" s="642">
        <v>1.02</v>
      </c>
      <c r="R63" s="642">
        <v>1.02</v>
      </c>
      <c r="S63" s="24"/>
    </row>
    <row r="64" spans="1:19" hidden="1" outlineLevel="1">
      <c r="A64" s="636" t="s">
        <v>323</v>
      </c>
      <c r="C64" s="310"/>
      <c r="D64" s="784"/>
      <c r="E64" s="78">
        <f>E53/D53</f>
        <v>1.2162849333999852</v>
      </c>
      <c r="F64" s="78">
        <f>F53/E53</f>
        <v>0.78879510140995079</v>
      </c>
      <c r="G64" s="78">
        <f>G53/F53</f>
        <v>0.86276379552544458</v>
      </c>
      <c r="H64" s="643">
        <f>AVERAGE(E64:G64)</f>
        <v>0.9559479434451269</v>
      </c>
      <c r="I64" s="642">
        <v>1</v>
      </c>
      <c r="J64" s="642">
        <v>1</v>
      </c>
      <c r="K64" s="642">
        <v>1</v>
      </c>
      <c r="L64" s="642">
        <v>1</v>
      </c>
      <c r="M64" s="642">
        <f t="shared" ref="M64:R64" si="24">L64</f>
        <v>1</v>
      </c>
      <c r="N64" s="642">
        <f t="shared" si="24"/>
        <v>1</v>
      </c>
      <c r="O64" s="642">
        <f t="shared" si="24"/>
        <v>1</v>
      </c>
      <c r="P64" s="642">
        <f t="shared" si="24"/>
        <v>1</v>
      </c>
      <c r="Q64" s="642">
        <f t="shared" si="24"/>
        <v>1</v>
      </c>
      <c r="R64" s="642">
        <f t="shared" si="24"/>
        <v>1</v>
      </c>
      <c r="S64" s="24"/>
    </row>
    <row r="65" spans="1:19" hidden="1" outlineLevel="1">
      <c r="A65" s="6" t="s">
        <v>324</v>
      </c>
      <c r="C65" s="310"/>
      <c r="D65" s="310"/>
      <c r="E65" s="78"/>
      <c r="F65" s="78"/>
      <c r="G65" s="78"/>
      <c r="H65" s="642">
        <v>1.02</v>
      </c>
      <c r="I65" s="642">
        <v>1.02</v>
      </c>
      <c r="J65" s="642">
        <v>1.02</v>
      </c>
      <c r="K65" s="642">
        <v>1.02</v>
      </c>
      <c r="L65" s="642">
        <v>1.02</v>
      </c>
      <c r="M65" s="642">
        <v>1.02</v>
      </c>
      <c r="N65" s="642">
        <v>1.02</v>
      </c>
      <c r="O65" s="642">
        <v>1.02</v>
      </c>
      <c r="P65" s="642">
        <v>1.02</v>
      </c>
      <c r="Q65" s="642">
        <v>1.02</v>
      </c>
      <c r="R65" s="642">
        <v>1.02</v>
      </c>
      <c r="S65" s="24"/>
    </row>
    <row r="66" spans="1:19" hidden="1" outlineLevel="1">
      <c r="A66" s="6" t="s">
        <v>325</v>
      </c>
      <c r="C66" s="310"/>
      <c r="D66" s="310"/>
      <c r="E66" s="78"/>
      <c r="F66" s="78"/>
      <c r="G66" s="78"/>
      <c r="H66" s="642">
        <v>1.03</v>
      </c>
      <c r="I66" s="642">
        <v>1.03</v>
      </c>
      <c r="J66" s="642">
        <v>1.03</v>
      </c>
      <c r="K66" s="642">
        <v>1.03</v>
      </c>
      <c r="L66" s="642">
        <v>1.03</v>
      </c>
      <c r="M66" s="642">
        <v>1.03</v>
      </c>
      <c r="N66" s="642">
        <v>1.03</v>
      </c>
      <c r="O66" s="642">
        <v>1.03</v>
      </c>
      <c r="P66" s="642">
        <v>1.03</v>
      </c>
      <c r="Q66" s="642">
        <v>1.03</v>
      </c>
      <c r="R66" s="642">
        <v>1.03</v>
      </c>
      <c r="S66" s="24"/>
    </row>
    <row r="67" spans="1:19" hidden="1" outlineLevel="1">
      <c r="A67" s="636" t="str">
        <f>A56</f>
        <v>Gas and Liquids Sold</v>
      </c>
      <c r="C67" s="310"/>
      <c r="D67" s="310"/>
      <c r="E67" s="78"/>
      <c r="F67" s="78"/>
      <c r="G67" s="78"/>
      <c r="H67" s="642">
        <v>1.25</v>
      </c>
      <c r="I67" s="642">
        <v>1.25</v>
      </c>
      <c r="J67" s="642">
        <v>1.25</v>
      </c>
      <c r="K67" s="642">
        <v>1.1499999999999999</v>
      </c>
      <c r="L67" s="642">
        <v>1.1499999999999999</v>
      </c>
      <c r="M67" s="642">
        <v>1.1499999999999999</v>
      </c>
      <c r="N67" s="642">
        <v>1.05</v>
      </c>
      <c r="O67" s="642">
        <v>1.05</v>
      </c>
      <c r="P67" s="642">
        <v>1.05</v>
      </c>
      <c r="Q67" s="642">
        <v>1</v>
      </c>
      <c r="R67" s="642">
        <v>1</v>
      </c>
      <c r="S67" s="24"/>
    </row>
    <row r="68" spans="1:19" hidden="1" outlineLevel="1">
      <c r="A68" s="636" t="s">
        <v>326</v>
      </c>
      <c r="C68" s="310"/>
      <c r="D68" s="310"/>
      <c r="E68" s="78"/>
      <c r="F68" s="78"/>
      <c r="G68" s="78"/>
      <c r="H68" s="642">
        <v>1.01</v>
      </c>
      <c r="I68" s="642">
        <v>1.01</v>
      </c>
      <c r="J68" s="642">
        <v>1.01</v>
      </c>
      <c r="K68" s="642">
        <v>1.01</v>
      </c>
      <c r="L68" s="642">
        <v>1.01</v>
      </c>
      <c r="M68" s="642">
        <v>1.01</v>
      </c>
      <c r="N68" s="642">
        <v>1.01</v>
      </c>
      <c r="O68" s="642">
        <v>1.01</v>
      </c>
      <c r="P68" s="642">
        <v>1.01</v>
      </c>
      <c r="Q68" s="642">
        <v>1.01</v>
      </c>
      <c r="R68" s="642">
        <v>1.01</v>
      </c>
      <c r="S68" s="24"/>
    </row>
    <row r="69" spans="1:19" hidden="1" outlineLevel="1">
      <c r="A69" s="559" t="s">
        <v>58</v>
      </c>
      <c r="C69" s="310"/>
      <c r="D69" s="310"/>
      <c r="E69" s="78"/>
      <c r="F69" s="78"/>
      <c r="G69" s="78"/>
      <c r="H69" s="642">
        <v>1.1000000000000001</v>
      </c>
      <c r="I69" s="642">
        <f>H69</f>
        <v>1.1000000000000001</v>
      </c>
      <c r="J69" s="642">
        <f>I69</f>
        <v>1.1000000000000001</v>
      </c>
      <c r="K69" s="642">
        <f>J69</f>
        <v>1.1000000000000001</v>
      </c>
      <c r="L69" s="642">
        <f>K69</f>
        <v>1.1000000000000001</v>
      </c>
      <c r="M69" s="642">
        <v>1.05</v>
      </c>
      <c r="N69" s="642">
        <v>1.05</v>
      </c>
      <c r="O69" s="642">
        <v>1.05</v>
      </c>
      <c r="P69" s="642">
        <v>1.05</v>
      </c>
      <c r="Q69" s="642">
        <v>1.05</v>
      </c>
      <c r="R69" s="642">
        <v>1.05</v>
      </c>
      <c r="S69" s="24"/>
    </row>
    <row r="70" spans="1:19" hidden="1" outlineLevel="1">
      <c r="S70" s="24"/>
    </row>
    <row r="71" spans="1:19" hidden="1" outlineLevel="1">
      <c r="S71" s="24"/>
    </row>
    <row r="72" spans="1:19" ht="15.75" collapsed="1">
      <c r="A72" s="483" t="s">
        <v>241</v>
      </c>
      <c r="B72" s="379"/>
      <c r="C72" s="379"/>
      <c r="D72" s="379"/>
      <c r="E72" s="379"/>
      <c r="F72" s="379"/>
      <c r="G72" s="379"/>
      <c r="H72" s="379"/>
      <c r="I72" s="379"/>
      <c r="J72" s="379"/>
      <c r="K72" s="379"/>
      <c r="L72" s="379"/>
      <c r="M72" s="379"/>
      <c r="N72" s="379"/>
      <c r="O72" s="379"/>
      <c r="P72" s="379"/>
      <c r="Q72" s="379"/>
      <c r="R72" s="379"/>
      <c r="S72" s="24"/>
    </row>
    <row r="73" spans="1:19" s="24" customFormat="1" ht="14.25" customHeight="1">
      <c r="A73" s="488"/>
      <c r="E73" s="480"/>
      <c r="F73" s="480"/>
      <c r="G73" s="323"/>
      <c r="H73" s="309" t="s">
        <v>203</v>
      </c>
      <c r="I73" s="328"/>
      <c r="J73" s="323"/>
      <c r="K73" s="323"/>
      <c r="L73" s="246"/>
      <c r="M73" s="323"/>
      <c r="N73" s="246"/>
      <c r="O73" s="246"/>
      <c r="P73" s="246"/>
      <c r="Q73" s="246"/>
      <c r="R73" s="292"/>
    </row>
    <row r="74" spans="1:19" s="24" customFormat="1" ht="15.75">
      <c r="A74" s="488"/>
      <c r="B74" s="39" t="s">
        <v>57</v>
      </c>
      <c r="D74" s="387">
        <v>1997</v>
      </c>
      <c r="E74" s="256">
        <v>1998</v>
      </c>
      <c r="F74" s="256">
        <v>1999</v>
      </c>
      <c r="G74" s="256">
        <v>2000</v>
      </c>
      <c r="H74" s="256">
        <v>2001</v>
      </c>
      <c r="I74" s="289">
        <v>2002</v>
      </c>
      <c r="J74" s="289">
        <v>2003</v>
      </c>
      <c r="K74" s="289">
        <v>2004</v>
      </c>
      <c r="L74" s="289">
        <v>2005</v>
      </c>
      <c r="M74" s="289">
        <v>2006</v>
      </c>
      <c r="N74" s="293">
        <v>2007</v>
      </c>
      <c r="O74" s="293">
        <v>2008</v>
      </c>
      <c r="P74" s="293">
        <v>2009</v>
      </c>
      <c r="Q74" s="293">
        <v>2010</v>
      </c>
      <c r="R74" s="654">
        <v>2011</v>
      </c>
    </row>
    <row r="75" spans="1:19">
      <c r="A75" s="6" t="s">
        <v>328</v>
      </c>
      <c r="B75" s="671">
        <v>0</v>
      </c>
      <c r="C75" s="34"/>
      <c r="D75" s="540"/>
      <c r="E75" s="540">
        <f>$B$75*359</f>
        <v>0</v>
      </c>
      <c r="F75" s="540">
        <f>$B$75*406</f>
        <v>0</v>
      </c>
      <c r="G75" s="540">
        <f>$B$75*408</f>
        <v>0</v>
      </c>
      <c r="H75" s="781">
        <f>$B$75*2*171</f>
        <v>0</v>
      </c>
      <c r="I75" s="539">
        <f t="shared" ref="I75:R75" si="25">H75*I86</f>
        <v>0</v>
      </c>
      <c r="J75" s="539">
        <f t="shared" si="25"/>
        <v>0</v>
      </c>
      <c r="K75" s="539">
        <f t="shared" si="25"/>
        <v>0</v>
      </c>
      <c r="L75" s="539">
        <f t="shared" si="25"/>
        <v>0</v>
      </c>
      <c r="M75" s="539">
        <f t="shared" si="25"/>
        <v>0</v>
      </c>
      <c r="N75" s="539">
        <f t="shared" si="25"/>
        <v>0</v>
      </c>
      <c r="O75" s="539">
        <f t="shared" si="25"/>
        <v>0</v>
      </c>
      <c r="P75" s="539">
        <f t="shared" si="25"/>
        <v>0</v>
      </c>
      <c r="Q75" s="539">
        <f t="shared" si="25"/>
        <v>0</v>
      </c>
      <c r="R75" s="539">
        <f t="shared" si="25"/>
        <v>0</v>
      </c>
      <c r="S75" s="24"/>
    </row>
    <row r="76" spans="1:19">
      <c r="A76" s="673" t="s">
        <v>335</v>
      </c>
      <c r="B76" s="671">
        <v>0</v>
      </c>
      <c r="C76" s="34"/>
      <c r="D76" s="540"/>
      <c r="E76" s="540">
        <f>$B$76*287</f>
        <v>0</v>
      </c>
      <c r="F76" s="540">
        <f>$B$76*108</f>
        <v>0</v>
      </c>
      <c r="G76" s="540">
        <f>$B$76*1457</f>
        <v>0</v>
      </c>
      <c r="H76" s="781">
        <f>$B$76*2*2999</f>
        <v>0</v>
      </c>
      <c r="I76" s="539">
        <f t="shared" ref="I76:R76" si="26">H76*I87</f>
        <v>0</v>
      </c>
      <c r="J76" s="539">
        <f t="shared" si="26"/>
        <v>0</v>
      </c>
      <c r="K76" s="539">
        <f t="shared" si="26"/>
        <v>0</v>
      </c>
      <c r="L76" s="539">
        <f t="shared" si="26"/>
        <v>0</v>
      </c>
      <c r="M76" s="539">
        <f t="shared" si="26"/>
        <v>0</v>
      </c>
      <c r="N76" s="539">
        <f t="shared" si="26"/>
        <v>0</v>
      </c>
      <c r="O76" s="539">
        <f t="shared" si="26"/>
        <v>0</v>
      </c>
      <c r="P76" s="539">
        <f t="shared" si="26"/>
        <v>0</v>
      </c>
      <c r="Q76" s="539">
        <f t="shared" si="26"/>
        <v>0</v>
      </c>
      <c r="R76" s="539">
        <f t="shared" si="26"/>
        <v>0</v>
      </c>
      <c r="S76" s="24"/>
    </row>
    <row r="77" spans="1:19">
      <c r="A77" s="6" t="s">
        <v>329</v>
      </c>
      <c r="B77" s="671">
        <v>0</v>
      </c>
      <c r="C77" s="34"/>
      <c r="D77" s="540"/>
      <c r="E77" s="540">
        <f>$B$77*297</f>
        <v>0</v>
      </c>
      <c r="F77" s="540">
        <f>$B$77*401</f>
        <v>0</v>
      </c>
      <c r="G77" s="540">
        <f>$B$77*529</f>
        <v>0</v>
      </c>
      <c r="H77" s="781">
        <f>$B$77*2*266</f>
        <v>0</v>
      </c>
      <c r="I77" s="539">
        <f t="shared" ref="I77:R77" si="27">H77*I88</f>
        <v>0</v>
      </c>
      <c r="J77" s="539">
        <f t="shared" si="27"/>
        <v>0</v>
      </c>
      <c r="K77" s="539">
        <f t="shared" si="27"/>
        <v>0</v>
      </c>
      <c r="L77" s="539">
        <f t="shared" si="27"/>
        <v>0</v>
      </c>
      <c r="M77" s="539">
        <f t="shared" si="27"/>
        <v>0</v>
      </c>
      <c r="N77" s="539">
        <f t="shared" si="27"/>
        <v>0</v>
      </c>
      <c r="O77" s="539">
        <f t="shared" si="27"/>
        <v>0</v>
      </c>
      <c r="P77" s="539">
        <f t="shared" si="27"/>
        <v>0</v>
      </c>
      <c r="Q77" s="539">
        <f t="shared" si="27"/>
        <v>0</v>
      </c>
      <c r="R77" s="539">
        <f t="shared" si="27"/>
        <v>0</v>
      </c>
      <c r="S77" s="24"/>
    </row>
    <row r="78" spans="1:19">
      <c r="A78" s="6" t="s">
        <v>330</v>
      </c>
      <c r="B78" s="671">
        <v>0</v>
      </c>
      <c r="C78" s="34"/>
      <c r="D78" s="540"/>
      <c r="E78" s="540">
        <f>$B$78*573</f>
        <v>0</v>
      </c>
      <c r="F78" s="540">
        <f>$B$78*560</f>
        <v>0</v>
      </c>
      <c r="G78" s="540">
        <f>$B$78*555</f>
        <v>0</v>
      </c>
      <c r="H78" s="781">
        <f>$B$78*2*244</f>
        <v>0</v>
      </c>
      <c r="I78" s="539">
        <f t="shared" ref="I78:R78" si="28">H78*I89</f>
        <v>0</v>
      </c>
      <c r="J78" s="539">
        <f t="shared" si="28"/>
        <v>0</v>
      </c>
      <c r="K78" s="539">
        <f t="shared" si="28"/>
        <v>0</v>
      </c>
      <c r="L78" s="539">
        <f t="shared" si="28"/>
        <v>0</v>
      </c>
      <c r="M78" s="539">
        <f t="shared" si="28"/>
        <v>0</v>
      </c>
      <c r="N78" s="539">
        <f t="shared" si="28"/>
        <v>0</v>
      </c>
      <c r="O78" s="539">
        <f t="shared" si="28"/>
        <v>0</v>
      </c>
      <c r="P78" s="539">
        <f t="shared" si="28"/>
        <v>0</v>
      </c>
      <c r="Q78" s="539">
        <f t="shared" si="28"/>
        <v>0</v>
      </c>
      <c r="R78" s="539">
        <f t="shared" si="28"/>
        <v>0</v>
      </c>
      <c r="S78" s="24"/>
    </row>
    <row r="79" spans="1:19">
      <c r="A79" s="636" t="s">
        <v>467</v>
      </c>
      <c r="B79" s="671">
        <v>1</v>
      </c>
      <c r="C79" s="34"/>
      <c r="D79" s="646"/>
      <c r="E79" s="646"/>
      <c r="F79" s="646"/>
      <c r="G79" s="646"/>
      <c r="H79" s="394">
        <f>G79*H90</f>
        <v>0</v>
      </c>
      <c r="I79" s="539">
        <f t="shared" ref="I79:R79" si="29">H79*I90</f>
        <v>0</v>
      </c>
      <c r="J79" s="539">
        <f t="shared" si="29"/>
        <v>0</v>
      </c>
      <c r="K79" s="539">
        <f t="shared" si="29"/>
        <v>0</v>
      </c>
      <c r="L79" s="539">
        <f t="shared" si="29"/>
        <v>0</v>
      </c>
      <c r="M79" s="539">
        <f t="shared" si="29"/>
        <v>0</v>
      </c>
      <c r="N79" s="539">
        <f t="shared" si="29"/>
        <v>0</v>
      </c>
      <c r="O79" s="539">
        <f t="shared" si="29"/>
        <v>0</v>
      </c>
      <c r="P79" s="539">
        <f t="shared" si="29"/>
        <v>0</v>
      </c>
      <c r="Q79" s="539">
        <f t="shared" si="29"/>
        <v>0</v>
      </c>
      <c r="R79" s="539">
        <f t="shared" si="29"/>
        <v>0</v>
      </c>
      <c r="S79" s="24"/>
    </row>
    <row r="80" spans="1:19">
      <c r="A80" s="6" t="s">
        <v>462</v>
      </c>
      <c r="B80" s="671">
        <v>0</v>
      </c>
      <c r="C80" s="34"/>
      <c r="D80" s="646"/>
      <c r="E80" s="646">
        <f>$B$80*31884</f>
        <v>0</v>
      </c>
      <c r="F80" s="646">
        <f>$B$80*29637</f>
        <v>0</v>
      </c>
      <c r="G80" s="646">
        <f>$B$80*29231</f>
        <v>0</v>
      </c>
      <c r="H80" s="217">
        <f>G80*H91</f>
        <v>0</v>
      </c>
      <c r="I80" s="539">
        <f t="shared" ref="I80:R80" si="30">H80*I91</f>
        <v>0</v>
      </c>
      <c r="J80" s="539">
        <f t="shared" si="30"/>
        <v>0</v>
      </c>
      <c r="K80" s="539">
        <f t="shared" si="30"/>
        <v>0</v>
      </c>
      <c r="L80" s="539">
        <f t="shared" si="30"/>
        <v>0</v>
      </c>
      <c r="M80" s="539">
        <f t="shared" si="30"/>
        <v>0</v>
      </c>
      <c r="N80" s="539">
        <f t="shared" si="30"/>
        <v>0</v>
      </c>
      <c r="O80" s="539">
        <f t="shared" si="30"/>
        <v>0</v>
      </c>
      <c r="P80" s="539">
        <f t="shared" si="30"/>
        <v>0</v>
      </c>
      <c r="Q80" s="539">
        <f t="shared" si="30"/>
        <v>0</v>
      </c>
      <c r="R80" s="539">
        <f t="shared" si="30"/>
        <v>0</v>
      </c>
      <c r="S80" s="24"/>
    </row>
    <row r="81" spans="1:19">
      <c r="A81" s="6" t="s">
        <v>463</v>
      </c>
      <c r="B81" s="671">
        <v>1</v>
      </c>
      <c r="C81" s="34"/>
      <c r="D81" s="646">
        <v>3073</v>
      </c>
      <c r="E81" s="646">
        <v>3282.8560000000002</v>
      </c>
      <c r="F81" s="646">
        <v>2827.4079999999999</v>
      </c>
      <c r="G81" s="646">
        <v>3699.5</v>
      </c>
      <c r="H81" s="217">
        <f>G81*H92</f>
        <v>3884.4750000000004</v>
      </c>
      <c r="I81" s="539">
        <f t="shared" ref="I81:R81" si="31">H81*I92</f>
        <v>3884.4750000000004</v>
      </c>
      <c r="J81" s="539">
        <f t="shared" si="31"/>
        <v>3884.4750000000004</v>
      </c>
      <c r="K81" s="539">
        <f t="shared" si="31"/>
        <v>3884.4750000000004</v>
      </c>
      <c r="L81" s="539">
        <f t="shared" si="31"/>
        <v>3884.4750000000004</v>
      </c>
      <c r="M81" s="539">
        <f t="shared" si="31"/>
        <v>3884.4750000000004</v>
      </c>
      <c r="N81" s="539">
        <f t="shared" si="31"/>
        <v>3884.4750000000004</v>
      </c>
      <c r="O81" s="539">
        <f t="shared" si="31"/>
        <v>3884.4750000000004</v>
      </c>
      <c r="P81" s="539">
        <f t="shared" si="31"/>
        <v>3884.4750000000004</v>
      </c>
      <c r="Q81" s="539">
        <f t="shared" si="31"/>
        <v>3884.4750000000004</v>
      </c>
      <c r="R81" s="539">
        <f t="shared" si="31"/>
        <v>3884.4750000000004</v>
      </c>
      <c r="S81" s="24"/>
    </row>
    <row r="82" spans="1:19">
      <c r="A82" s="357" t="s">
        <v>464</v>
      </c>
      <c r="B82" s="672">
        <v>1</v>
      </c>
      <c r="C82" s="292"/>
      <c r="D82" s="546">
        <v>984.8</v>
      </c>
      <c r="E82" s="546">
        <v>1153</v>
      </c>
      <c r="F82" s="546">
        <v>878.9</v>
      </c>
      <c r="G82" s="546">
        <v>773.5</v>
      </c>
      <c r="H82" s="782">
        <f>G82*H93</f>
        <v>734.82499999999993</v>
      </c>
      <c r="I82" s="657">
        <f t="shared" ref="I82:R82" si="32">H82*I93</f>
        <v>734.82499999999993</v>
      </c>
      <c r="J82" s="657">
        <f t="shared" si="32"/>
        <v>734.82499999999993</v>
      </c>
      <c r="K82" s="657">
        <f t="shared" si="32"/>
        <v>734.82499999999993</v>
      </c>
      <c r="L82" s="657">
        <f t="shared" si="32"/>
        <v>734.82499999999993</v>
      </c>
      <c r="M82" s="657">
        <f t="shared" si="32"/>
        <v>734.82499999999993</v>
      </c>
      <c r="N82" s="657">
        <f t="shared" si="32"/>
        <v>734.82499999999993</v>
      </c>
      <c r="O82" s="657">
        <f t="shared" si="32"/>
        <v>734.82499999999993</v>
      </c>
      <c r="P82" s="657">
        <f t="shared" si="32"/>
        <v>734.82499999999993</v>
      </c>
      <c r="Q82" s="657">
        <f t="shared" si="32"/>
        <v>734.82499999999993</v>
      </c>
      <c r="R82" s="657">
        <f t="shared" si="32"/>
        <v>734.82499999999993</v>
      </c>
      <c r="S82" s="24"/>
    </row>
    <row r="83" spans="1:19">
      <c r="A83" s="551" t="s">
        <v>279</v>
      </c>
      <c r="B83" s="656"/>
      <c r="C83" s="310"/>
      <c r="D83" s="565">
        <f t="shared" ref="D83:R83" si="33">SUM(D75:D82)</f>
        <v>4057.8</v>
      </c>
      <c r="E83" s="565">
        <f t="shared" si="33"/>
        <v>4435.8559999999998</v>
      </c>
      <c r="F83" s="565">
        <f t="shared" si="33"/>
        <v>3706.308</v>
      </c>
      <c r="G83" s="565">
        <f t="shared" si="33"/>
        <v>4473</v>
      </c>
      <c r="H83" s="566">
        <f t="shared" si="33"/>
        <v>4619.3</v>
      </c>
      <c r="I83" s="566">
        <f t="shared" si="33"/>
        <v>4619.3</v>
      </c>
      <c r="J83" s="566">
        <f t="shared" si="33"/>
        <v>4619.3</v>
      </c>
      <c r="K83" s="566">
        <f t="shared" si="33"/>
        <v>4619.3</v>
      </c>
      <c r="L83" s="566">
        <f t="shared" si="33"/>
        <v>4619.3</v>
      </c>
      <c r="M83" s="566">
        <f t="shared" si="33"/>
        <v>4619.3</v>
      </c>
      <c r="N83" s="566">
        <f t="shared" si="33"/>
        <v>4619.3</v>
      </c>
      <c r="O83" s="566">
        <f t="shared" si="33"/>
        <v>4619.3</v>
      </c>
      <c r="P83" s="566">
        <f t="shared" si="33"/>
        <v>4619.3</v>
      </c>
      <c r="Q83" s="566">
        <f t="shared" si="33"/>
        <v>4619.3</v>
      </c>
      <c r="R83" s="566">
        <f t="shared" si="33"/>
        <v>4619.3</v>
      </c>
      <c r="S83" s="24"/>
    </row>
    <row r="84" spans="1:19">
      <c r="C84" s="34"/>
      <c r="D84" s="34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24"/>
    </row>
    <row r="85" spans="1:19" ht="15.75" hidden="1" outlineLevel="1">
      <c r="A85" s="651" t="s">
        <v>327</v>
      </c>
      <c r="B85" s="412"/>
      <c r="C85" s="647"/>
      <c r="D85" s="647"/>
      <c r="E85" s="648"/>
      <c r="F85" s="412"/>
      <c r="G85" s="649"/>
      <c r="H85" s="650"/>
      <c r="I85" s="650"/>
      <c r="J85" s="650"/>
      <c r="K85" s="650"/>
      <c r="L85" s="650"/>
      <c r="M85" s="650"/>
      <c r="N85" s="650"/>
      <c r="O85" s="650"/>
      <c r="P85" s="650"/>
      <c r="Q85" s="650"/>
      <c r="R85" s="650"/>
      <c r="S85" s="662"/>
    </row>
    <row r="86" spans="1:19" hidden="1" outlineLevel="1">
      <c r="A86" s="6" t="s">
        <v>328</v>
      </c>
      <c r="C86" s="310"/>
      <c r="D86" s="310"/>
      <c r="E86" s="549"/>
      <c r="H86" s="642">
        <v>1.01</v>
      </c>
      <c r="I86" s="642">
        <v>1.01</v>
      </c>
      <c r="J86" s="642">
        <v>1.01</v>
      </c>
      <c r="K86" s="642">
        <v>1.01</v>
      </c>
      <c r="L86" s="642">
        <v>1.01</v>
      </c>
      <c r="M86" s="642">
        <v>1.01</v>
      </c>
      <c r="N86" s="642">
        <v>1.01</v>
      </c>
      <c r="O86" s="642">
        <v>1.01</v>
      </c>
      <c r="P86" s="642">
        <v>1.01</v>
      </c>
      <c r="Q86" s="642">
        <v>1.01</v>
      </c>
      <c r="R86" s="642">
        <v>1.01</v>
      </c>
      <c r="S86" s="24"/>
    </row>
    <row r="87" spans="1:19" hidden="1" outlineLevel="1">
      <c r="A87" s="673" t="s">
        <v>335</v>
      </c>
      <c r="C87" s="310"/>
      <c r="D87" s="310"/>
      <c r="E87" s="549"/>
      <c r="G87" s="77"/>
      <c r="H87" s="642">
        <v>1.25</v>
      </c>
      <c r="I87" s="642">
        <v>1.25</v>
      </c>
      <c r="J87" s="642">
        <v>1.25</v>
      </c>
      <c r="K87" s="642">
        <v>1.1499999999999999</v>
      </c>
      <c r="L87" s="642">
        <v>1.1499999999999999</v>
      </c>
      <c r="M87" s="642">
        <v>1.05</v>
      </c>
      <c r="N87" s="642">
        <v>1.05</v>
      </c>
      <c r="O87" s="642">
        <v>0.95</v>
      </c>
      <c r="P87" s="642">
        <v>0.95</v>
      </c>
      <c r="Q87" s="642">
        <v>0.85</v>
      </c>
      <c r="R87" s="642">
        <v>0.85</v>
      </c>
      <c r="S87" s="24"/>
    </row>
    <row r="88" spans="1:19" hidden="1" outlineLevel="1">
      <c r="A88" s="6" t="s">
        <v>329</v>
      </c>
      <c r="C88" s="310"/>
      <c r="D88" s="310"/>
      <c r="E88" s="549"/>
      <c r="G88" s="77"/>
      <c r="H88" s="642">
        <v>1.03</v>
      </c>
      <c r="I88" s="642">
        <v>1.03</v>
      </c>
      <c r="J88" s="642">
        <v>1.03</v>
      </c>
      <c r="K88" s="642">
        <v>1.03</v>
      </c>
      <c r="L88" s="642">
        <v>1.03</v>
      </c>
      <c r="M88" s="642">
        <v>1.03</v>
      </c>
      <c r="N88" s="642">
        <v>1.03</v>
      </c>
      <c r="O88" s="642">
        <v>1.03</v>
      </c>
      <c r="P88" s="642">
        <v>1.03</v>
      </c>
      <c r="Q88" s="642">
        <v>1.03</v>
      </c>
      <c r="R88" s="642">
        <v>1.03</v>
      </c>
      <c r="S88" s="24"/>
    </row>
    <row r="89" spans="1:19" hidden="1" outlineLevel="1">
      <c r="A89" s="6" t="s">
        <v>330</v>
      </c>
      <c r="C89" s="310"/>
      <c r="D89" s="310"/>
      <c r="E89" s="549"/>
      <c r="G89" s="77"/>
      <c r="H89" s="642">
        <v>1.02</v>
      </c>
      <c r="I89" s="642">
        <v>1.02</v>
      </c>
      <c r="J89" s="642">
        <v>1.02</v>
      </c>
      <c r="K89" s="642">
        <v>1.02</v>
      </c>
      <c r="L89" s="642">
        <v>1.02</v>
      </c>
      <c r="M89" s="642">
        <v>1.02</v>
      </c>
      <c r="N89" s="642">
        <v>1.02</v>
      </c>
      <c r="O89" s="642">
        <v>1.02</v>
      </c>
      <c r="P89" s="642">
        <v>1.02</v>
      </c>
      <c r="Q89" s="642">
        <v>1.02</v>
      </c>
      <c r="R89" s="642">
        <v>1.02</v>
      </c>
      <c r="S89" s="24"/>
    </row>
    <row r="90" spans="1:19" hidden="1" outlineLevel="1">
      <c r="A90" s="636" t="str">
        <f>A79</f>
        <v>Cost of Sales</v>
      </c>
      <c r="C90" s="310"/>
      <c r="D90" s="783"/>
      <c r="E90" s="78"/>
      <c r="F90" s="78"/>
      <c r="G90" s="78"/>
      <c r="H90" s="642">
        <v>1.1000000000000001</v>
      </c>
      <c r="I90" s="642">
        <f>H90</f>
        <v>1.1000000000000001</v>
      </c>
      <c r="J90" s="642">
        <f>I90</f>
        <v>1.1000000000000001</v>
      </c>
      <c r="K90" s="642">
        <f>J90</f>
        <v>1.1000000000000001</v>
      </c>
      <c r="L90" s="642">
        <f>K90</f>
        <v>1.1000000000000001</v>
      </c>
      <c r="M90" s="642">
        <v>1.05</v>
      </c>
      <c r="N90" s="642">
        <f>M90</f>
        <v>1.05</v>
      </c>
      <c r="O90" s="642">
        <v>1.05</v>
      </c>
      <c r="P90" s="642">
        <v>1.05</v>
      </c>
      <c r="Q90" s="642">
        <v>1</v>
      </c>
      <c r="R90" s="642">
        <v>1</v>
      </c>
      <c r="S90" s="24"/>
    </row>
    <row r="91" spans="1:19" hidden="1" outlineLevel="1">
      <c r="A91" s="6" t="s">
        <v>462</v>
      </c>
      <c r="C91" s="310"/>
      <c r="D91" s="310"/>
      <c r="E91" s="78"/>
      <c r="F91" s="78"/>
      <c r="G91" s="78"/>
      <c r="H91" s="642">
        <v>1.01</v>
      </c>
      <c r="I91" s="642">
        <v>1.01</v>
      </c>
      <c r="J91" s="642">
        <v>1.01</v>
      </c>
      <c r="K91" s="642">
        <v>1.01</v>
      </c>
      <c r="L91" s="642">
        <v>1.01</v>
      </c>
      <c r="M91" s="642">
        <v>1.01</v>
      </c>
      <c r="N91" s="642">
        <v>1.01</v>
      </c>
      <c r="O91" s="642">
        <v>1.01</v>
      </c>
      <c r="P91" s="642">
        <v>1.01</v>
      </c>
      <c r="Q91" s="642">
        <v>1.01</v>
      </c>
      <c r="R91" s="642">
        <v>1.01</v>
      </c>
      <c r="S91" s="24"/>
    </row>
    <row r="92" spans="1:19" hidden="1" outlineLevel="1">
      <c r="A92" s="6" t="s">
        <v>463</v>
      </c>
      <c r="C92" s="310"/>
      <c r="D92" s="784"/>
      <c r="E92" s="78">
        <f t="shared" ref="E92:G93" si="34">E81/D81</f>
        <v>1.0682902700943704</v>
      </c>
      <c r="F92" s="78">
        <f t="shared" si="34"/>
        <v>0.86126470366047114</v>
      </c>
      <c r="G92" s="78">
        <f t="shared" si="34"/>
        <v>1.3084422198706378</v>
      </c>
      <c r="H92" s="642">
        <v>1.05</v>
      </c>
      <c r="I92" s="642">
        <v>1</v>
      </c>
      <c r="J92" s="642">
        <f t="shared" ref="J92:R92" si="35">I92</f>
        <v>1</v>
      </c>
      <c r="K92" s="642">
        <f t="shared" si="35"/>
        <v>1</v>
      </c>
      <c r="L92" s="642">
        <f t="shared" si="35"/>
        <v>1</v>
      </c>
      <c r="M92" s="642">
        <f t="shared" si="35"/>
        <v>1</v>
      </c>
      <c r="N92" s="642">
        <f t="shared" si="35"/>
        <v>1</v>
      </c>
      <c r="O92" s="642">
        <f t="shared" si="35"/>
        <v>1</v>
      </c>
      <c r="P92" s="642">
        <f t="shared" si="35"/>
        <v>1</v>
      </c>
      <c r="Q92" s="642">
        <f t="shared" si="35"/>
        <v>1</v>
      </c>
      <c r="R92" s="642">
        <f t="shared" si="35"/>
        <v>1</v>
      </c>
      <c r="S92" s="24"/>
    </row>
    <row r="93" spans="1:19" hidden="1" outlineLevel="1">
      <c r="A93" s="357" t="s">
        <v>464</v>
      </c>
      <c r="C93" s="310"/>
      <c r="D93" s="784"/>
      <c r="E93" s="78">
        <f t="shared" si="34"/>
        <v>1.170796100731113</v>
      </c>
      <c r="F93" s="78">
        <f t="shared" si="34"/>
        <v>0.76227233304423236</v>
      </c>
      <c r="G93" s="78">
        <f t="shared" si="34"/>
        <v>0.88007736943907156</v>
      </c>
      <c r="H93" s="642">
        <v>0.95</v>
      </c>
      <c r="I93" s="642">
        <v>1</v>
      </c>
      <c r="J93" s="642">
        <f t="shared" ref="J93:R93" si="36">I93</f>
        <v>1</v>
      </c>
      <c r="K93" s="642">
        <f t="shared" si="36"/>
        <v>1</v>
      </c>
      <c r="L93" s="642">
        <f t="shared" si="36"/>
        <v>1</v>
      </c>
      <c r="M93" s="642">
        <f t="shared" si="36"/>
        <v>1</v>
      </c>
      <c r="N93" s="642">
        <f t="shared" si="36"/>
        <v>1</v>
      </c>
      <c r="O93" s="642">
        <f t="shared" si="36"/>
        <v>1</v>
      </c>
      <c r="P93" s="642">
        <f t="shared" si="36"/>
        <v>1</v>
      </c>
      <c r="Q93" s="642">
        <f t="shared" si="36"/>
        <v>1</v>
      </c>
      <c r="R93" s="642">
        <f t="shared" si="36"/>
        <v>1</v>
      </c>
      <c r="S93" s="24"/>
    </row>
    <row r="94" spans="1:19" hidden="1" outlineLevel="1">
      <c r="S94" s="24"/>
    </row>
    <row r="95" spans="1:19" ht="15.75" collapsed="1">
      <c r="A95" s="483" t="s">
        <v>282</v>
      </c>
      <c r="B95" s="379"/>
      <c r="C95" s="379"/>
      <c r="D95" s="379"/>
      <c r="E95" s="379"/>
      <c r="F95" s="379"/>
      <c r="G95" s="379"/>
      <c r="H95" s="379"/>
      <c r="I95" s="379"/>
      <c r="J95" s="379"/>
      <c r="K95" s="379"/>
      <c r="L95" s="379"/>
      <c r="M95" s="379"/>
      <c r="N95" s="379"/>
      <c r="O95" s="379"/>
      <c r="P95" s="379"/>
      <c r="Q95" s="379"/>
      <c r="R95" s="379"/>
      <c r="S95" s="24"/>
    </row>
    <row r="96" spans="1:19" s="24" customFormat="1" ht="12.75" customHeight="1">
      <c r="A96" s="488"/>
      <c r="E96" s="480"/>
      <c r="F96" s="480"/>
      <c r="G96" s="323"/>
      <c r="H96" s="309" t="s">
        <v>203</v>
      </c>
      <c r="I96" s="328"/>
      <c r="J96" s="323"/>
      <c r="K96" s="323"/>
      <c r="L96" s="246"/>
      <c r="M96" s="323"/>
      <c r="N96" s="246"/>
      <c r="O96" s="246"/>
      <c r="P96" s="246"/>
      <c r="Q96" s="246"/>
      <c r="R96" s="292"/>
    </row>
    <row r="97" spans="1:19" s="24" customFormat="1" ht="12.75" customHeight="1">
      <c r="A97" s="488"/>
      <c r="D97" s="387">
        <v>1997</v>
      </c>
      <c r="E97" s="256">
        <v>1998</v>
      </c>
      <c r="F97" s="256">
        <v>1999</v>
      </c>
      <c r="G97" s="256">
        <v>2000</v>
      </c>
      <c r="H97" s="256">
        <v>2001</v>
      </c>
      <c r="I97" s="289">
        <v>2002</v>
      </c>
      <c r="J97" s="289">
        <v>2003</v>
      </c>
      <c r="K97" s="289">
        <v>2004</v>
      </c>
      <c r="L97" s="289">
        <v>2005</v>
      </c>
      <c r="M97" s="289">
        <v>2006</v>
      </c>
      <c r="N97" s="293">
        <v>2007</v>
      </c>
      <c r="O97" s="293">
        <v>2008</v>
      </c>
      <c r="P97" s="293">
        <v>2009</v>
      </c>
      <c r="Q97" s="293">
        <v>2010</v>
      </c>
      <c r="R97" s="465">
        <v>2011</v>
      </c>
    </row>
    <row r="98" spans="1:19" s="24" customFormat="1" ht="12.75" customHeight="1">
      <c r="A98" s="488"/>
      <c r="B98" s="39" t="s">
        <v>57</v>
      </c>
      <c r="G98" s="487" t="s">
        <v>213</v>
      </c>
      <c r="H98" s="256">
        <v>1</v>
      </c>
      <c r="I98" s="289">
        <v>2</v>
      </c>
      <c r="J98" s="289">
        <v>3</v>
      </c>
      <c r="K98" s="289">
        <v>4</v>
      </c>
      <c r="L98" s="289">
        <v>5</v>
      </c>
      <c r="M98" s="289">
        <v>6</v>
      </c>
      <c r="N98" s="289">
        <v>7</v>
      </c>
      <c r="O98" s="289">
        <v>8</v>
      </c>
      <c r="P98" s="289">
        <v>9</v>
      </c>
      <c r="Q98" s="289">
        <v>10</v>
      </c>
      <c r="R98" s="389">
        <v>11</v>
      </c>
    </row>
    <row r="99" spans="1:19">
      <c r="A99" s="6" t="s">
        <v>331</v>
      </c>
      <c r="B99" s="671">
        <v>0</v>
      </c>
      <c r="D99" s="540"/>
      <c r="E99" s="540"/>
      <c r="F99" s="540"/>
      <c r="G99" s="540"/>
      <c r="H99" s="572">
        <f>$B$99*555</f>
        <v>0</v>
      </c>
      <c r="I99" s="572">
        <f>$B$99*555</f>
        <v>0</v>
      </c>
      <c r="J99" s="572">
        <f>$B$99*355</f>
        <v>0</v>
      </c>
      <c r="K99" s="572">
        <f t="shared" ref="K99:R106" si="37">J99*K110</f>
        <v>0</v>
      </c>
      <c r="L99" s="572">
        <f t="shared" si="37"/>
        <v>0</v>
      </c>
      <c r="M99" s="539">
        <f t="shared" si="37"/>
        <v>0</v>
      </c>
      <c r="N99" s="539">
        <f t="shared" si="37"/>
        <v>0</v>
      </c>
      <c r="O99" s="539">
        <f t="shared" si="37"/>
        <v>0</v>
      </c>
      <c r="P99" s="539">
        <f t="shared" si="37"/>
        <v>0</v>
      </c>
      <c r="Q99" s="539">
        <f t="shared" si="37"/>
        <v>0</v>
      </c>
      <c r="R99" s="539">
        <f t="shared" si="37"/>
        <v>0</v>
      </c>
      <c r="S99" s="24"/>
    </row>
    <row r="100" spans="1:19">
      <c r="A100" s="6" t="s">
        <v>332</v>
      </c>
      <c r="B100" s="671">
        <v>0</v>
      </c>
      <c r="D100" s="540"/>
      <c r="E100" s="540"/>
      <c r="F100" s="540"/>
      <c r="G100" s="540"/>
      <c r="H100" s="572">
        <f>$B$100*145</f>
        <v>0</v>
      </c>
      <c r="I100" s="572">
        <f>$B$100*145</f>
        <v>0</v>
      </c>
      <c r="J100" s="572">
        <f>$B$100*135</f>
        <v>0</v>
      </c>
      <c r="K100" s="572">
        <f t="shared" si="37"/>
        <v>0</v>
      </c>
      <c r="L100" s="572">
        <f t="shared" si="37"/>
        <v>0</v>
      </c>
      <c r="M100" s="539">
        <f t="shared" si="37"/>
        <v>0</v>
      </c>
      <c r="N100" s="539">
        <f t="shared" si="37"/>
        <v>0</v>
      </c>
      <c r="O100" s="539">
        <f t="shared" si="37"/>
        <v>0</v>
      </c>
      <c r="P100" s="539">
        <f t="shared" si="37"/>
        <v>0</v>
      </c>
      <c r="Q100" s="539">
        <f t="shared" si="37"/>
        <v>0</v>
      </c>
      <c r="R100" s="539">
        <f t="shared" si="37"/>
        <v>0</v>
      </c>
      <c r="S100" s="24"/>
    </row>
    <row r="101" spans="1:19">
      <c r="A101" s="6" t="s">
        <v>468</v>
      </c>
      <c r="B101" s="671">
        <v>1</v>
      </c>
      <c r="D101" s="540">
        <v>10111.6</v>
      </c>
      <c r="E101" s="540">
        <v>103.386</v>
      </c>
      <c r="F101" s="536">
        <v>154</v>
      </c>
      <c r="G101" s="536">
        <v>163.9</v>
      </c>
      <c r="H101" s="572">
        <f t="shared" ref="H101:J104" si="38">G101*H112</f>
        <v>140.08388728386805</v>
      </c>
      <c r="I101" s="572">
        <f t="shared" si="38"/>
        <v>140.08388728386805</v>
      </c>
      <c r="J101" s="572">
        <f t="shared" si="38"/>
        <v>140.08388728386805</v>
      </c>
      <c r="K101" s="572">
        <f t="shared" si="37"/>
        <v>140.08388728386805</v>
      </c>
      <c r="L101" s="572">
        <f t="shared" si="37"/>
        <v>140.08388728386805</v>
      </c>
      <c r="M101" s="572">
        <f t="shared" si="37"/>
        <v>140.08388728386805</v>
      </c>
      <c r="N101" s="572">
        <f t="shared" si="37"/>
        <v>140.08388728386805</v>
      </c>
      <c r="O101" s="572">
        <f t="shared" si="37"/>
        <v>140.08388728386805</v>
      </c>
      <c r="P101" s="572">
        <f t="shared" si="37"/>
        <v>140.08388728386805</v>
      </c>
      <c r="Q101" s="572">
        <f t="shared" si="37"/>
        <v>140.08388728386805</v>
      </c>
      <c r="R101" s="572">
        <f t="shared" si="37"/>
        <v>140.08388728386805</v>
      </c>
      <c r="S101" s="24"/>
    </row>
    <row r="102" spans="1:19">
      <c r="A102" s="6" t="s">
        <v>469</v>
      </c>
      <c r="B102" s="671">
        <v>1</v>
      </c>
      <c r="D102" s="540"/>
      <c r="E102" s="540"/>
      <c r="F102" s="536"/>
      <c r="G102" s="536"/>
      <c r="H102" s="572">
        <f t="shared" si="38"/>
        <v>0</v>
      </c>
      <c r="I102" s="572">
        <f t="shared" si="38"/>
        <v>0</v>
      </c>
      <c r="J102" s="572">
        <f t="shared" si="38"/>
        <v>0</v>
      </c>
      <c r="K102" s="572">
        <f t="shared" si="37"/>
        <v>0</v>
      </c>
      <c r="L102" s="572">
        <f t="shared" si="37"/>
        <v>0</v>
      </c>
      <c r="M102" s="572">
        <f t="shared" si="37"/>
        <v>0</v>
      </c>
      <c r="N102" s="572">
        <f t="shared" si="37"/>
        <v>0</v>
      </c>
      <c r="O102" s="572">
        <f t="shared" si="37"/>
        <v>0</v>
      </c>
      <c r="P102" s="572">
        <f t="shared" si="37"/>
        <v>0</v>
      </c>
      <c r="Q102" s="572">
        <f t="shared" si="37"/>
        <v>0</v>
      </c>
      <c r="R102" s="572">
        <f t="shared" si="37"/>
        <v>0</v>
      </c>
      <c r="S102" s="24"/>
    </row>
    <row r="103" spans="1:19">
      <c r="A103" s="56" t="s">
        <v>470</v>
      </c>
      <c r="B103" s="671">
        <v>0</v>
      </c>
      <c r="D103" s="646"/>
      <c r="E103" s="646"/>
      <c r="F103" s="655"/>
      <c r="G103" s="655"/>
      <c r="H103" s="394">
        <f t="shared" si="38"/>
        <v>0</v>
      </c>
      <c r="I103" s="394">
        <f t="shared" si="38"/>
        <v>0</v>
      </c>
      <c r="J103" s="394">
        <f t="shared" si="38"/>
        <v>0</v>
      </c>
      <c r="K103" s="394">
        <f t="shared" si="37"/>
        <v>0</v>
      </c>
      <c r="L103" s="394">
        <f t="shared" si="37"/>
        <v>0</v>
      </c>
      <c r="M103" s="394">
        <f t="shared" si="37"/>
        <v>0</v>
      </c>
      <c r="N103" s="394">
        <f t="shared" si="37"/>
        <v>0</v>
      </c>
      <c r="O103" s="394">
        <f t="shared" si="37"/>
        <v>0</v>
      </c>
      <c r="P103" s="394">
        <f t="shared" si="37"/>
        <v>0</v>
      </c>
      <c r="Q103" s="394">
        <f t="shared" si="37"/>
        <v>0</v>
      </c>
      <c r="R103" s="394">
        <f t="shared" si="37"/>
        <v>0</v>
      </c>
      <c r="S103" s="24"/>
    </row>
    <row r="104" spans="1:19">
      <c r="A104" s="6" t="s">
        <v>471</v>
      </c>
      <c r="B104" s="671">
        <v>1</v>
      </c>
      <c r="D104" s="540"/>
      <c r="E104" s="540"/>
      <c r="F104" s="540"/>
      <c r="G104" s="540"/>
      <c r="H104" s="394">
        <f t="shared" si="38"/>
        <v>0</v>
      </c>
      <c r="I104" s="394">
        <f t="shared" si="38"/>
        <v>0</v>
      </c>
      <c r="J104" s="394">
        <f t="shared" si="38"/>
        <v>0</v>
      </c>
      <c r="K104" s="394">
        <f t="shared" si="37"/>
        <v>0</v>
      </c>
      <c r="L104" s="394">
        <f t="shared" si="37"/>
        <v>0</v>
      </c>
      <c r="M104" s="394">
        <f t="shared" si="37"/>
        <v>0</v>
      </c>
      <c r="N104" s="394">
        <f t="shared" si="37"/>
        <v>0</v>
      </c>
      <c r="O104" s="394">
        <f t="shared" si="37"/>
        <v>0</v>
      </c>
      <c r="P104" s="394">
        <f t="shared" si="37"/>
        <v>0</v>
      </c>
      <c r="Q104" s="394">
        <f t="shared" si="37"/>
        <v>0</v>
      </c>
      <c r="R104" s="394">
        <f t="shared" si="37"/>
        <v>0</v>
      </c>
      <c r="S104" s="24"/>
    </row>
    <row r="105" spans="1:19">
      <c r="A105" s="6" t="s">
        <v>326</v>
      </c>
      <c r="B105" s="671">
        <v>0</v>
      </c>
      <c r="D105" s="540"/>
      <c r="E105" s="540"/>
      <c r="F105" s="540"/>
      <c r="G105" s="540"/>
      <c r="H105" s="572">
        <f>$B$105*60</f>
        <v>0</v>
      </c>
      <c r="I105" s="572">
        <f>$B$105*5</f>
        <v>0</v>
      </c>
      <c r="J105" s="572">
        <f>$B$105*5</f>
        <v>0</v>
      </c>
      <c r="K105" s="572">
        <f t="shared" si="37"/>
        <v>0</v>
      </c>
      <c r="L105" s="572">
        <f t="shared" si="37"/>
        <v>0</v>
      </c>
      <c r="M105" s="539">
        <f t="shared" si="37"/>
        <v>0</v>
      </c>
      <c r="N105" s="539">
        <f t="shared" si="37"/>
        <v>0</v>
      </c>
      <c r="O105" s="539">
        <f t="shared" si="37"/>
        <v>0</v>
      </c>
      <c r="P105" s="539">
        <f t="shared" si="37"/>
        <v>0</v>
      </c>
      <c r="Q105" s="539">
        <f t="shared" si="37"/>
        <v>0</v>
      </c>
      <c r="R105" s="539">
        <f t="shared" si="37"/>
        <v>0</v>
      </c>
      <c r="S105" s="24"/>
    </row>
    <row r="106" spans="1:19">
      <c r="A106" s="357" t="s">
        <v>58</v>
      </c>
      <c r="B106" s="672">
        <v>0</v>
      </c>
      <c r="C106" s="292"/>
      <c r="D106" s="546"/>
      <c r="E106" s="546"/>
      <c r="F106" s="546"/>
      <c r="G106" s="546"/>
      <c r="H106" s="428">
        <f>$B$106*30</f>
        <v>0</v>
      </c>
      <c r="I106" s="428">
        <f>$B$106*25</f>
        <v>0</v>
      </c>
      <c r="J106" s="428">
        <f>$B$106*5</f>
        <v>0</v>
      </c>
      <c r="K106" s="428">
        <f t="shared" si="37"/>
        <v>0</v>
      </c>
      <c r="L106" s="428">
        <f t="shared" si="37"/>
        <v>0</v>
      </c>
      <c r="M106" s="657">
        <f t="shared" si="37"/>
        <v>0</v>
      </c>
      <c r="N106" s="657">
        <f t="shared" si="37"/>
        <v>0</v>
      </c>
      <c r="O106" s="657">
        <f t="shared" si="37"/>
        <v>0</v>
      </c>
      <c r="P106" s="657">
        <f t="shared" si="37"/>
        <v>0</v>
      </c>
      <c r="Q106" s="657">
        <f t="shared" si="37"/>
        <v>0</v>
      </c>
      <c r="R106" s="657">
        <f t="shared" si="37"/>
        <v>0</v>
      </c>
      <c r="S106" s="24"/>
    </row>
    <row r="107" spans="1:19">
      <c r="A107" s="38" t="s">
        <v>283</v>
      </c>
      <c r="D107" s="565">
        <f t="shared" ref="D107:R107" si="39">SUM(D99:D106)</f>
        <v>10111.6</v>
      </c>
      <c r="E107" s="565">
        <f t="shared" si="39"/>
        <v>103.386</v>
      </c>
      <c r="F107" s="565">
        <f t="shared" si="39"/>
        <v>154</v>
      </c>
      <c r="G107" s="565">
        <f t="shared" si="39"/>
        <v>163.9</v>
      </c>
      <c r="H107" s="566">
        <f t="shared" si="39"/>
        <v>140.08388728386805</v>
      </c>
      <c r="I107" s="566">
        <f t="shared" si="39"/>
        <v>140.08388728386805</v>
      </c>
      <c r="J107" s="566">
        <f t="shared" si="39"/>
        <v>140.08388728386805</v>
      </c>
      <c r="K107" s="566">
        <f t="shared" si="39"/>
        <v>140.08388728386805</v>
      </c>
      <c r="L107" s="566">
        <f t="shared" si="39"/>
        <v>140.08388728386805</v>
      </c>
      <c r="M107" s="566">
        <f t="shared" si="39"/>
        <v>140.08388728386805</v>
      </c>
      <c r="N107" s="566">
        <f t="shared" si="39"/>
        <v>140.08388728386805</v>
      </c>
      <c r="O107" s="566">
        <f t="shared" si="39"/>
        <v>140.08388728386805</v>
      </c>
      <c r="P107" s="566">
        <f t="shared" si="39"/>
        <v>140.08388728386805</v>
      </c>
      <c r="Q107" s="566">
        <f t="shared" si="39"/>
        <v>140.08388728386805</v>
      </c>
      <c r="R107" s="566">
        <f t="shared" si="39"/>
        <v>140.08388728386805</v>
      </c>
      <c r="S107" s="24"/>
    </row>
    <row r="108" spans="1:19">
      <c r="A108" s="38"/>
      <c r="E108" s="658"/>
      <c r="F108" s="658"/>
      <c r="G108" s="658"/>
      <c r="H108" s="566"/>
      <c r="I108" s="566"/>
      <c r="J108" s="566"/>
      <c r="K108" s="566"/>
      <c r="L108" s="566"/>
      <c r="M108" s="566"/>
      <c r="N108" s="566"/>
      <c r="O108" s="566"/>
      <c r="P108" s="566"/>
      <c r="Q108" s="566"/>
      <c r="R108" s="566"/>
      <c r="S108" s="24"/>
    </row>
    <row r="109" spans="1:19" ht="15.75" hidden="1" outlineLevel="1">
      <c r="A109" s="651" t="s">
        <v>327</v>
      </c>
      <c r="B109" s="412"/>
      <c r="C109" s="647"/>
      <c r="D109" s="647"/>
      <c r="E109" s="648"/>
      <c r="F109" s="412"/>
      <c r="G109" s="649"/>
      <c r="H109" s="650"/>
      <c r="I109" s="650"/>
      <c r="J109" s="650"/>
      <c r="K109" s="650"/>
      <c r="L109" s="650"/>
      <c r="M109" s="650"/>
      <c r="N109" s="650"/>
      <c r="O109" s="650"/>
      <c r="P109" s="650"/>
      <c r="Q109" s="650"/>
      <c r="R109" s="650"/>
      <c r="S109" s="662"/>
    </row>
    <row r="110" spans="1:19" hidden="1" outlineLevel="1">
      <c r="A110" s="6" t="s">
        <v>331</v>
      </c>
      <c r="C110" s="310"/>
      <c r="D110" s="310"/>
      <c r="E110" s="549"/>
      <c r="G110" s="77"/>
      <c r="H110" s="642">
        <v>1.01</v>
      </c>
      <c r="I110" s="642">
        <v>1.01</v>
      </c>
      <c r="J110" s="642">
        <v>1.01</v>
      </c>
      <c r="K110" s="642">
        <v>1.01</v>
      </c>
      <c r="L110" s="642">
        <v>1.01</v>
      </c>
      <c r="M110" s="642">
        <v>1.01</v>
      </c>
      <c r="N110" s="642">
        <v>1.01</v>
      </c>
      <c r="O110" s="642">
        <v>1.01</v>
      </c>
      <c r="P110" s="642">
        <v>1.01</v>
      </c>
      <c r="Q110" s="642">
        <v>1.01</v>
      </c>
      <c r="R110" s="642">
        <v>1.01</v>
      </c>
      <c r="S110" s="24"/>
    </row>
    <row r="111" spans="1:19" hidden="1" outlineLevel="1">
      <c r="A111" s="6" t="s">
        <v>332</v>
      </c>
      <c r="C111" s="310"/>
      <c r="D111" s="310"/>
      <c r="E111" s="549"/>
      <c r="G111" s="77"/>
      <c r="H111" s="642">
        <v>1.02</v>
      </c>
      <c r="I111" s="642">
        <v>1.02</v>
      </c>
      <c r="J111" s="642">
        <v>1.02</v>
      </c>
      <c r="K111" s="642">
        <v>1.02</v>
      </c>
      <c r="L111" s="642">
        <v>1.02</v>
      </c>
      <c r="M111" s="642">
        <v>1.02</v>
      </c>
      <c r="N111" s="642">
        <v>1.02</v>
      </c>
      <c r="O111" s="642">
        <v>1.02</v>
      </c>
      <c r="P111" s="642">
        <v>1.02</v>
      </c>
      <c r="Q111" s="642">
        <v>1.02</v>
      </c>
      <c r="R111" s="642">
        <v>1.02</v>
      </c>
      <c r="S111" s="24"/>
    </row>
    <row r="112" spans="1:19" hidden="1" outlineLevel="1">
      <c r="A112" s="56" t="s">
        <v>468</v>
      </c>
      <c r="C112" s="310"/>
      <c r="D112" s="310"/>
      <c r="E112" s="78">
        <f>E101/D101</f>
        <v>1.0224494639819613E-2</v>
      </c>
      <c r="F112" s="78">
        <f>F101/E101</f>
        <v>1.4895633838237285</v>
      </c>
      <c r="G112" s="78">
        <f>G101/F101</f>
        <v>1.0642857142857143</v>
      </c>
      <c r="H112" s="643">
        <f>AVERAGE(E112:G112)</f>
        <v>0.85469119758308754</v>
      </c>
      <c r="I112" s="286">
        <v>1</v>
      </c>
      <c r="J112" s="286">
        <f t="shared" ref="J112:L113" si="40">I112</f>
        <v>1</v>
      </c>
      <c r="K112" s="286">
        <f t="shared" si="40"/>
        <v>1</v>
      </c>
      <c r="L112" s="286">
        <f t="shared" si="40"/>
        <v>1</v>
      </c>
      <c r="M112" s="286">
        <v>1</v>
      </c>
      <c r="N112" s="286">
        <f t="shared" ref="N112:R113" si="41">M112</f>
        <v>1</v>
      </c>
      <c r="O112" s="286">
        <f t="shared" si="41"/>
        <v>1</v>
      </c>
      <c r="P112" s="286">
        <f t="shared" si="41"/>
        <v>1</v>
      </c>
      <c r="Q112" s="286">
        <f t="shared" si="41"/>
        <v>1</v>
      </c>
      <c r="R112" s="286">
        <f t="shared" si="41"/>
        <v>1</v>
      </c>
      <c r="S112" s="24"/>
    </row>
    <row r="113" spans="1:20" hidden="1" outlineLevel="1">
      <c r="A113" s="6" t="s">
        <v>469</v>
      </c>
      <c r="C113" s="310"/>
      <c r="D113" s="310"/>
      <c r="E113" s="78"/>
      <c r="F113" s="78"/>
      <c r="G113" s="78"/>
      <c r="H113" s="642">
        <v>0.8</v>
      </c>
      <c r="I113" s="642">
        <v>1</v>
      </c>
      <c r="J113" s="642">
        <f t="shared" si="40"/>
        <v>1</v>
      </c>
      <c r="K113" s="642">
        <f t="shared" si="40"/>
        <v>1</v>
      </c>
      <c r="L113" s="642">
        <f t="shared" si="40"/>
        <v>1</v>
      </c>
      <c r="M113" s="642">
        <f>L113</f>
        <v>1</v>
      </c>
      <c r="N113" s="642">
        <f t="shared" si="41"/>
        <v>1</v>
      </c>
      <c r="O113" s="642">
        <f t="shared" si="41"/>
        <v>1</v>
      </c>
      <c r="P113" s="642">
        <f t="shared" si="41"/>
        <v>1</v>
      </c>
      <c r="Q113" s="642">
        <f t="shared" si="41"/>
        <v>1</v>
      </c>
      <c r="R113" s="642">
        <f t="shared" si="41"/>
        <v>1</v>
      </c>
      <c r="S113" s="24"/>
    </row>
    <row r="114" spans="1:20" hidden="1" outlineLevel="1">
      <c r="A114" s="6" t="s">
        <v>470</v>
      </c>
      <c r="C114" s="310"/>
      <c r="D114" s="310"/>
      <c r="E114" s="78"/>
      <c r="F114" s="78"/>
      <c r="G114" s="78"/>
      <c r="H114" s="642">
        <v>0</v>
      </c>
      <c r="I114" s="642">
        <v>0</v>
      </c>
      <c r="J114" s="642">
        <v>0</v>
      </c>
      <c r="K114" s="642">
        <v>0</v>
      </c>
      <c r="L114" s="642">
        <v>0</v>
      </c>
      <c r="M114" s="642">
        <v>0</v>
      </c>
      <c r="N114" s="642">
        <v>0</v>
      </c>
      <c r="O114" s="642">
        <v>0</v>
      </c>
      <c r="P114" s="642">
        <v>0</v>
      </c>
      <c r="Q114" s="642">
        <v>0</v>
      </c>
      <c r="R114" s="642">
        <v>0</v>
      </c>
      <c r="S114" s="24"/>
    </row>
    <row r="115" spans="1:20" hidden="1" outlineLevel="1">
      <c r="A115" s="6" t="s">
        <v>471</v>
      </c>
      <c r="C115" s="310"/>
      <c r="D115" s="310"/>
      <c r="E115" s="78"/>
      <c r="F115" s="78"/>
      <c r="G115" s="78"/>
      <c r="H115" s="642">
        <v>0.33</v>
      </c>
      <c r="I115" s="642">
        <f>H115</f>
        <v>0.33</v>
      </c>
      <c r="J115" s="642">
        <f>I115</f>
        <v>0.33</v>
      </c>
      <c r="K115" s="642">
        <v>0</v>
      </c>
      <c r="L115" s="642">
        <f t="shared" ref="L115:R115" si="42">K115</f>
        <v>0</v>
      </c>
      <c r="M115" s="642">
        <f t="shared" si="42"/>
        <v>0</v>
      </c>
      <c r="N115" s="642">
        <f t="shared" si="42"/>
        <v>0</v>
      </c>
      <c r="O115" s="642">
        <f t="shared" si="42"/>
        <v>0</v>
      </c>
      <c r="P115" s="642">
        <f t="shared" si="42"/>
        <v>0</v>
      </c>
      <c r="Q115" s="642">
        <f t="shared" si="42"/>
        <v>0</v>
      </c>
      <c r="R115" s="642">
        <f t="shared" si="42"/>
        <v>0</v>
      </c>
      <c r="S115" s="24"/>
    </row>
    <row r="116" spans="1:20" hidden="1" outlineLevel="1">
      <c r="A116" s="6" t="s">
        <v>326</v>
      </c>
      <c r="C116" s="310"/>
      <c r="D116" s="310"/>
      <c r="E116" s="549"/>
      <c r="G116" s="77"/>
      <c r="H116" s="642">
        <v>1.01</v>
      </c>
      <c r="I116" s="642">
        <v>1.01</v>
      </c>
      <c r="J116" s="642">
        <v>1.01</v>
      </c>
      <c r="K116" s="642">
        <v>1.01</v>
      </c>
      <c r="L116" s="642">
        <v>1.01</v>
      </c>
      <c r="M116" s="642">
        <v>1.01</v>
      </c>
      <c r="N116" s="642">
        <v>1.01</v>
      </c>
      <c r="O116" s="642">
        <v>1.01</v>
      </c>
      <c r="P116" s="642">
        <v>1.01</v>
      </c>
      <c r="Q116" s="642">
        <v>1.01</v>
      </c>
      <c r="R116" s="642">
        <v>1.01</v>
      </c>
      <c r="S116" s="24"/>
    </row>
    <row r="117" spans="1:20" hidden="1" outlineLevel="1">
      <c r="A117" s="106" t="s">
        <v>58</v>
      </c>
      <c r="C117" s="310"/>
      <c r="D117" s="310"/>
      <c r="E117" s="549"/>
      <c r="G117" s="77"/>
      <c r="H117" s="642">
        <v>1.01</v>
      </c>
      <c r="I117" s="642">
        <v>1.01</v>
      </c>
      <c r="J117" s="642">
        <v>1.01</v>
      </c>
      <c r="K117" s="642">
        <v>1.01</v>
      </c>
      <c r="L117" s="642">
        <v>1.01</v>
      </c>
      <c r="M117" s="642">
        <v>1.01</v>
      </c>
      <c r="N117" s="642">
        <v>1.01</v>
      </c>
      <c r="O117" s="642">
        <v>1.01</v>
      </c>
      <c r="P117" s="642">
        <v>1.01</v>
      </c>
      <c r="Q117" s="642">
        <v>1.01</v>
      </c>
      <c r="R117" s="642">
        <v>1.01</v>
      </c>
      <c r="S117" s="24"/>
    </row>
    <row r="118" spans="1:20" hidden="1" outlineLevel="1">
      <c r="A118" s="38"/>
      <c r="E118" s="658"/>
      <c r="F118" s="658"/>
      <c r="G118" s="658"/>
      <c r="H118" s="566"/>
      <c r="I118" s="566"/>
      <c r="J118" s="566"/>
      <c r="K118" s="566"/>
      <c r="L118" s="566"/>
      <c r="M118" s="566"/>
      <c r="N118" s="566"/>
      <c r="O118" s="566"/>
      <c r="P118" s="566"/>
      <c r="Q118" s="566"/>
      <c r="R118" s="566"/>
      <c r="S118" s="24"/>
    </row>
    <row r="119" spans="1:20" hidden="1" outlineLevel="1">
      <c r="A119" s="8"/>
      <c r="S119" s="24"/>
    </row>
    <row r="120" spans="1:20" collapsed="1">
      <c r="A120" s="8"/>
      <c r="S120" s="24"/>
    </row>
    <row r="121" spans="1:20" ht="15.75">
      <c r="A121" s="483" t="s">
        <v>314</v>
      </c>
      <c r="B121" s="412"/>
      <c r="C121" s="412"/>
      <c r="D121" s="412"/>
      <c r="E121" s="412"/>
      <c r="F121" s="412"/>
      <c r="G121" s="412"/>
      <c r="H121" s="412"/>
      <c r="I121" s="412"/>
      <c r="J121" s="412"/>
      <c r="K121" s="412"/>
      <c r="L121" s="412"/>
      <c r="M121" s="412"/>
      <c r="N121" s="412"/>
      <c r="O121" s="412"/>
      <c r="P121" s="412"/>
      <c r="Q121" s="412"/>
      <c r="R121" s="412"/>
      <c r="S121" s="24"/>
    </row>
    <row r="122" spans="1:20">
      <c r="E122" s="480"/>
      <c r="F122" s="480"/>
      <c r="G122" s="323"/>
      <c r="H122" s="309" t="s">
        <v>203</v>
      </c>
      <c r="I122" s="328"/>
      <c r="J122" s="323"/>
      <c r="K122" s="323"/>
      <c r="L122" s="246"/>
      <c r="M122" s="323"/>
      <c r="N122" s="246"/>
      <c r="O122" s="246"/>
      <c r="P122" s="246"/>
      <c r="Q122" s="246"/>
      <c r="R122" s="292"/>
    </row>
    <row r="123" spans="1:20">
      <c r="D123" s="387">
        <v>1997</v>
      </c>
      <c r="E123" s="256">
        <v>1998</v>
      </c>
      <c r="F123" s="256">
        <v>1999</v>
      </c>
      <c r="G123" s="256">
        <v>2000</v>
      </c>
      <c r="H123" s="256">
        <v>2001</v>
      </c>
      <c r="I123" s="289">
        <v>2002</v>
      </c>
      <c r="J123" s="289">
        <v>2003</v>
      </c>
      <c r="K123" s="289">
        <v>2004</v>
      </c>
      <c r="L123" s="289">
        <v>2005</v>
      </c>
      <c r="M123" s="289">
        <v>2006</v>
      </c>
      <c r="N123" s="293">
        <v>2007</v>
      </c>
      <c r="O123" s="293">
        <v>2008</v>
      </c>
      <c r="P123" s="293">
        <v>2009</v>
      </c>
      <c r="Q123" s="293">
        <v>2010</v>
      </c>
      <c r="R123" s="465">
        <v>2011</v>
      </c>
    </row>
    <row r="124" spans="1:20">
      <c r="G124" s="487" t="s">
        <v>213</v>
      </c>
      <c r="H124" s="256">
        <v>1</v>
      </c>
      <c r="I124" s="289">
        <v>2</v>
      </c>
      <c r="J124" s="289">
        <v>3</v>
      </c>
      <c r="K124" s="289">
        <v>4</v>
      </c>
      <c r="L124" s="289">
        <v>5</v>
      </c>
      <c r="M124" s="289">
        <v>6</v>
      </c>
      <c r="N124" s="289">
        <v>7</v>
      </c>
      <c r="O124" s="289">
        <v>8</v>
      </c>
      <c r="P124" s="289">
        <v>9</v>
      </c>
      <c r="Q124" s="289">
        <v>10</v>
      </c>
      <c r="R124" s="389">
        <v>11</v>
      </c>
    </row>
    <row r="125" spans="1:20">
      <c r="A125" s="67" t="s">
        <v>33</v>
      </c>
      <c r="B125" s="23"/>
      <c r="C125" s="195">
        <v>283913.28100000002</v>
      </c>
      <c r="D125" s="18"/>
      <c r="E125" s="206"/>
      <c r="F125" s="206"/>
      <c r="G125" s="18"/>
      <c r="H125" s="964">
        <v>3.5999999999999997E-2</v>
      </c>
      <c r="I125" s="788">
        <f t="shared" ref="I125:S125" si="43">H125</f>
        <v>3.5999999999999997E-2</v>
      </c>
      <c r="J125" s="788">
        <f t="shared" si="43"/>
        <v>3.5999999999999997E-2</v>
      </c>
      <c r="K125" s="788">
        <f t="shared" si="43"/>
        <v>3.5999999999999997E-2</v>
      </c>
      <c r="L125" s="788">
        <f t="shared" si="43"/>
        <v>3.5999999999999997E-2</v>
      </c>
      <c r="M125" s="788">
        <f t="shared" si="43"/>
        <v>3.5999999999999997E-2</v>
      </c>
      <c r="N125" s="788">
        <f t="shared" si="43"/>
        <v>3.5999999999999997E-2</v>
      </c>
      <c r="O125" s="788">
        <f t="shared" si="43"/>
        <v>3.5999999999999997E-2</v>
      </c>
      <c r="P125" s="788">
        <f t="shared" si="43"/>
        <v>3.5999999999999997E-2</v>
      </c>
      <c r="Q125" s="788">
        <f t="shared" si="43"/>
        <v>3.5999999999999997E-2</v>
      </c>
      <c r="R125" s="789">
        <f t="shared" si="43"/>
        <v>3.5999999999999997E-2</v>
      </c>
      <c r="S125" s="789">
        <f t="shared" si="43"/>
        <v>3.5999999999999997E-2</v>
      </c>
    </row>
    <row r="126" spans="1:20">
      <c r="A126" s="2" t="s">
        <v>472</v>
      </c>
      <c r="C126" s="659"/>
      <c r="D126" s="790"/>
      <c r="E126" s="206"/>
      <c r="F126" s="206"/>
      <c r="G126" s="18"/>
      <c r="H126" s="29">
        <f>C125*H125</f>
        <v>10220.878116</v>
      </c>
      <c r="I126" s="29">
        <f>H126</f>
        <v>10220.878116</v>
      </c>
      <c r="J126" s="29">
        <f t="shared" ref="J126:S126" si="44">+I126</f>
        <v>10220.878116</v>
      </c>
      <c r="K126" s="29">
        <f t="shared" si="44"/>
        <v>10220.878116</v>
      </c>
      <c r="L126" s="29">
        <f t="shared" si="44"/>
        <v>10220.878116</v>
      </c>
      <c r="M126" s="29">
        <f t="shared" si="44"/>
        <v>10220.878116</v>
      </c>
      <c r="N126" s="29">
        <f t="shared" si="44"/>
        <v>10220.878116</v>
      </c>
      <c r="O126" s="29">
        <f t="shared" si="44"/>
        <v>10220.878116</v>
      </c>
      <c r="P126" s="29">
        <f t="shared" si="44"/>
        <v>10220.878116</v>
      </c>
      <c r="Q126" s="29">
        <f t="shared" si="44"/>
        <v>10220.878116</v>
      </c>
      <c r="R126" s="29">
        <f t="shared" si="44"/>
        <v>10220.878116</v>
      </c>
      <c r="S126" s="29">
        <f t="shared" si="44"/>
        <v>10220.878116</v>
      </c>
    </row>
    <row r="127" spans="1:20">
      <c r="A127" s="2" t="s">
        <v>9</v>
      </c>
      <c r="D127" s="16"/>
      <c r="E127" s="660"/>
      <c r="F127" s="660"/>
      <c r="G127" s="213"/>
      <c r="H127" s="614">
        <f t="shared" ref="H127:R127" si="45">H149</f>
        <v>5.9003999999999994</v>
      </c>
      <c r="I127" s="614">
        <f t="shared" si="45"/>
        <v>10.943419942219249</v>
      </c>
      <c r="J127" s="614">
        <f t="shared" si="45"/>
        <v>15.986439884438498</v>
      </c>
      <c r="K127" s="614">
        <f t="shared" si="45"/>
        <v>21.029459826657749</v>
      </c>
      <c r="L127" s="614">
        <f t="shared" si="45"/>
        <v>26.072479768876999</v>
      </c>
      <c r="M127" s="614">
        <f t="shared" si="45"/>
        <v>31.115499711096248</v>
      </c>
      <c r="N127" s="614">
        <f t="shared" si="45"/>
        <v>36.158519653315494</v>
      </c>
      <c r="O127" s="614">
        <f t="shared" si="45"/>
        <v>41.20153959553474</v>
      </c>
      <c r="P127" s="614">
        <f t="shared" si="45"/>
        <v>46.244559537753986</v>
      </c>
      <c r="Q127" s="614">
        <f t="shared" si="45"/>
        <v>51.287579479973232</v>
      </c>
      <c r="R127" s="614">
        <f t="shared" si="45"/>
        <v>56.330599422192478</v>
      </c>
      <c r="S127" s="57"/>
    </row>
    <row r="128" spans="1:20">
      <c r="A128" s="38" t="s">
        <v>221</v>
      </c>
      <c r="D128" s="941">
        <v>9918.5</v>
      </c>
      <c r="E128" s="941">
        <v>16969.544999999998</v>
      </c>
      <c r="F128" s="941">
        <v>16972.560000000001</v>
      </c>
      <c r="G128" s="941">
        <v>10169.299999999999</v>
      </c>
      <c r="H128" s="615">
        <f t="shared" ref="H128:R128" si="46">SUM(H126:H127)</f>
        <v>10226.778516</v>
      </c>
      <c r="I128" s="615">
        <f t="shared" si="46"/>
        <v>10231.821535942219</v>
      </c>
      <c r="J128" s="615">
        <f t="shared" si="46"/>
        <v>10236.864555884438</v>
      </c>
      <c r="K128" s="615">
        <f t="shared" si="46"/>
        <v>10241.907575826657</v>
      </c>
      <c r="L128" s="566">
        <f t="shared" si="46"/>
        <v>10246.950595768876</v>
      </c>
      <c r="M128" s="566">
        <f t="shared" si="46"/>
        <v>10251.993615711097</v>
      </c>
      <c r="N128" s="615">
        <f t="shared" si="46"/>
        <v>10257.036635653316</v>
      </c>
      <c r="O128" s="615">
        <f t="shared" si="46"/>
        <v>10262.079655595535</v>
      </c>
      <c r="P128" s="615">
        <f t="shared" si="46"/>
        <v>10267.122675537754</v>
      </c>
      <c r="Q128" s="615">
        <f t="shared" si="46"/>
        <v>10272.165695479973</v>
      </c>
      <c r="R128" s="615">
        <f t="shared" si="46"/>
        <v>10277.208715422192</v>
      </c>
      <c r="S128" s="457"/>
      <c r="T128" s="34"/>
    </row>
    <row r="129" spans="1:25">
      <c r="A129" s="1"/>
      <c r="D129" s="16"/>
      <c r="E129" s="206"/>
      <c r="F129" s="206"/>
      <c r="G129" s="18"/>
      <c r="H129" s="12"/>
      <c r="I129" s="1"/>
      <c r="J129" s="1"/>
      <c r="K129" s="12"/>
      <c r="L129" s="12"/>
      <c r="M129" s="1"/>
      <c r="N129" s="1"/>
      <c r="O129" s="1"/>
      <c r="P129" s="1"/>
      <c r="Q129" s="1"/>
      <c r="R129" s="1"/>
      <c r="S129" s="34"/>
      <c r="T129" s="34"/>
    </row>
    <row r="130" spans="1:25">
      <c r="A130" s="860" t="s">
        <v>7</v>
      </c>
      <c r="D130" s="16"/>
      <c r="E130" s="206"/>
      <c r="F130" s="206"/>
      <c r="G130" s="18"/>
      <c r="H130" s="787">
        <v>0.05</v>
      </c>
      <c r="I130" s="788">
        <v>0.05</v>
      </c>
      <c r="J130" s="788">
        <v>0.05</v>
      </c>
      <c r="K130" s="788">
        <v>0.04</v>
      </c>
      <c r="L130" s="788">
        <v>0.04</v>
      </c>
      <c r="M130" s="788">
        <v>0.04</v>
      </c>
      <c r="N130" s="788">
        <f>M130</f>
        <v>0.04</v>
      </c>
      <c r="O130" s="788">
        <f>N130</f>
        <v>0.04</v>
      </c>
      <c r="P130" s="788">
        <v>0.03</v>
      </c>
      <c r="Q130" s="788">
        <f>P130</f>
        <v>0.03</v>
      </c>
      <c r="R130" s="788">
        <f>Q130</f>
        <v>0.03</v>
      </c>
      <c r="S130" s="949"/>
      <c r="T130" s="934"/>
    </row>
    <row r="131" spans="1:25">
      <c r="D131" s="16"/>
      <c r="E131" s="206"/>
      <c r="F131" s="206"/>
      <c r="G131" s="18"/>
      <c r="H131" s="787">
        <v>0.05</v>
      </c>
      <c r="I131" s="788">
        <v>9.5000000000000001E-2</v>
      </c>
      <c r="J131" s="788">
        <v>8.5500000000000007E-2</v>
      </c>
      <c r="K131" s="788">
        <v>7.6999999999999999E-2</v>
      </c>
      <c r="L131" s="788">
        <v>6.93E-2</v>
      </c>
      <c r="M131" s="788">
        <v>6.2300000000000001E-2</v>
      </c>
      <c r="N131" s="788">
        <v>5.8999999999999997E-2</v>
      </c>
      <c r="O131" s="788">
        <v>5.8999999999999997E-2</v>
      </c>
      <c r="P131" s="788">
        <v>5.91E-2</v>
      </c>
      <c r="Q131" s="788">
        <v>5.8999999999999997E-2</v>
      </c>
      <c r="R131" s="788">
        <v>5.91E-2</v>
      </c>
      <c r="S131" s="788">
        <v>5.8999999999999997E-2</v>
      </c>
      <c r="T131" s="788">
        <v>5.91E-2</v>
      </c>
      <c r="U131" s="788">
        <v>5.8999999999999997E-2</v>
      </c>
      <c r="V131" s="788">
        <v>5.91E-2</v>
      </c>
      <c r="W131" s="788">
        <v>5.8999999999999997E-2</v>
      </c>
      <c r="X131" s="788">
        <v>5.91E-2</v>
      </c>
      <c r="Y131" s="948">
        <v>2.9499999999999998E-2</v>
      </c>
    </row>
    <row r="132" spans="1:25">
      <c r="A132" s="2" t="s">
        <v>472</v>
      </c>
      <c r="B132" s="14"/>
      <c r="D132" s="16"/>
      <c r="E132" s="206"/>
      <c r="F132" s="206"/>
      <c r="G132" s="18"/>
      <c r="H132" s="1">
        <f t="shared" ref="H132:S132" si="47">H130*$C$125</f>
        <v>14195.664050000001</v>
      </c>
      <c r="I132" s="1">
        <f t="shared" si="47"/>
        <v>14195.664050000001</v>
      </c>
      <c r="J132" s="1">
        <f t="shared" si="47"/>
        <v>14195.664050000001</v>
      </c>
      <c r="K132" s="1">
        <f t="shared" si="47"/>
        <v>11356.53124</v>
      </c>
      <c r="L132" s="1">
        <f t="shared" si="47"/>
        <v>11356.53124</v>
      </c>
      <c r="M132" s="1">
        <f t="shared" si="47"/>
        <v>11356.53124</v>
      </c>
      <c r="N132" s="1">
        <f t="shared" si="47"/>
        <v>11356.53124</v>
      </c>
      <c r="O132" s="1">
        <f t="shared" si="47"/>
        <v>11356.53124</v>
      </c>
      <c r="P132" s="1">
        <f t="shared" si="47"/>
        <v>8517.3984300000011</v>
      </c>
      <c r="Q132" s="1">
        <f t="shared" si="47"/>
        <v>8517.3984300000011</v>
      </c>
      <c r="R132" s="1">
        <f t="shared" si="47"/>
        <v>8517.3984300000011</v>
      </c>
      <c r="S132" s="1">
        <f t="shared" si="47"/>
        <v>0</v>
      </c>
    </row>
    <row r="133" spans="1:25" ht="15">
      <c r="A133" s="2" t="s">
        <v>9</v>
      </c>
      <c r="B133" s="15"/>
      <c r="D133" s="16"/>
      <c r="E133" s="208"/>
      <c r="F133" s="208"/>
      <c r="G133" s="18"/>
      <c r="H133" s="5">
        <f t="shared" ref="H133:R133" si="48">H162</f>
        <v>8.1950000000000003</v>
      </c>
      <c r="I133" s="5">
        <f t="shared" si="48"/>
        <v>22.574694364193405</v>
      </c>
      <c r="J133" s="5">
        <f t="shared" si="48"/>
        <v>34.325613656160868</v>
      </c>
      <c r="K133" s="5">
        <f t="shared" si="48"/>
        <v>44.909636018931586</v>
      </c>
      <c r="L133" s="5">
        <f t="shared" si="48"/>
        <v>54.434065339789434</v>
      </c>
      <c r="M133" s="5">
        <f t="shared" si="48"/>
        <v>62.994578728561486</v>
      </c>
      <c r="N133" s="5">
        <f t="shared" si="48"/>
        <v>71.180934906346465</v>
      </c>
      <c r="O133" s="5">
        <f t="shared" si="48"/>
        <v>79.445884256094672</v>
      </c>
      <c r="P133" s="5">
        <f t="shared" si="48"/>
        <v>87.72722360584288</v>
      </c>
      <c r="Q133" s="5">
        <f t="shared" si="48"/>
        <v>95.989791344319485</v>
      </c>
      <c r="R133" s="5">
        <f t="shared" si="48"/>
        <v>104.27113069406769</v>
      </c>
      <c r="S133" s="5"/>
    </row>
    <row r="134" spans="1:25">
      <c r="A134" s="38" t="s">
        <v>220</v>
      </c>
      <c r="C134" s="794">
        <v>2</v>
      </c>
      <c r="D134" s="581">
        <f>D128*$C$134</f>
        <v>19837</v>
      </c>
      <c r="E134" s="581">
        <f>E128*$C$134</f>
        <v>33939.089999999997</v>
      </c>
      <c r="F134" s="581">
        <f>F128*$C$134</f>
        <v>33945.120000000003</v>
      </c>
      <c r="G134" s="581">
        <f>G128*$C$134</f>
        <v>20338.599999999999</v>
      </c>
      <c r="H134" s="615">
        <f t="shared" ref="H134:R134" si="49">SUM(H132:H133)</f>
        <v>14203.859050000001</v>
      </c>
      <c r="I134" s="615">
        <f t="shared" si="49"/>
        <v>14218.238744364195</v>
      </c>
      <c r="J134" s="615">
        <f t="shared" si="49"/>
        <v>14229.989663656163</v>
      </c>
      <c r="K134" s="615">
        <f t="shared" si="49"/>
        <v>11401.440876018933</v>
      </c>
      <c r="L134" s="566">
        <f t="shared" si="49"/>
        <v>11410.965305339791</v>
      </c>
      <c r="M134" s="566">
        <f t="shared" si="49"/>
        <v>11419.525818728562</v>
      </c>
      <c r="N134" s="615">
        <f t="shared" si="49"/>
        <v>11427.712174906346</v>
      </c>
      <c r="O134" s="615">
        <f t="shared" si="49"/>
        <v>11435.977124256095</v>
      </c>
      <c r="P134" s="615">
        <f t="shared" si="49"/>
        <v>8605.1256536058445</v>
      </c>
      <c r="Q134" s="615">
        <f t="shared" si="49"/>
        <v>8613.3882213443212</v>
      </c>
      <c r="R134" s="615">
        <f t="shared" si="49"/>
        <v>8621.6695606940684</v>
      </c>
      <c r="S134" s="1"/>
    </row>
    <row r="135" spans="1:25">
      <c r="D135" s="1">
        <f t="shared" ref="D135:R135" si="50">(D134-D128)*0.385</f>
        <v>3818.6224999999999</v>
      </c>
      <c r="E135" s="1">
        <f t="shared" si="50"/>
        <v>6533.2748249999995</v>
      </c>
      <c r="F135" s="1">
        <f t="shared" si="50"/>
        <v>6534.4356000000007</v>
      </c>
      <c r="G135" s="1">
        <f t="shared" si="50"/>
        <v>3915.1804999999999</v>
      </c>
      <c r="H135" s="1">
        <f t="shared" si="50"/>
        <v>1531.1760055900004</v>
      </c>
      <c r="I135" s="1">
        <f t="shared" si="50"/>
        <v>1534.7706252424605</v>
      </c>
      <c r="J135" s="1">
        <f t="shared" si="50"/>
        <v>1537.3531664921138</v>
      </c>
      <c r="K135" s="1">
        <f t="shared" si="50"/>
        <v>446.42032057402605</v>
      </c>
      <c r="L135" s="1">
        <f t="shared" si="50"/>
        <v>448.14566318480206</v>
      </c>
      <c r="M135" s="1">
        <f t="shared" si="50"/>
        <v>449.49989816172393</v>
      </c>
      <c r="N135" s="1">
        <f t="shared" si="50"/>
        <v>450.71008261241673</v>
      </c>
      <c r="O135" s="1">
        <f t="shared" si="50"/>
        <v>451.95052543431552</v>
      </c>
      <c r="P135" s="1">
        <f t="shared" si="50"/>
        <v>-639.86885344378516</v>
      </c>
      <c r="Q135" s="1">
        <f t="shared" si="50"/>
        <v>-638.62932754222584</v>
      </c>
      <c r="R135" s="1">
        <f t="shared" si="50"/>
        <v>-637.38257457032751</v>
      </c>
    </row>
    <row r="136" spans="1:25" hidden="1" outlineLevel="1">
      <c r="A136" t="s">
        <v>506</v>
      </c>
    </row>
    <row r="137" spans="1:25" hidden="1" outlineLevel="1">
      <c r="H137" s="256">
        <v>2001</v>
      </c>
      <c r="I137" s="289">
        <v>2002</v>
      </c>
      <c r="J137" s="289">
        <v>2003</v>
      </c>
      <c r="K137" s="289">
        <v>2004</v>
      </c>
      <c r="L137" s="289">
        <v>2005</v>
      </c>
      <c r="M137" s="289">
        <v>2006</v>
      </c>
      <c r="N137" s="293">
        <v>2007</v>
      </c>
      <c r="O137" s="293">
        <v>2008</v>
      </c>
      <c r="P137" s="293">
        <v>2009</v>
      </c>
      <c r="Q137" s="293">
        <v>2010</v>
      </c>
      <c r="R137" s="858">
        <v>2011</v>
      </c>
    </row>
    <row r="138" spans="1:25" hidden="1" outlineLevel="1">
      <c r="A138">
        <v>2000</v>
      </c>
      <c r="B138" t="s">
        <v>507</v>
      </c>
      <c r="H138" s="26">
        <f>G$107*H$125</f>
        <v>5.9003999999999994</v>
      </c>
      <c r="I138" s="26">
        <f t="shared" ref="I138:R138" si="51">H138</f>
        <v>5.9003999999999994</v>
      </c>
      <c r="J138" s="26">
        <f t="shared" si="51"/>
        <v>5.9003999999999994</v>
      </c>
      <c r="K138" s="26">
        <f t="shared" si="51"/>
        <v>5.9003999999999994</v>
      </c>
      <c r="L138" s="26">
        <f t="shared" si="51"/>
        <v>5.9003999999999994</v>
      </c>
      <c r="M138" s="26">
        <f t="shared" si="51"/>
        <v>5.9003999999999994</v>
      </c>
      <c r="N138" s="26">
        <f t="shared" si="51"/>
        <v>5.9003999999999994</v>
      </c>
      <c r="O138" s="26">
        <f t="shared" si="51"/>
        <v>5.9003999999999994</v>
      </c>
      <c r="P138" s="26">
        <f t="shared" si="51"/>
        <v>5.9003999999999994</v>
      </c>
      <c r="Q138" s="26">
        <f t="shared" si="51"/>
        <v>5.9003999999999994</v>
      </c>
      <c r="R138" s="26">
        <f t="shared" si="51"/>
        <v>5.9003999999999994</v>
      </c>
    </row>
    <row r="139" spans="1:25" hidden="1" outlineLevel="1">
      <c r="A139">
        <v>2001</v>
      </c>
      <c r="B139" t="s">
        <v>507</v>
      </c>
      <c r="H139" s="26"/>
      <c r="I139" s="26">
        <f>H$107*I$125</f>
        <v>5.0430199422192494</v>
      </c>
      <c r="J139" s="26">
        <f t="shared" ref="J139:R139" si="52">I139</f>
        <v>5.0430199422192494</v>
      </c>
      <c r="K139" s="26">
        <f t="shared" si="52"/>
        <v>5.0430199422192494</v>
      </c>
      <c r="L139" s="26">
        <f t="shared" si="52"/>
        <v>5.0430199422192494</v>
      </c>
      <c r="M139" s="26">
        <f t="shared" si="52"/>
        <v>5.0430199422192494</v>
      </c>
      <c r="N139" s="26">
        <f t="shared" si="52"/>
        <v>5.0430199422192494</v>
      </c>
      <c r="O139" s="26">
        <f t="shared" si="52"/>
        <v>5.0430199422192494</v>
      </c>
      <c r="P139" s="26">
        <f t="shared" si="52"/>
        <v>5.0430199422192494</v>
      </c>
      <c r="Q139" s="26">
        <f t="shared" si="52"/>
        <v>5.0430199422192494</v>
      </c>
      <c r="R139" s="26">
        <f t="shared" si="52"/>
        <v>5.0430199422192494</v>
      </c>
    </row>
    <row r="140" spans="1:25" hidden="1" outlineLevel="1">
      <c r="A140">
        <v>2002</v>
      </c>
      <c r="B140" t="s">
        <v>507</v>
      </c>
      <c r="H140" s="26"/>
      <c r="I140" s="26"/>
      <c r="J140" s="26">
        <f>I$107*J$125</f>
        <v>5.0430199422192494</v>
      </c>
      <c r="K140" s="26">
        <f t="shared" ref="K140:R140" si="53">J140</f>
        <v>5.0430199422192494</v>
      </c>
      <c r="L140" s="26">
        <f t="shared" si="53"/>
        <v>5.0430199422192494</v>
      </c>
      <c r="M140" s="26">
        <f t="shared" si="53"/>
        <v>5.0430199422192494</v>
      </c>
      <c r="N140" s="26">
        <f t="shared" si="53"/>
        <v>5.0430199422192494</v>
      </c>
      <c r="O140" s="26">
        <f t="shared" si="53"/>
        <v>5.0430199422192494</v>
      </c>
      <c r="P140" s="26">
        <f t="shared" si="53"/>
        <v>5.0430199422192494</v>
      </c>
      <c r="Q140" s="26">
        <f t="shared" si="53"/>
        <v>5.0430199422192494</v>
      </c>
      <c r="R140" s="26">
        <f t="shared" si="53"/>
        <v>5.0430199422192494</v>
      </c>
    </row>
    <row r="141" spans="1:25" hidden="1" outlineLevel="1">
      <c r="A141">
        <v>2003</v>
      </c>
      <c r="B141" t="s">
        <v>507</v>
      </c>
      <c r="H141" s="26"/>
      <c r="I141" s="26"/>
      <c r="J141" s="26"/>
      <c r="K141" s="26">
        <f>J$107*K$125</f>
        <v>5.0430199422192494</v>
      </c>
      <c r="L141" s="26">
        <f t="shared" ref="L141:R141" si="54">K141</f>
        <v>5.0430199422192494</v>
      </c>
      <c r="M141" s="26">
        <f t="shared" si="54"/>
        <v>5.0430199422192494</v>
      </c>
      <c r="N141" s="26">
        <f t="shared" si="54"/>
        <v>5.0430199422192494</v>
      </c>
      <c r="O141" s="26">
        <f t="shared" si="54"/>
        <v>5.0430199422192494</v>
      </c>
      <c r="P141" s="26">
        <f t="shared" si="54"/>
        <v>5.0430199422192494</v>
      </c>
      <c r="Q141" s="26">
        <f t="shared" si="54"/>
        <v>5.0430199422192494</v>
      </c>
      <c r="R141" s="26">
        <f t="shared" si="54"/>
        <v>5.0430199422192494</v>
      </c>
    </row>
    <row r="142" spans="1:25" hidden="1" outlineLevel="1">
      <c r="A142">
        <v>2004</v>
      </c>
      <c r="B142" t="s">
        <v>507</v>
      </c>
      <c r="H142" s="26"/>
      <c r="I142" s="26"/>
      <c r="J142" s="26"/>
      <c r="K142" s="26"/>
      <c r="L142" s="26">
        <f>K$107*L$125</f>
        <v>5.0430199422192494</v>
      </c>
      <c r="M142" s="26">
        <f t="shared" ref="M142:R142" si="55">L142</f>
        <v>5.0430199422192494</v>
      </c>
      <c r="N142" s="26">
        <f t="shared" si="55"/>
        <v>5.0430199422192494</v>
      </c>
      <c r="O142" s="26">
        <f t="shared" si="55"/>
        <v>5.0430199422192494</v>
      </c>
      <c r="P142" s="26">
        <f t="shared" si="55"/>
        <v>5.0430199422192494</v>
      </c>
      <c r="Q142" s="26">
        <f t="shared" si="55"/>
        <v>5.0430199422192494</v>
      </c>
      <c r="R142" s="26">
        <f t="shared" si="55"/>
        <v>5.0430199422192494</v>
      </c>
    </row>
    <row r="143" spans="1:25" hidden="1" outlineLevel="1">
      <c r="A143">
        <v>2005</v>
      </c>
      <c r="B143" t="s">
        <v>507</v>
      </c>
      <c r="H143" s="26"/>
      <c r="I143" s="26"/>
      <c r="J143" s="26"/>
      <c r="K143" s="26"/>
      <c r="L143" s="26"/>
      <c r="M143" s="26">
        <f>L$107*M$125</f>
        <v>5.0430199422192494</v>
      </c>
      <c r="N143" s="26">
        <f>M143</f>
        <v>5.0430199422192494</v>
      </c>
      <c r="O143" s="26">
        <f>N143</f>
        <v>5.0430199422192494</v>
      </c>
      <c r="P143" s="26">
        <f>O143</f>
        <v>5.0430199422192494</v>
      </c>
      <c r="Q143" s="26">
        <f>P143</f>
        <v>5.0430199422192494</v>
      </c>
      <c r="R143" s="26">
        <f>Q143</f>
        <v>5.0430199422192494</v>
      </c>
    </row>
    <row r="144" spans="1:25" hidden="1" outlineLevel="1">
      <c r="A144">
        <v>2006</v>
      </c>
      <c r="B144" t="s">
        <v>507</v>
      </c>
      <c r="H144" s="26"/>
      <c r="I144" s="26"/>
      <c r="J144" s="26"/>
      <c r="K144" s="26"/>
      <c r="L144" s="26"/>
      <c r="M144" s="26"/>
      <c r="N144" s="26">
        <f>M$107*N$125</f>
        <v>5.0430199422192494</v>
      </c>
      <c r="O144" s="26">
        <f>N144</f>
        <v>5.0430199422192494</v>
      </c>
      <c r="P144" s="26">
        <f>O144</f>
        <v>5.0430199422192494</v>
      </c>
      <c r="Q144" s="26">
        <f>P144</f>
        <v>5.0430199422192494</v>
      </c>
      <c r="R144" s="26">
        <f>Q144</f>
        <v>5.0430199422192494</v>
      </c>
    </row>
    <row r="145" spans="1:18" hidden="1" outlineLevel="1">
      <c r="A145">
        <v>2007</v>
      </c>
      <c r="B145" t="s">
        <v>507</v>
      </c>
      <c r="H145" s="26"/>
      <c r="I145" s="26"/>
      <c r="J145" s="26"/>
      <c r="K145" s="26"/>
      <c r="L145" s="26"/>
      <c r="M145" s="26"/>
      <c r="N145" s="26"/>
      <c r="O145" s="26">
        <f>N$107*O$125</f>
        <v>5.0430199422192494</v>
      </c>
      <c r="P145" s="26">
        <f>O145</f>
        <v>5.0430199422192494</v>
      </c>
      <c r="Q145" s="26">
        <f>P145</f>
        <v>5.0430199422192494</v>
      </c>
      <c r="R145" s="26">
        <f>Q145</f>
        <v>5.0430199422192494</v>
      </c>
    </row>
    <row r="146" spans="1:18" hidden="1" outlineLevel="1">
      <c r="A146">
        <v>2008</v>
      </c>
      <c r="B146" t="s">
        <v>507</v>
      </c>
      <c r="H146" s="26"/>
      <c r="I146" s="26"/>
      <c r="J146" s="26"/>
      <c r="K146" s="26"/>
      <c r="L146" s="26"/>
      <c r="M146" s="26"/>
      <c r="N146" s="26"/>
      <c r="O146" s="26"/>
      <c r="P146" s="26">
        <f>O$107*P$125</f>
        <v>5.0430199422192494</v>
      </c>
      <c r="Q146" s="26">
        <f>P146</f>
        <v>5.0430199422192494</v>
      </c>
      <c r="R146" s="26">
        <f>Q146</f>
        <v>5.0430199422192494</v>
      </c>
    </row>
    <row r="147" spans="1:18" hidden="1" outlineLevel="1">
      <c r="A147">
        <v>2009</v>
      </c>
      <c r="B147" t="s">
        <v>507</v>
      </c>
      <c r="H147" s="26"/>
      <c r="I147" s="26"/>
      <c r="J147" s="26"/>
      <c r="K147" s="26"/>
      <c r="L147" s="26"/>
      <c r="M147" s="26"/>
      <c r="N147" s="26"/>
      <c r="O147" s="26"/>
      <c r="P147" s="26"/>
      <c r="Q147" s="26">
        <f>P$107*Q$125</f>
        <v>5.0430199422192494</v>
      </c>
      <c r="R147" s="26">
        <f>Q147</f>
        <v>5.0430199422192494</v>
      </c>
    </row>
    <row r="148" spans="1:18" hidden="1" outlineLevel="1">
      <c r="A148">
        <v>2010</v>
      </c>
      <c r="B148" t="s">
        <v>507</v>
      </c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>
        <f>Q$107*R$125</f>
        <v>5.0430199422192494</v>
      </c>
    </row>
    <row r="149" spans="1:18" hidden="1" outlineLevel="1">
      <c r="A149" t="s">
        <v>221</v>
      </c>
      <c r="H149" s="859">
        <f t="shared" ref="H149:R149" si="56">SUM(H138:H148)</f>
        <v>5.9003999999999994</v>
      </c>
      <c r="I149" s="859">
        <f t="shared" si="56"/>
        <v>10.943419942219249</v>
      </c>
      <c r="J149" s="859">
        <f t="shared" si="56"/>
        <v>15.986439884438498</v>
      </c>
      <c r="K149" s="859">
        <f t="shared" si="56"/>
        <v>21.029459826657749</v>
      </c>
      <c r="L149" s="859">
        <f t="shared" si="56"/>
        <v>26.072479768876999</v>
      </c>
      <c r="M149" s="859">
        <f t="shared" si="56"/>
        <v>31.115499711096248</v>
      </c>
      <c r="N149" s="859">
        <f t="shared" si="56"/>
        <v>36.158519653315494</v>
      </c>
      <c r="O149" s="859">
        <f t="shared" si="56"/>
        <v>41.20153959553474</v>
      </c>
      <c r="P149" s="859">
        <f t="shared" si="56"/>
        <v>46.244559537753986</v>
      </c>
      <c r="Q149" s="859">
        <f t="shared" si="56"/>
        <v>51.287579479973232</v>
      </c>
      <c r="R149" s="859">
        <f t="shared" si="56"/>
        <v>56.330599422192478</v>
      </c>
    </row>
    <row r="150" spans="1:18" hidden="1" outlineLevel="1"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 spans="1:18" hidden="1" outlineLevel="1">
      <c r="A151">
        <v>2000</v>
      </c>
      <c r="B151" t="s">
        <v>507</v>
      </c>
      <c r="H151" s="26">
        <f t="shared" ref="H151:R151" si="57">$G$107*H$131</f>
        <v>8.1950000000000003</v>
      </c>
      <c r="I151" s="26">
        <f t="shared" si="57"/>
        <v>15.570500000000001</v>
      </c>
      <c r="J151" s="26">
        <f t="shared" si="57"/>
        <v>14.013450000000002</v>
      </c>
      <c r="K151" s="26">
        <f t="shared" si="57"/>
        <v>12.6203</v>
      </c>
      <c r="L151" s="26">
        <f t="shared" si="57"/>
        <v>11.358270000000001</v>
      </c>
      <c r="M151" s="26">
        <f t="shared" si="57"/>
        <v>10.210970000000001</v>
      </c>
      <c r="N151" s="26">
        <f t="shared" si="57"/>
        <v>9.6700999999999997</v>
      </c>
      <c r="O151" s="26">
        <f t="shared" si="57"/>
        <v>9.6700999999999997</v>
      </c>
      <c r="P151" s="26">
        <f t="shared" si="57"/>
        <v>9.6864900000000009</v>
      </c>
      <c r="Q151" s="26">
        <f t="shared" si="57"/>
        <v>9.6700999999999997</v>
      </c>
      <c r="R151" s="26">
        <f t="shared" si="57"/>
        <v>9.6864900000000009</v>
      </c>
    </row>
    <row r="152" spans="1:18" hidden="1" outlineLevel="1">
      <c r="A152">
        <v>2001</v>
      </c>
      <c r="B152" t="s">
        <v>507</v>
      </c>
      <c r="H152" s="26"/>
      <c r="I152" s="26">
        <f t="shared" ref="I152:R152" si="58">$H$107*H$131</f>
        <v>7.0041943641934026</v>
      </c>
      <c r="J152" s="26">
        <f t="shared" si="58"/>
        <v>13.307969291967465</v>
      </c>
      <c r="K152" s="26">
        <f t="shared" si="58"/>
        <v>11.97717236277072</v>
      </c>
      <c r="L152" s="26">
        <f t="shared" si="58"/>
        <v>10.786459320857841</v>
      </c>
      <c r="M152" s="26">
        <f t="shared" si="58"/>
        <v>9.7078133887720561</v>
      </c>
      <c r="N152" s="26">
        <f t="shared" si="58"/>
        <v>8.7272261777849796</v>
      </c>
      <c r="O152" s="26">
        <f t="shared" si="58"/>
        <v>8.264949349748214</v>
      </c>
      <c r="P152" s="26">
        <f t="shared" si="58"/>
        <v>8.264949349748214</v>
      </c>
      <c r="Q152" s="26">
        <f t="shared" si="58"/>
        <v>8.2789577384766027</v>
      </c>
      <c r="R152" s="26">
        <f t="shared" si="58"/>
        <v>8.264949349748214</v>
      </c>
    </row>
    <row r="153" spans="1:18" hidden="1" outlineLevel="1">
      <c r="A153">
        <v>2002</v>
      </c>
      <c r="B153" t="s">
        <v>507</v>
      </c>
      <c r="H153" s="26"/>
      <c r="I153" s="26"/>
      <c r="J153" s="26">
        <f t="shared" ref="J153:R153" si="59">$I$107*H$131</f>
        <v>7.0041943641934026</v>
      </c>
      <c r="K153" s="26">
        <f t="shared" si="59"/>
        <v>13.307969291967465</v>
      </c>
      <c r="L153" s="26">
        <f t="shared" si="59"/>
        <v>11.97717236277072</v>
      </c>
      <c r="M153" s="26">
        <f t="shared" si="59"/>
        <v>10.786459320857841</v>
      </c>
      <c r="N153" s="26">
        <f t="shared" si="59"/>
        <v>9.7078133887720561</v>
      </c>
      <c r="O153" s="26">
        <f t="shared" si="59"/>
        <v>8.7272261777849796</v>
      </c>
      <c r="P153" s="26">
        <f t="shared" si="59"/>
        <v>8.264949349748214</v>
      </c>
      <c r="Q153" s="26">
        <f t="shared" si="59"/>
        <v>8.264949349748214</v>
      </c>
      <c r="R153" s="26">
        <f t="shared" si="59"/>
        <v>8.2789577384766027</v>
      </c>
    </row>
    <row r="154" spans="1:18" hidden="1" outlineLevel="1">
      <c r="A154">
        <v>2003</v>
      </c>
      <c r="B154" t="s">
        <v>507</v>
      </c>
      <c r="H154" s="26"/>
      <c r="I154" s="26"/>
      <c r="J154" s="26"/>
      <c r="K154" s="26">
        <f t="shared" ref="K154:R154" si="60">$J$107*H$131</f>
        <v>7.0041943641934026</v>
      </c>
      <c r="L154" s="26">
        <f t="shared" si="60"/>
        <v>13.307969291967465</v>
      </c>
      <c r="M154" s="26">
        <f t="shared" si="60"/>
        <v>11.97717236277072</v>
      </c>
      <c r="N154" s="26">
        <f t="shared" si="60"/>
        <v>10.786459320857841</v>
      </c>
      <c r="O154" s="26">
        <f t="shared" si="60"/>
        <v>9.7078133887720561</v>
      </c>
      <c r="P154" s="26">
        <f t="shared" si="60"/>
        <v>8.7272261777849796</v>
      </c>
      <c r="Q154" s="26">
        <f t="shared" si="60"/>
        <v>8.264949349748214</v>
      </c>
      <c r="R154" s="26">
        <f t="shared" si="60"/>
        <v>8.264949349748214</v>
      </c>
    </row>
    <row r="155" spans="1:18" hidden="1" outlineLevel="1">
      <c r="A155">
        <v>2004</v>
      </c>
      <c r="B155" t="s">
        <v>507</v>
      </c>
      <c r="H155" s="26"/>
      <c r="I155" s="26"/>
      <c r="J155" s="26"/>
      <c r="K155" s="26"/>
      <c r="L155" s="26">
        <f t="shared" ref="L155:R155" si="61">$K$107*H$131</f>
        <v>7.0041943641934026</v>
      </c>
      <c r="M155" s="26">
        <f t="shared" si="61"/>
        <v>13.307969291967465</v>
      </c>
      <c r="N155" s="26">
        <f t="shared" si="61"/>
        <v>11.97717236277072</v>
      </c>
      <c r="O155" s="26">
        <f t="shared" si="61"/>
        <v>10.786459320857841</v>
      </c>
      <c r="P155" s="26">
        <f t="shared" si="61"/>
        <v>9.7078133887720561</v>
      </c>
      <c r="Q155" s="26">
        <f t="shared" si="61"/>
        <v>8.7272261777849796</v>
      </c>
      <c r="R155" s="26">
        <f t="shared" si="61"/>
        <v>8.264949349748214</v>
      </c>
    </row>
    <row r="156" spans="1:18" hidden="1" outlineLevel="1">
      <c r="A156">
        <v>2005</v>
      </c>
      <c r="B156" t="s">
        <v>507</v>
      </c>
      <c r="H156" s="26"/>
      <c r="I156" s="26"/>
      <c r="J156" s="26"/>
      <c r="K156" s="26"/>
      <c r="L156" s="26"/>
      <c r="M156" s="26">
        <f t="shared" ref="M156:R156" si="62">$L$107*H$131</f>
        <v>7.0041943641934026</v>
      </c>
      <c r="N156" s="26">
        <f t="shared" si="62"/>
        <v>13.307969291967465</v>
      </c>
      <c r="O156" s="26">
        <f t="shared" si="62"/>
        <v>11.97717236277072</v>
      </c>
      <c r="P156" s="26">
        <f t="shared" si="62"/>
        <v>10.786459320857841</v>
      </c>
      <c r="Q156" s="26">
        <f t="shared" si="62"/>
        <v>9.7078133887720561</v>
      </c>
      <c r="R156" s="26">
        <f t="shared" si="62"/>
        <v>8.7272261777849796</v>
      </c>
    </row>
    <row r="157" spans="1:18" hidden="1" outlineLevel="1">
      <c r="A157">
        <v>2006</v>
      </c>
      <c r="B157" t="s">
        <v>507</v>
      </c>
      <c r="H157" s="26"/>
      <c r="I157" s="26"/>
      <c r="J157" s="26"/>
      <c r="K157" s="26"/>
      <c r="L157" s="26"/>
      <c r="M157" s="26"/>
      <c r="N157" s="26">
        <f>$M$107*H$131</f>
        <v>7.0041943641934026</v>
      </c>
      <c r="O157" s="26">
        <f>$M$107*I$131</f>
        <v>13.307969291967465</v>
      </c>
      <c r="P157" s="26">
        <f>$M$107*J$131</f>
        <v>11.97717236277072</v>
      </c>
      <c r="Q157" s="26">
        <f>$M$107*K$131</f>
        <v>10.786459320857841</v>
      </c>
      <c r="R157" s="26">
        <f>$M$107*L$131</f>
        <v>9.7078133887720561</v>
      </c>
    </row>
    <row r="158" spans="1:18" hidden="1" outlineLevel="1">
      <c r="A158">
        <v>2007</v>
      </c>
      <c r="B158" t="s">
        <v>507</v>
      </c>
      <c r="H158" s="26"/>
      <c r="I158" s="26"/>
      <c r="J158" s="26"/>
      <c r="K158" s="26"/>
      <c r="L158" s="26"/>
      <c r="M158" s="26"/>
      <c r="N158" s="26"/>
      <c r="O158" s="26">
        <f>$N$107*H$131</f>
        <v>7.0041943641934026</v>
      </c>
      <c r="P158" s="26">
        <f>$N$107*I$131</f>
        <v>13.307969291967465</v>
      </c>
      <c r="Q158" s="26">
        <f>$N$107*J$131</f>
        <v>11.97717236277072</v>
      </c>
      <c r="R158" s="26">
        <f>$N$107*K$131</f>
        <v>10.786459320857841</v>
      </c>
    </row>
    <row r="159" spans="1:18" hidden="1" outlineLevel="1">
      <c r="A159">
        <v>2008</v>
      </c>
      <c r="B159" t="s">
        <v>507</v>
      </c>
      <c r="H159" s="26"/>
      <c r="I159" s="26"/>
      <c r="J159" s="26"/>
      <c r="K159" s="26"/>
      <c r="L159" s="26"/>
      <c r="M159" s="26"/>
      <c r="N159" s="26"/>
      <c r="O159" s="26"/>
      <c r="P159" s="26">
        <f>$O$107*H$131</f>
        <v>7.0041943641934026</v>
      </c>
      <c r="Q159" s="26">
        <f>$O$107*I$131</f>
        <v>13.307969291967465</v>
      </c>
      <c r="R159" s="26">
        <f>$O$107*J$131</f>
        <v>11.97717236277072</v>
      </c>
    </row>
    <row r="160" spans="1:18" hidden="1" outlineLevel="1">
      <c r="A160">
        <v>2009</v>
      </c>
      <c r="B160" t="s">
        <v>507</v>
      </c>
      <c r="H160" s="26"/>
      <c r="I160" s="26"/>
      <c r="J160" s="26"/>
      <c r="K160" s="26"/>
      <c r="L160" s="26"/>
      <c r="M160" s="26"/>
      <c r="N160" s="26"/>
      <c r="O160" s="26"/>
      <c r="P160" s="26"/>
      <c r="Q160" s="26">
        <f>$P$107*H$131</f>
        <v>7.0041943641934026</v>
      </c>
      <c r="R160" s="26">
        <f>$P$107*I$131</f>
        <v>13.307969291967465</v>
      </c>
    </row>
    <row r="161" spans="1:18" hidden="1" outlineLevel="1">
      <c r="A161">
        <v>2010</v>
      </c>
      <c r="B161" t="s">
        <v>507</v>
      </c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>
        <f>Q$107*H$131</f>
        <v>7.0041943641934026</v>
      </c>
    </row>
    <row r="162" spans="1:18" hidden="1" outlineLevel="1">
      <c r="H162" s="859">
        <f t="shared" ref="H162:R162" si="63">SUM(H151:H161)</f>
        <v>8.1950000000000003</v>
      </c>
      <c r="I162" s="859">
        <f t="shared" si="63"/>
        <v>22.574694364193405</v>
      </c>
      <c r="J162" s="859">
        <f t="shared" si="63"/>
        <v>34.325613656160868</v>
      </c>
      <c r="K162" s="859">
        <f t="shared" si="63"/>
        <v>44.909636018931586</v>
      </c>
      <c r="L162" s="859">
        <f t="shared" si="63"/>
        <v>54.434065339789434</v>
      </c>
      <c r="M162" s="859">
        <f t="shared" si="63"/>
        <v>62.994578728561486</v>
      </c>
      <c r="N162" s="859">
        <f t="shared" si="63"/>
        <v>71.180934906346465</v>
      </c>
      <c r="O162" s="859">
        <f t="shared" si="63"/>
        <v>79.445884256094672</v>
      </c>
      <c r="P162" s="859">
        <f t="shared" si="63"/>
        <v>87.72722360584288</v>
      </c>
      <c r="Q162" s="859">
        <f t="shared" si="63"/>
        <v>95.989791344319485</v>
      </c>
      <c r="R162" s="859">
        <f t="shared" si="63"/>
        <v>104.27113069406769</v>
      </c>
    </row>
    <row r="163" spans="1:18" collapsed="1">
      <c r="D163" s="1"/>
      <c r="E163" s="27">
        <f>47300-48700</f>
        <v>-1400</v>
      </c>
      <c r="F163" s="12">
        <f>37700-47300</f>
        <v>-9600</v>
      </c>
      <c r="G163" s="27">
        <f>41600-37700</f>
        <v>3900</v>
      </c>
    </row>
  </sheetData>
  <mergeCells count="1">
    <mergeCell ref="L40:N40"/>
  </mergeCells>
  <phoneticPr fontId="0" type="noConversion"/>
  <conditionalFormatting sqref="C11">
    <cfRule type="cellIs" dxfId="1" priority="1" stopIfTrue="1" operator="notBetween">
      <formula>0.25</formula>
      <formula>-0.25</formula>
    </cfRule>
  </conditionalFormatting>
  <printOptions horizontalCentered="1"/>
  <pageMargins left="0" right="0" top="0" bottom="0.25" header="0" footer="0"/>
  <pageSetup scale="43" orientation="landscape" r:id="rId1"/>
  <headerFooter alignWithMargins="0">
    <oddFooter>&amp;R&amp;F
&amp;A
&amp;D, &amp;T</oddFooter>
  </headerFooter>
  <rowBreaks count="1" manualBreakCount="1">
    <brk id="44" max="17" man="1"/>
  </rowBreak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V62"/>
  <sheetViews>
    <sheetView showGridLines="0" zoomScale="75" zoomScaleNormal="75" workbookViewId="0">
      <selection activeCell="C6" sqref="C6"/>
    </sheetView>
  </sheetViews>
  <sheetFormatPr defaultRowHeight="12.75" outlineLevelRow="1"/>
  <cols>
    <col min="1" max="1" width="11.140625" customWidth="1"/>
    <col min="2" max="2" width="10" customWidth="1"/>
    <col min="3" max="7" width="11" customWidth="1"/>
    <col min="8" max="8" width="12.5703125" customWidth="1"/>
    <col min="9" max="9" width="12" customWidth="1"/>
    <col min="10" max="11" width="12.5703125" customWidth="1"/>
    <col min="12" max="12" width="12.42578125" customWidth="1"/>
    <col min="13" max="13" width="12.28515625" customWidth="1"/>
    <col min="14" max="14" width="11" customWidth="1"/>
    <col min="15" max="15" width="12" customWidth="1"/>
    <col min="16" max="16" width="11" customWidth="1"/>
    <col min="17" max="17" width="11.5703125" customWidth="1"/>
    <col min="18" max="22" width="11" customWidth="1"/>
  </cols>
  <sheetData>
    <row r="1" spans="1:22" ht="18">
      <c r="A1" s="478" t="str">
        <f>Assumptions!D6</f>
        <v>ETS</v>
      </c>
      <c r="B1" s="516"/>
      <c r="C1" s="114"/>
      <c r="D1" s="114"/>
      <c r="E1" s="115"/>
    </row>
    <row r="2" spans="1:22" ht="15.75">
      <c r="A2" s="637" t="s">
        <v>340</v>
      </c>
      <c r="B2" s="638"/>
      <c r="C2" s="34"/>
      <c r="D2" s="34"/>
      <c r="E2" s="117"/>
    </row>
    <row r="3" spans="1:22" ht="16.5" thickBot="1">
      <c r="A3" s="479"/>
      <c r="B3" s="517"/>
      <c r="C3" s="120"/>
      <c r="D3" s="120"/>
      <c r="E3" s="121"/>
    </row>
    <row r="5" spans="1:22" outlineLevel="1">
      <c r="A5" s="494" t="s">
        <v>303</v>
      </c>
      <c r="B5" s="495"/>
      <c r="C5" s="498">
        <f>Salvage_Multiple</f>
        <v>9</v>
      </c>
    </row>
    <row r="6" spans="1:22" outlineLevel="1">
      <c r="A6" s="497" t="s">
        <v>304</v>
      </c>
      <c r="B6" s="292"/>
      <c r="C6" s="555">
        <f>+ConsDRate</f>
        <v>7.4999999999999997E-2</v>
      </c>
    </row>
    <row r="7" spans="1:22" outlineLevel="1"/>
    <row r="8" spans="1:22" ht="15.75">
      <c r="A8" s="483" t="s">
        <v>305</v>
      </c>
      <c r="B8" s="379"/>
      <c r="C8" s="379"/>
      <c r="D8" s="379"/>
      <c r="E8" s="379"/>
      <c r="F8" s="379"/>
      <c r="G8" s="379"/>
      <c r="H8" s="379"/>
      <c r="I8" s="379"/>
      <c r="J8" s="379"/>
      <c r="K8" s="379"/>
      <c r="L8" s="379"/>
      <c r="M8" s="379"/>
      <c r="N8" s="24"/>
      <c r="O8" s="24"/>
      <c r="P8" s="24"/>
      <c r="Q8" s="24"/>
      <c r="R8" s="24"/>
      <c r="S8" s="24"/>
      <c r="T8" s="24"/>
      <c r="U8" s="24"/>
      <c r="V8" s="24"/>
    </row>
    <row r="9" spans="1:22" s="24" customFormat="1" ht="15.75">
      <c r="A9" s="170" t="s">
        <v>308</v>
      </c>
    </row>
    <row r="10" spans="1:22" s="24" customFormat="1" ht="15.75">
      <c r="A10" s="560"/>
      <c r="B10" s="64"/>
      <c r="C10" s="1032" t="s">
        <v>303</v>
      </c>
      <c r="D10" s="1032"/>
      <c r="E10" s="1032"/>
      <c r="F10" s="1032"/>
      <c r="G10" s="1032"/>
      <c r="H10" s="1032"/>
      <c r="I10" s="1032"/>
      <c r="J10" s="1032"/>
      <c r="K10" s="1032"/>
      <c r="L10" s="1032"/>
      <c r="M10" s="1033"/>
      <c r="N10"/>
      <c r="O10"/>
      <c r="P10"/>
      <c r="Q10"/>
      <c r="R10" s="43"/>
      <c r="S10" s="43"/>
      <c r="T10" s="43"/>
      <c r="U10" s="43"/>
      <c r="V10" s="43"/>
    </row>
    <row r="11" spans="1:22">
      <c r="A11" s="593"/>
      <c r="B11" s="594">
        <f>'Unlev. Consolid'!O120</f>
        <v>6435168.6111766845</v>
      </c>
      <c r="C11" s="600">
        <v>5</v>
      </c>
      <c r="D11" s="600">
        <v>6</v>
      </c>
      <c r="E11" s="600">
        <v>7</v>
      </c>
      <c r="F11" s="600">
        <v>8</v>
      </c>
      <c r="G11" s="600">
        <v>9</v>
      </c>
      <c r="H11" s="600">
        <v>10</v>
      </c>
      <c r="I11" s="600">
        <v>11</v>
      </c>
      <c r="J11" s="600">
        <v>12</v>
      </c>
      <c r="K11" s="600">
        <v>13</v>
      </c>
      <c r="L11" s="600">
        <v>14</v>
      </c>
      <c r="M11" s="600">
        <v>15</v>
      </c>
      <c r="N11" s="663"/>
      <c r="O11" s="663"/>
      <c r="P11" s="663"/>
      <c r="Q11" s="663"/>
      <c r="R11" s="663"/>
      <c r="S11" s="663"/>
      <c r="T11" s="663"/>
      <c r="U11" s="663"/>
      <c r="V11" s="663"/>
    </row>
    <row r="12" spans="1:22">
      <c r="A12" s="593"/>
      <c r="B12" s="603">
        <v>0.06</v>
      </c>
      <c r="C12" s="604">
        <f t="dataTable" ref="C12:M29" dt2D="1" dtr="0" r1="C5" r2="C6"/>
        <v>4869214.2034615297</v>
      </c>
      <c r="D12" s="612">
        <v>5556485.4912342913</v>
      </c>
      <c r="E12" s="612">
        <v>6243756.7790070493</v>
      </c>
      <c r="F12" s="612">
        <v>6931028.0667798091</v>
      </c>
      <c r="G12" s="612">
        <v>7618299.354552567</v>
      </c>
      <c r="H12" s="612">
        <v>8305570.6423253287</v>
      </c>
      <c r="I12" s="612">
        <v>8992841.9300980885</v>
      </c>
      <c r="J12" s="612">
        <v>9680113.2178708464</v>
      </c>
      <c r="K12" s="612">
        <v>10367384.505643606</v>
      </c>
      <c r="L12" s="612">
        <v>11054655.793416366</v>
      </c>
      <c r="M12" s="612">
        <v>11741927.081189124</v>
      </c>
      <c r="N12" s="532"/>
      <c r="O12" s="532"/>
      <c r="P12" s="532"/>
      <c r="Q12" s="532"/>
      <c r="R12" s="455"/>
      <c r="S12" s="455"/>
      <c r="T12" s="455"/>
      <c r="U12" s="455"/>
      <c r="V12" s="455"/>
    </row>
    <row r="13" spans="1:22">
      <c r="A13" s="593"/>
      <c r="B13" s="605">
        <v>6.5000000000000002E-2</v>
      </c>
      <c r="C13" s="602">
        <v>4582638.060090269</v>
      </c>
      <c r="D13" s="613">
        <v>5238316.3070913609</v>
      </c>
      <c r="E13" s="613">
        <v>5893994.5540924538</v>
      </c>
      <c r="F13" s="613">
        <v>6549672.8010935448</v>
      </c>
      <c r="G13" s="613">
        <v>7205351.0480946377</v>
      </c>
      <c r="H13" s="613">
        <v>7861029.2950957287</v>
      </c>
      <c r="I13" s="613">
        <v>8516707.5420968235</v>
      </c>
      <c r="J13" s="613">
        <v>9172385.7890979145</v>
      </c>
      <c r="K13" s="613">
        <v>9828064.0360990074</v>
      </c>
      <c r="L13" s="613">
        <v>10483742.283100102</v>
      </c>
      <c r="M13" s="613">
        <v>11139420.530101191</v>
      </c>
      <c r="N13" s="532"/>
      <c r="O13" s="532"/>
      <c r="P13" s="532"/>
      <c r="Q13" s="532"/>
      <c r="R13" s="455"/>
      <c r="S13" s="455"/>
      <c r="T13" s="455"/>
      <c r="U13" s="455"/>
      <c r="V13" s="455"/>
    </row>
    <row r="14" spans="1:22">
      <c r="A14" s="593"/>
      <c r="B14" s="603">
        <v>7.0000000000000007E-2</v>
      </c>
      <c r="C14" s="604">
        <v>4308599.823198555</v>
      </c>
      <c r="D14" s="612">
        <v>4934275.2182549573</v>
      </c>
      <c r="E14" s="612">
        <v>5559950.6133113597</v>
      </c>
      <c r="F14" s="612">
        <v>6185626.0083677638</v>
      </c>
      <c r="G14" s="612">
        <v>6811301.4034241643</v>
      </c>
      <c r="H14" s="612">
        <v>7436976.7984805666</v>
      </c>
      <c r="I14" s="612">
        <v>8062652.1935369708</v>
      </c>
      <c r="J14" s="612">
        <v>8688327.5885933712</v>
      </c>
      <c r="K14" s="612">
        <v>9314002.9836497735</v>
      </c>
      <c r="L14" s="612">
        <v>9939678.3787061777</v>
      </c>
      <c r="M14" s="612">
        <v>10565353.773762576</v>
      </c>
      <c r="N14" s="532"/>
      <c r="O14" s="532"/>
      <c r="P14" s="532"/>
      <c r="Q14" s="532"/>
      <c r="R14" s="455"/>
      <c r="S14" s="455"/>
      <c r="T14" s="455"/>
      <c r="U14" s="455"/>
      <c r="V14" s="455"/>
    </row>
    <row r="15" spans="1:22">
      <c r="A15" s="593"/>
      <c r="B15" s="606">
        <v>7.4999999999999997E-2</v>
      </c>
      <c r="C15" s="602">
        <v>4046465.3516978761</v>
      </c>
      <c r="D15" s="613">
        <v>4643641.1665675789</v>
      </c>
      <c r="E15" s="613">
        <v>5240816.9814372808</v>
      </c>
      <c r="F15" s="613">
        <v>5837992.7963069826</v>
      </c>
      <c r="G15" s="613">
        <v>6435168.6111766845</v>
      </c>
      <c r="H15" s="613">
        <v>7032344.4260463882</v>
      </c>
      <c r="I15" s="613">
        <v>7629520.2409160919</v>
      </c>
      <c r="J15" s="613">
        <v>8226696.0557857938</v>
      </c>
      <c r="K15" s="613">
        <v>8823871.8706554957</v>
      </c>
      <c r="L15" s="613">
        <v>9421047.6855251994</v>
      </c>
      <c r="M15" s="613">
        <v>10018223.500394899</v>
      </c>
      <c r="N15" s="532"/>
      <c r="O15" s="532"/>
      <c r="P15" s="532"/>
      <c r="Q15" s="532"/>
      <c r="R15" s="455"/>
      <c r="S15" s="455"/>
      <c r="T15" s="455"/>
      <c r="U15" s="455"/>
      <c r="V15" s="455"/>
    </row>
    <row r="16" spans="1:22">
      <c r="A16" s="593"/>
      <c r="B16" s="603">
        <v>0.08</v>
      </c>
      <c r="C16" s="604">
        <v>3795636.1018757336</v>
      </c>
      <c r="D16" s="612">
        <v>4365733.8144700415</v>
      </c>
      <c r="E16" s="612">
        <v>4935831.5270643476</v>
      </c>
      <c r="F16" s="612">
        <v>5505929.2396586556</v>
      </c>
      <c r="G16" s="612">
        <v>6076026.9522529636</v>
      </c>
      <c r="H16" s="612">
        <v>6646124.6648472697</v>
      </c>
      <c r="I16" s="612">
        <v>7216222.3774415776</v>
      </c>
      <c r="J16" s="612">
        <v>7786320.0900358837</v>
      </c>
      <c r="K16" s="612">
        <v>8356417.8026301917</v>
      </c>
      <c r="L16" s="612">
        <v>8926515.5152244978</v>
      </c>
      <c r="M16" s="612">
        <v>9496613.2278188057</v>
      </c>
      <c r="N16" s="532"/>
      <c r="O16" s="532"/>
      <c r="P16" s="532"/>
      <c r="Q16" s="532"/>
      <c r="R16" s="455"/>
      <c r="S16" s="455"/>
      <c r="T16" s="455"/>
      <c r="U16" s="455"/>
      <c r="V16" s="455"/>
    </row>
    <row r="17" spans="1:22">
      <c r="A17" s="593"/>
      <c r="B17" s="605">
        <v>8.5000000000000006E-2</v>
      </c>
      <c r="C17" s="602">
        <v>3555546.9518952128</v>
      </c>
      <c r="D17" s="613">
        <v>4099911.0457623079</v>
      </c>
      <c r="E17" s="613">
        <v>4644275.1396294013</v>
      </c>
      <c r="F17" s="613">
        <v>5188639.2334964946</v>
      </c>
      <c r="G17" s="613">
        <v>5733003.3273635916</v>
      </c>
      <c r="H17" s="613">
        <v>6277367.4212306831</v>
      </c>
      <c r="I17" s="613">
        <v>6821731.5150977783</v>
      </c>
      <c r="J17" s="613">
        <v>7366095.6089648716</v>
      </c>
      <c r="K17" s="613">
        <v>7910459.7028319649</v>
      </c>
      <c r="L17" s="613">
        <v>8454823.7966990601</v>
      </c>
      <c r="M17" s="613">
        <v>8999187.8905661553</v>
      </c>
      <c r="N17" s="532"/>
      <c r="O17" s="532"/>
      <c r="P17" s="532"/>
      <c r="Q17" s="532"/>
      <c r="R17" s="455"/>
      <c r="S17" s="455"/>
      <c r="T17" s="455"/>
      <c r="U17" s="455"/>
      <c r="V17" s="455"/>
    </row>
    <row r="18" spans="1:22">
      <c r="A18" s="593"/>
      <c r="B18" s="603">
        <v>0.09</v>
      </c>
      <c r="C18" s="604">
        <v>3325664.1694085598</v>
      </c>
      <c r="D18" s="612">
        <v>3845566.6312979218</v>
      </c>
      <c r="E18" s="612">
        <v>4365469.0931872828</v>
      </c>
      <c r="F18" s="612">
        <v>4885371.5550766457</v>
      </c>
      <c r="G18" s="612">
        <v>5405274.0169660058</v>
      </c>
      <c r="H18" s="612">
        <v>5925176.4788553659</v>
      </c>
      <c r="I18" s="612">
        <v>6445078.9407447278</v>
      </c>
      <c r="J18" s="612">
        <v>6964981.4026340898</v>
      </c>
      <c r="K18" s="612">
        <v>7484883.8645234518</v>
      </c>
      <c r="L18" s="612">
        <v>8004786.3264128119</v>
      </c>
      <c r="M18" s="612">
        <v>8524688.7883021738</v>
      </c>
      <c r="N18" s="532"/>
      <c r="O18" s="532"/>
      <c r="P18" s="532"/>
      <c r="Q18" s="532"/>
      <c r="R18" s="455"/>
      <c r="S18" s="455"/>
      <c r="T18" s="455"/>
      <c r="U18" s="455"/>
      <c r="V18" s="455"/>
    </row>
    <row r="19" spans="1:22">
      <c r="A19" s="598" t="s">
        <v>306</v>
      </c>
      <c r="B19" s="605">
        <v>9.5000000000000001E-2</v>
      </c>
      <c r="C19" s="602">
        <v>3105483.5122289471</v>
      </c>
      <c r="D19" s="613">
        <v>3602128.0479946388</v>
      </c>
      <c r="E19" s="613">
        <v>4098772.5837603305</v>
      </c>
      <c r="F19" s="613">
        <v>4595417.1195260221</v>
      </c>
      <c r="G19" s="613">
        <v>5092061.6552917156</v>
      </c>
      <c r="H19" s="613">
        <v>5588706.1910574064</v>
      </c>
      <c r="I19" s="613">
        <v>6085350.726823099</v>
      </c>
      <c r="J19" s="613">
        <v>6581995.2625887915</v>
      </c>
      <c r="K19" s="613">
        <v>7078639.7983544823</v>
      </c>
      <c r="L19" s="613">
        <v>7575284.334120173</v>
      </c>
      <c r="M19" s="613">
        <v>8071928.8698858656</v>
      </c>
      <c r="N19" s="532"/>
      <c r="O19" s="532"/>
      <c r="P19" s="532"/>
      <c r="Q19" s="532"/>
      <c r="R19" s="455"/>
      <c r="S19" s="455"/>
      <c r="T19" s="455"/>
      <c r="U19" s="455"/>
      <c r="V19" s="455"/>
    </row>
    <row r="20" spans="1:22">
      <c r="A20" s="598" t="s">
        <v>176</v>
      </c>
      <c r="B20" s="603">
        <v>0.1</v>
      </c>
      <c r="C20" s="604">
        <v>2894528.4527543802</v>
      </c>
      <c r="D20" s="612">
        <v>3369054.44041178</v>
      </c>
      <c r="E20" s="612">
        <v>3843580.4280691799</v>
      </c>
      <c r="F20" s="612">
        <v>4318106.4157265797</v>
      </c>
      <c r="G20" s="612">
        <v>4792632.4033839796</v>
      </c>
      <c r="H20" s="612">
        <v>5267158.3910413794</v>
      </c>
      <c r="I20" s="612">
        <v>5741684.3786987793</v>
      </c>
      <c r="J20" s="612">
        <v>6216210.3663561791</v>
      </c>
      <c r="K20" s="612">
        <v>6690736.3540135771</v>
      </c>
      <c r="L20" s="612">
        <v>7165262.3416709788</v>
      </c>
      <c r="M20" s="612">
        <v>7639788.3293283768</v>
      </c>
      <c r="N20" s="532"/>
      <c r="O20" s="532"/>
      <c r="P20" s="532"/>
      <c r="Q20" s="532"/>
      <c r="R20" s="455"/>
      <c r="S20" s="455"/>
      <c r="T20" s="455"/>
      <c r="U20" s="455"/>
      <c r="V20" s="455"/>
    </row>
    <row r="21" spans="1:22">
      <c r="A21" s="593"/>
      <c r="B21" s="605">
        <v>0.105</v>
      </c>
      <c r="C21" s="602">
        <v>2692348.5175294448</v>
      </c>
      <c r="D21" s="613">
        <v>3145834.7149454169</v>
      </c>
      <c r="E21" s="613">
        <v>3599320.9123613909</v>
      </c>
      <c r="F21" s="613">
        <v>4052807.1097773621</v>
      </c>
      <c r="G21" s="613">
        <v>4506293.3071933342</v>
      </c>
      <c r="H21" s="613">
        <v>4959779.5046093073</v>
      </c>
      <c r="I21" s="613">
        <v>5413265.7020252813</v>
      </c>
      <c r="J21" s="613">
        <v>5866751.8994412534</v>
      </c>
      <c r="K21" s="613">
        <v>6320238.0968572255</v>
      </c>
      <c r="L21" s="613">
        <v>6773724.2942731995</v>
      </c>
      <c r="M21" s="613">
        <v>7227210.4916891716</v>
      </c>
      <c r="N21" s="532"/>
      <c r="O21" s="532"/>
      <c r="P21" s="532"/>
      <c r="Q21" s="532"/>
      <c r="R21" s="455"/>
      <c r="S21" s="455"/>
      <c r="T21" s="455"/>
      <c r="U21" s="455"/>
      <c r="V21" s="455"/>
    </row>
    <row r="22" spans="1:22">
      <c r="A22" s="593"/>
      <c r="B22" s="603">
        <v>0.11</v>
      </c>
      <c r="C22" s="604">
        <v>2498517.7339670258</v>
      </c>
      <c r="D22" s="612">
        <v>2931985.7574290354</v>
      </c>
      <c r="E22" s="612">
        <v>3365453.780891045</v>
      </c>
      <c r="F22" s="612">
        <v>3798921.8043530546</v>
      </c>
      <c r="G22" s="612">
        <v>4232389.8278150642</v>
      </c>
      <c r="H22" s="612">
        <v>4665857.8512770738</v>
      </c>
      <c r="I22" s="612">
        <v>5099325.8747390844</v>
      </c>
      <c r="J22" s="612">
        <v>5532793.8982010931</v>
      </c>
      <c r="K22" s="612">
        <v>5966261.9216631018</v>
      </c>
      <c r="L22" s="612">
        <v>6399729.9451251142</v>
      </c>
      <c r="M22" s="612">
        <v>6833197.968587121</v>
      </c>
      <c r="N22" s="532"/>
      <c r="O22" s="532"/>
      <c r="P22" s="532"/>
      <c r="Q22" s="532"/>
      <c r="R22" s="455"/>
      <c r="S22" s="455"/>
      <c r="T22" s="455"/>
      <c r="U22" s="455"/>
      <c r="V22" s="455"/>
    </row>
    <row r="23" spans="1:22">
      <c r="A23" s="593"/>
      <c r="B23" s="605">
        <v>0.115</v>
      </c>
      <c r="C23" s="602">
        <v>2312633.1768398127</v>
      </c>
      <c r="D23" s="613">
        <v>2727050.7656072481</v>
      </c>
      <c r="E23" s="613">
        <v>3141468.3543746844</v>
      </c>
      <c r="F23" s="613">
        <v>3555885.9431421198</v>
      </c>
      <c r="G23" s="613">
        <v>3970303.5319095552</v>
      </c>
      <c r="H23" s="613">
        <v>4384721.1206769897</v>
      </c>
      <c r="I23" s="613">
        <v>4799138.709444426</v>
      </c>
      <c r="J23" s="613">
        <v>5213556.2982118614</v>
      </c>
      <c r="K23" s="613">
        <v>5627973.8869792968</v>
      </c>
      <c r="L23" s="613">
        <v>6042391.4757467341</v>
      </c>
      <c r="M23" s="613">
        <v>6456809.0645141676</v>
      </c>
      <c r="N23" s="532"/>
      <c r="O23" s="532"/>
      <c r="P23" s="532"/>
      <c r="Q23" s="532"/>
      <c r="R23" s="455"/>
      <c r="S23" s="455"/>
      <c r="T23" s="455"/>
      <c r="U23" s="455"/>
      <c r="V23" s="455"/>
    </row>
    <row r="24" spans="1:22">
      <c r="A24" s="593"/>
      <c r="B24" s="603">
        <v>0.12</v>
      </c>
      <c r="C24" s="604">
        <v>2134313.6076922901</v>
      </c>
      <c r="D24" s="612">
        <v>2530597.6885759626</v>
      </c>
      <c r="E24" s="612">
        <v>2926881.769459636</v>
      </c>
      <c r="F24" s="612">
        <v>3323165.8503433084</v>
      </c>
      <c r="G24" s="612">
        <v>3719449.9312269809</v>
      </c>
      <c r="H24" s="612">
        <v>4115734.0121106533</v>
      </c>
      <c r="I24" s="612">
        <v>4512018.0929943258</v>
      </c>
      <c r="J24" s="612">
        <v>4908302.1738779992</v>
      </c>
      <c r="K24" s="612">
        <v>5304586.2547616716</v>
      </c>
      <c r="L24" s="612">
        <v>5700870.3356453441</v>
      </c>
      <c r="M24" s="612">
        <v>6097154.4165290147</v>
      </c>
      <c r="N24" s="532"/>
      <c r="O24" s="532"/>
      <c r="P24" s="532"/>
      <c r="Q24" s="532"/>
      <c r="R24" s="455"/>
      <c r="S24" s="455"/>
      <c r="T24" s="455"/>
      <c r="U24" s="455"/>
      <c r="V24" s="455"/>
    </row>
    <row r="25" spans="1:22">
      <c r="A25" s="593"/>
      <c r="B25" s="605">
        <v>0.125</v>
      </c>
      <c r="C25" s="602">
        <v>1963198.2008239906</v>
      </c>
      <c r="D25" s="613">
        <v>2342217.7658607895</v>
      </c>
      <c r="E25" s="613">
        <v>2721237.3308975883</v>
      </c>
      <c r="F25" s="613">
        <v>3100256.8959343871</v>
      </c>
      <c r="G25" s="613">
        <v>3479276.4609711859</v>
      </c>
      <c r="H25" s="695">
        <v>3858296.0260079848</v>
      </c>
      <c r="I25" s="613">
        <v>4237315.5910447836</v>
      </c>
      <c r="J25" s="613">
        <v>4616335.1560815824</v>
      </c>
      <c r="K25" s="613">
        <v>4995354.7211183812</v>
      </c>
      <c r="L25" s="613">
        <v>5374374.2861551791</v>
      </c>
      <c r="M25" s="613">
        <v>5753393.851191977</v>
      </c>
      <c r="N25" s="532"/>
      <c r="O25" s="532"/>
      <c r="P25" s="532"/>
      <c r="Q25" s="532"/>
      <c r="R25" s="455"/>
      <c r="S25" s="455"/>
      <c r="T25" s="455"/>
      <c r="U25" s="455"/>
      <c r="V25" s="455"/>
    </row>
    <row r="26" spans="1:22">
      <c r="A26" s="593"/>
      <c r="B26" s="603">
        <v>0.13</v>
      </c>
      <c r="C26" s="604">
        <v>1798945.3499552757</v>
      </c>
      <c r="D26" s="612">
        <v>2161524.1593381381</v>
      </c>
      <c r="E26" s="612">
        <v>2524102.9687210005</v>
      </c>
      <c r="F26" s="612">
        <v>2886681.778103862</v>
      </c>
      <c r="G26" s="612">
        <v>3249260.5874867244</v>
      </c>
      <c r="H26" s="612">
        <v>3611839.3968695849</v>
      </c>
      <c r="I26" s="612">
        <v>3974418.2062524473</v>
      </c>
      <c r="J26" s="612">
        <v>4336997.0156353088</v>
      </c>
      <c r="K26" s="612">
        <v>4699575.8250181712</v>
      </c>
      <c r="L26" s="612">
        <v>5062154.6344010327</v>
      </c>
      <c r="M26" s="612">
        <v>5424733.443783896</v>
      </c>
      <c r="N26" s="532"/>
      <c r="O26" s="532"/>
      <c r="P26" s="532"/>
      <c r="Q26" s="532"/>
      <c r="R26" s="455"/>
      <c r="S26" s="455"/>
      <c r="T26" s="455"/>
      <c r="U26" s="455"/>
      <c r="V26" s="455"/>
    </row>
    <row r="27" spans="1:22">
      <c r="A27" s="593"/>
      <c r="B27" s="605">
        <v>0.13500000000000001</v>
      </c>
      <c r="C27" s="602">
        <v>1641231.550112904</v>
      </c>
      <c r="D27" s="613">
        <v>1988150.6716960343</v>
      </c>
      <c r="E27" s="613">
        <v>2335069.7932791673</v>
      </c>
      <c r="F27" s="613">
        <v>2681988.9148622984</v>
      </c>
      <c r="G27" s="613">
        <v>3028908.0364454305</v>
      </c>
      <c r="H27" s="613">
        <v>3375827.1580285626</v>
      </c>
      <c r="I27" s="613">
        <v>3722746.2796116946</v>
      </c>
      <c r="J27" s="613">
        <v>4069665.4011948258</v>
      </c>
      <c r="K27" s="613">
        <v>4416584.5227779569</v>
      </c>
      <c r="L27" s="613">
        <v>4763503.6443610899</v>
      </c>
      <c r="M27" s="613">
        <v>5110422.7659442201</v>
      </c>
      <c r="N27" s="532"/>
      <c r="O27" s="532"/>
      <c r="P27" s="532"/>
      <c r="Q27" s="532"/>
      <c r="R27" s="455"/>
      <c r="S27" s="455"/>
      <c r="T27" s="455"/>
      <c r="U27" s="455"/>
      <c r="V27" s="455"/>
    </row>
    <row r="28" spans="1:22">
      <c r="A28" s="593"/>
      <c r="B28" s="595">
        <v>0.14000000000000001</v>
      </c>
      <c r="C28" s="601">
        <v>1489750.3496654937</v>
      </c>
      <c r="D28" s="644">
        <v>1821750.5455859583</v>
      </c>
      <c r="E28" s="644">
        <v>2153750.7415064238</v>
      </c>
      <c r="F28" s="644">
        <v>2485750.9374268875</v>
      </c>
      <c r="G28" s="644">
        <v>2817751.133347352</v>
      </c>
      <c r="H28" s="644">
        <v>3149751.3292678175</v>
      </c>
      <c r="I28" s="644">
        <v>3481751.5251882812</v>
      </c>
      <c r="J28" s="644">
        <v>3813751.7211087458</v>
      </c>
      <c r="K28" s="644">
        <v>4145751.9170292094</v>
      </c>
      <c r="L28" s="644">
        <v>4477752.1129496749</v>
      </c>
      <c r="M28" s="644">
        <v>4809752.3088701386</v>
      </c>
      <c r="N28" s="532"/>
      <c r="O28" s="532"/>
      <c r="P28" s="532"/>
      <c r="Q28" s="532"/>
      <c r="R28" s="455"/>
      <c r="S28" s="455"/>
      <c r="T28" s="455"/>
      <c r="U28" s="455"/>
      <c r="V28" s="455"/>
    </row>
    <row r="29" spans="1:22">
      <c r="A29" s="596"/>
      <c r="B29" s="597">
        <v>0.14499999999999999</v>
      </c>
      <c r="C29" s="602">
        <v>1344211.3678021636</v>
      </c>
      <c r="D29" s="613">
        <v>1661995.3380368119</v>
      </c>
      <c r="E29" s="613">
        <v>1979779.3082714621</v>
      </c>
      <c r="F29" s="613">
        <v>2297563.2785061114</v>
      </c>
      <c r="G29" s="613">
        <v>2615347.2487407597</v>
      </c>
      <c r="H29" s="613">
        <v>2933131.2189754099</v>
      </c>
      <c r="I29" s="613">
        <v>3250915.1892100591</v>
      </c>
      <c r="J29" s="613">
        <v>3568699.1594447093</v>
      </c>
      <c r="K29" s="613">
        <v>3886483.1296793567</v>
      </c>
      <c r="L29" s="613">
        <v>4204267.0999140078</v>
      </c>
      <c r="M29" s="602">
        <v>4522051.0701486561</v>
      </c>
      <c r="N29" s="455"/>
      <c r="O29" s="455"/>
      <c r="P29" s="455"/>
      <c r="Q29" s="455"/>
      <c r="R29" s="455"/>
      <c r="S29" s="455"/>
      <c r="T29" s="455"/>
      <c r="U29" s="455"/>
      <c r="V29" s="455"/>
    </row>
    <row r="31" spans="1:22" ht="15.75">
      <c r="A31" s="483" t="s">
        <v>309</v>
      </c>
      <c r="B31" s="379"/>
      <c r="C31" s="379"/>
      <c r="D31" s="379"/>
      <c r="E31" s="379"/>
      <c r="F31" s="379"/>
      <c r="G31" s="379"/>
      <c r="H31" s="379"/>
      <c r="I31" s="379"/>
      <c r="J31" s="379"/>
      <c r="K31" s="379"/>
      <c r="L31" s="379"/>
      <c r="M31" s="379"/>
      <c r="N31" s="379"/>
      <c r="O31" s="379"/>
      <c r="P31" s="379"/>
      <c r="Q31" s="379"/>
    </row>
    <row r="32" spans="1:22" ht="13.5" thickBot="1">
      <c r="A32" s="609" t="s">
        <v>303</v>
      </c>
      <c r="B32" s="582"/>
      <c r="C32" s="610">
        <v>1</v>
      </c>
      <c r="D32" s="610">
        <v>2</v>
      </c>
      <c r="E32" s="610">
        <v>3</v>
      </c>
      <c r="F32" s="610">
        <v>4</v>
      </c>
      <c r="G32" s="610">
        <v>5</v>
      </c>
      <c r="H32" s="610">
        <v>6</v>
      </c>
      <c r="I32" s="610">
        <v>7</v>
      </c>
      <c r="J32" s="610">
        <v>8</v>
      </c>
      <c r="K32" s="610">
        <v>9</v>
      </c>
      <c r="L32" s="610">
        <v>10</v>
      </c>
      <c r="M32" s="610">
        <v>11</v>
      </c>
      <c r="N32" s="610">
        <v>12</v>
      </c>
      <c r="O32" s="610">
        <v>13</v>
      </c>
      <c r="P32" s="610">
        <v>14</v>
      </c>
      <c r="Q32" s="611">
        <v>15</v>
      </c>
    </row>
    <row r="33" spans="1:17" ht="13.5" thickTop="1">
      <c r="A33" s="496" t="s">
        <v>310</v>
      </c>
      <c r="B33" s="34"/>
      <c r="C33" s="455">
        <f>'Unlev. Consolid'!$R$32*Scenarios!C32</f>
        <v>1230798.2026078873</v>
      </c>
      <c r="D33" s="455">
        <f>'Unlev. Consolid'!$R$32*Scenarios!D32</f>
        <v>2461596.4052157747</v>
      </c>
      <c r="E33" s="455">
        <f>'Unlev. Consolid'!$R$32*Scenarios!E32</f>
        <v>3692394.607823662</v>
      </c>
      <c r="F33" s="455">
        <f>'Unlev. Consolid'!$R$32*Scenarios!F32</f>
        <v>4923192.8104315493</v>
      </c>
      <c r="G33" s="455">
        <f>'Unlev. Consolid'!$R$32*Scenarios!G32</f>
        <v>6153991.0130394362</v>
      </c>
      <c r="H33" s="455">
        <f>'Unlev. Consolid'!$R$32*Scenarios!H32</f>
        <v>7384789.215647324</v>
      </c>
      <c r="I33" s="455">
        <f>'Unlev. Consolid'!$R$32*Scenarios!I32</f>
        <v>8615587.4182552118</v>
      </c>
      <c r="J33" s="455">
        <f>'Unlev. Consolid'!$R$32*Scenarios!J32</f>
        <v>9846385.6208630987</v>
      </c>
      <c r="K33" s="455">
        <f>'Unlev. Consolid'!$R$32*Scenarios!K32</f>
        <v>11077183.823470986</v>
      </c>
      <c r="L33" s="455">
        <f>'Unlev. Consolid'!$R$32*Scenarios!L32</f>
        <v>12307982.026078872</v>
      </c>
      <c r="M33" s="455">
        <f>'Unlev. Consolid'!$R$32*Scenarios!M32</f>
        <v>13538780.228686761</v>
      </c>
      <c r="N33" s="455">
        <f>'Unlev. Consolid'!$R$32*Scenarios!N32</f>
        <v>14769578.431294648</v>
      </c>
      <c r="O33" s="455">
        <f>'Unlev. Consolid'!$R$32*Scenarios!O32</f>
        <v>16000376.633902535</v>
      </c>
      <c r="P33" s="455">
        <f>'Unlev. Consolid'!$R$32*Scenarios!P32</f>
        <v>17231174.836510424</v>
      </c>
      <c r="Q33" s="882">
        <f>'Unlev. Consolid'!$R$32*Scenarios!Q32</f>
        <v>18461973.039118309</v>
      </c>
    </row>
    <row r="34" spans="1:17">
      <c r="A34" s="496" t="s">
        <v>311</v>
      </c>
      <c r="B34" s="34"/>
      <c r="C34" s="371">
        <f>'Unlev. Consolid'!R111-'Unlev. Consolid'!S111</f>
        <v>776201.26510043442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224"/>
    </row>
    <row r="35" spans="1:17">
      <c r="A35" s="497" t="s">
        <v>312</v>
      </c>
      <c r="B35" s="292"/>
      <c r="C35" s="631">
        <v>8.5000000000000006E-2</v>
      </c>
      <c r="D35" s="292"/>
      <c r="E35" s="292"/>
      <c r="F35" s="292"/>
      <c r="G35" s="292"/>
      <c r="H35" s="292"/>
      <c r="I35" s="292"/>
      <c r="J35" s="292"/>
      <c r="K35" s="292"/>
      <c r="L35" s="292"/>
      <c r="M35" s="292"/>
      <c r="N35" s="292"/>
      <c r="O35" s="292"/>
      <c r="P35" s="292"/>
      <c r="Q35" s="225"/>
    </row>
    <row r="36" spans="1:17">
      <c r="A36" s="607" t="s">
        <v>313</v>
      </c>
      <c r="B36" s="292"/>
      <c r="C36" s="597">
        <f>(-$C$34/C33)+$C$35</f>
        <v>-0.54564868266444799</v>
      </c>
      <c r="D36" s="597">
        <f t="shared" ref="D36:Q36" si="0">(-$C$34/D33)+$C$35</f>
        <v>-0.23032434133222396</v>
      </c>
      <c r="E36" s="597">
        <f t="shared" si="0"/>
        <v>-0.12521622755481598</v>
      </c>
      <c r="F36" s="597">
        <f t="shared" si="0"/>
        <v>-7.2662170666111983E-2</v>
      </c>
      <c r="G36" s="597">
        <f t="shared" si="0"/>
        <v>-4.112973653288958E-2</v>
      </c>
      <c r="H36" s="597">
        <f t="shared" si="0"/>
        <v>-2.0108113777407982E-2</v>
      </c>
      <c r="I36" s="597">
        <f t="shared" si="0"/>
        <v>-5.0926689520639778E-3</v>
      </c>
      <c r="J36" s="597">
        <f t="shared" si="0"/>
        <v>6.1689146669440115E-3</v>
      </c>
      <c r="K36" s="597">
        <f t="shared" si="0"/>
        <v>1.4927924148394681E-2</v>
      </c>
      <c r="L36" s="597">
        <f t="shared" si="0"/>
        <v>2.1935131733555213E-2</v>
      </c>
      <c r="M36" s="597">
        <f t="shared" si="0"/>
        <v>2.7668301575959287E-2</v>
      </c>
      <c r="N36" s="597">
        <f t="shared" si="0"/>
        <v>3.2445943111296012E-2</v>
      </c>
      <c r="O36" s="597">
        <f t="shared" si="0"/>
        <v>3.6488562871965551E-2</v>
      </c>
      <c r="P36" s="597">
        <f t="shared" si="0"/>
        <v>3.9953665523968014E-2</v>
      </c>
      <c r="Q36" s="608">
        <f t="shared" si="0"/>
        <v>4.2956754489036811E-2</v>
      </c>
    </row>
    <row r="37" spans="1:17">
      <c r="A37" s="106"/>
      <c r="B37" s="34"/>
      <c r="C37" s="595"/>
      <c r="D37" s="595"/>
      <c r="E37" s="595"/>
      <c r="F37" s="595"/>
      <c r="G37" s="595"/>
      <c r="H37" s="595"/>
      <c r="I37" s="595"/>
      <c r="J37" s="595"/>
      <c r="K37" s="595"/>
      <c r="L37" s="595"/>
      <c r="M37" s="595"/>
      <c r="N37" s="595"/>
      <c r="O37" s="595"/>
      <c r="P37" s="595"/>
      <c r="Q37" s="595"/>
    </row>
    <row r="38" spans="1:17" ht="15.75">
      <c r="A38" s="483" t="s">
        <v>319</v>
      </c>
      <c r="B38" s="379"/>
      <c r="C38" s="379"/>
      <c r="D38" s="379"/>
      <c r="E38" s="379"/>
      <c r="F38" s="379"/>
      <c r="G38" s="379"/>
      <c r="H38" s="379"/>
      <c r="I38" s="379"/>
      <c r="J38" s="379"/>
      <c r="K38" s="379"/>
      <c r="L38" s="379"/>
      <c r="M38" s="379"/>
      <c r="N38" s="379"/>
      <c r="O38" s="379"/>
      <c r="P38" s="379"/>
      <c r="Q38" s="379"/>
    </row>
    <row r="39" spans="1:17" ht="13.5" thickBot="1">
      <c r="A39" s="609" t="s">
        <v>303</v>
      </c>
      <c r="B39" s="582"/>
      <c r="C39" s="610">
        <v>1</v>
      </c>
      <c r="D39" s="610">
        <v>2</v>
      </c>
      <c r="E39" s="610">
        <v>3</v>
      </c>
      <c r="F39" s="610">
        <v>4</v>
      </c>
      <c r="G39" s="610">
        <v>5</v>
      </c>
      <c r="H39" s="610">
        <v>6</v>
      </c>
      <c r="I39" s="610">
        <v>7</v>
      </c>
      <c r="J39" s="610">
        <v>8</v>
      </c>
      <c r="K39" s="610">
        <v>9</v>
      </c>
      <c r="L39" s="610">
        <v>10</v>
      </c>
      <c r="M39" s="610">
        <v>11</v>
      </c>
      <c r="N39" s="610">
        <v>12</v>
      </c>
      <c r="O39" s="610">
        <v>13</v>
      </c>
      <c r="P39" s="610">
        <v>14</v>
      </c>
      <c r="Q39" s="611">
        <v>15</v>
      </c>
    </row>
    <row r="40" spans="1:17" ht="13.5" thickTop="1">
      <c r="A40" s="496" t="s">
        <v>310</v>
      </c>
      <c r="B40" s="34"/>
      <c r="C40" s="455">
        <f>'Unlev. Consolid'!$R$32*Scenarios!C39</f>
        <v>1230798.2026078873</v>
      </c>
      <c r="D40" s="455">
        <f>'Unlev. Consolid'!$R$32*Scenarios!D39</f>
        <v>2461596.4052157747</v>
      </c>
      <c r="E40" s="455">
        <f>'Unlev. Consolid'!$R$32*Scenarios!E39</f>
        <v>3692394.607823662</v>
      </c>
      <c r="F40" s="455">
        <f>'Unlev. Consolid'!$R$32*Scenarios!F39</f>
        <v>4923192.8104315493</v>
      </c>
      <c r="G40" s="455">
        <f>'Unlev. Consolid'!$R$32*Scenarios!G39</f>
        <v>6153991.0130394362</v>
      </c>
      <c r="H40" s="455">
        <f>'Unlev. Consolid'!$R$32*Scenarios!H39</f>
        <v>7384789.215647324</v>
      </c>
      <c r="I40" s="455">
        <f>'Unlev. Consolid'!$R$32*Scenarios!I39</f>
        <v>8615587.4182552118</v>
      </c>
      <c r="J40" s="455">
        <f>'Unlev. Consolid'!$R$32*Scenarios!J39</f>
        <v>9846385.6208630987</v>
      </c>
      <c r="K40" s="455">
        <f>'Unlev. Consolid'!$R$32*Scenarios!K39</f>
        <v>11077183.823470986</v>
      </c>
      <c r="L40" s="455">
        <f>'Unlev. Consolid'!$R$32*Scenarios!L39</f>
        <v>12307982.026078872</v>
      </c>
      <c r="M40" s="455">
        <f>'Unlev. Consolid'!$R$32*Scenarios!M39</f>
        <v>13538780.228686761</v>
      </c>
      <c r="N40" s="455">
        <f>'Unlev. Consolid'!$R$32*Scenarios!N39</f>
        <v>14769578.431294648</v>
      </c>
      <c r="O40" s="455">
        <f>'Unlev. Consolid'!$R$32*Scenarios!O39</f>
        <v>16000376.633902535</v>
      </c>
      <c r="P40" s="455">
        <f>'Unlev. Consolid'!$R$32*Scenarios!P39</f>
        <v>17231174.836510424</v>
      </c>
      <c r="Q40" s="882">
        <f>'Unlev. Consolid'!$R$32*Scenarios!Q39</f>
        <v>18461973.039118309</v>
      </c>
    </row>
    <row r="41" spans="1:17">
      <c r="A41" s="496" t="s">
        <v>311</v>
      </c>
      <c r="B41" s="34"/>
      <c r="C41" s="371">
        <f>'Unlev. Consolid'!R111-'Unlev. Consolid'!S111</f>
        <v>776201.26510043442</v>
      </c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224"/>
    </row>
    <row r="42" spans="1:17">
      <c r="A42" s="497" t="s">
        <v>312</v>
      </c>
      <c r="B42" s="292"/>
      <c r="C42" s="631">
        <v>0.125</v>
      </c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92"/>
      <c r="O42" s="292"/>
      <c r="P42" s="292"/>
      <c r="Q42" s="225"/>
    </row>
    <row r="43" spans="1:17">
      <c r="A43" s="530" t="s">
        <v>313</v>
      </c>
      <c r="B43" s="33"/>
      <c r="C43" s="629">
        <f>(-$C$34/C40)+$C$42</f>
        <v>-0.50564868266444796</v>
      </c>
      <c r="D43" s="629">
        <f t="shared" ref="D43:Q43" si="1">(-$C$34/D40)+$C$42</f>
        <v>-0.19032434133222398</v>
      </c>
      <c r="E43" s="629">
        <f t="shared" si="1"/>
        <v>-8.5216227554815976E-2</v>
      </c>
      <c r="F43" s="629">
        <f t="shared" si="1"/>
        <v>-3.2662170666111989E-2</v>
      </c>
      <c r="G43" s="629">
        <f t="shared" si="1"/>
        <v>-1.1297365328895859E-3</v>
      </c>
      <c r="H43" s="629">
        <f t="shared" si="1"/>
        <v>1.9891886222592012E-2</v>
      </c>
      <c r="I43" s="629">
        <f t="shared" si="1"/>
        <v>3.4907331047936016E-2</v>
      </c>
      <c r="J43" s="629">
        <f t="shared" si="1"/>
        <v>4.6168914666944005E-2</v>
      </c>
      <c r="K43" s="629">
        <f t="shared" si="1"/>
        <v>5.4927924148394675E-2</v>
      </c>
      <c r="L43" s="883">
        <f t="shared" si="1"/>
        <v>6.1935131733555207E-2</v>
      </c>
      <c r="M43" s="629">
        <f t="shared" si="1"/>
        <v>6.766830157595928E-2</v>
      </c>
      <c r="N43" s="629">
        <f t="shared" si="1"/>
        <v>7.2445943111296013E-2</v>
      </c>
      <c r="O43" s="629">
        <f t="shared" si="1"/>
        <v>7.6488562871965537E-2</v>
      </c>
      <c r="P43" s="629">
        <f t="shared" si="1"/>
        <v>7.9953665523968015E-2</v>
      </c>
      <c r="Q43" s="630">
        <f t="shared" si="1"/>
        <v>8.2956754489036805E-2</v>
      </c>
    </row>
    <row r="45" spans="1:17" hidden="1" outlineLevel="1">
      <c r="A45" s="494" t="s">
        <v>40</v>
      </c>
      <c r="B45" s="616">
        <v>7.4999999999999997E-2</v>
      </c>
    </row>
    <row r="46" spans="1:17" hidden="1" outlineLevel="1">
      <c r="A46" s="497" t="s">
        <v>315</v>
      </c>
      <c r="B46" s="617">
        <v>0.6</v>
      </c>
    </row>
    <row r="47" spans="1:17" hidden="1" outlineLevel="1"/>
    <row r="48" spans="1:17" ht="15.75" hidden="1" outlineLevel="1">
      <c r="A48" s="483" t="s">
        <v>318</v>
      </c>
      <c r="B48" s="379"/>
      <c r="C48" s="379"/>
      <c r="D48" s="379"/>
      <c r="E48" s="379"/>
      <c r="F48" s="379"/>
      <c r="G48" s="379"/>
      <c r="H48" s="379"/>
      <c r="I48" s="379"/>
      <c r="J48" s="379"/>
      <c r="K48" s="379"/>
      <c r="L48" s="379"/>
      <c r="M48" s="379"/>
      <c r="N48" s="24"/>
      <c r="O48" s="24"/>
      <c r="P48" s="24"/>
      <c r="Q48" s="24"/>
    </row>
    <row r="49" spans="1:13" hidden="1" outlineLevel="1">
      <c r="A49" s="494"/>
      <c r="B49" s="495"/>
      <c r="C49" s="1030" t="s">
        <v>316</v>
      </c>
      <c r="D49" s="1030"/>
      <c r="E49" s="1030"/>
      <c r="F49" s="1030"/>
      <c r="G49" s="1030"/>
      <c r="H49" s="1030"/>
      <c r="I49" s="1030"/>
      <c r="J49" s="1030"/>
      <c r="K49" s="1030"/>
      <c r="L49" s="1030"/>
      <c r="M49" s="1031"/>
    </row>
    <row r="50" spans="1:13" ht="13.5" hidden="1" outlineLevel="1" thickBot="1">
      <c r="A50" s="496"/>
      <c r="B50" s="621">
        <f>'Lev. Consolid'!G9</f>
        <v>0</v>
      </c>
      <c r="C50" s="618">
        <v>0</v>
      </c>
      <c r="D50" s="618">
        <v>0.1</v>
      </c>
      <c r="E50" s="618">
        <v>0.2</v>
      </c>
      <c r="F50" s="618">
        <v>0.3</v>
      </c>
      <c r="G50" s="618">
        <v>0.4</v>
      </c>
      <c r="H50" s="618">
        <v>0.5</v>
      </c>
      <c r="I50" s="618">
        <v>0.6</v>
      </c>
      <c r="J50" s="618">
        <v>0.7</v>
      </c>
      <c r="K50" s="618">
        <v>0.8</v>
      </c>
      <c r="L50" s="618">
        <v>0.9</v>
      </c>
      <c r="M50" s="622">
        <v>1</v>
      </c>
    </row>
    <row r="51" spans="1:13" ht="13.5" hidden="1" outlineLevel="1" thickTop="1">
      <c r="A51" s="496"/>
      <c r="B51" s="619">
        <v>0.06</v>
      </c>
      <c r="C51" s="624">
        <f t="dataTable" ref="C51:M61" dt2D="1" dtr="0" r1="B46" r2="B45"/>
        <v>0</v>
      </c>
      <c r="D51" s="624">
        <v>0</v>
      </c>
      <c r="E51" s="624">
        <v>0</v>
      </c>
      <c r="F51" s="624">
        <v>0</v>
      </c>
      <c r="G51" s="624">
        <v>0</v>
      </c>
      <c r="H51" s="624">
        <v>0</v>
      </c>
      <c r="I51" s="624">
        <v>0</v>
      </c>
      <c r="J51" s="624">
        <v>0</v>
      </c>
      <c r="K51" s="624">
        <v>0</v>
      </c>
      <c r="L51" s="624">
        <v>0</v>
      </c>
      <c r="M51" s="625">
        <v>0</v>
      </c>
    </row>
    <row r="52" spans="1:13" hidden="1" outlineLevel="1">
      <c r="A52" s="496"/>
      <c r="B52" s="619">
        <v>6.5000000000000002E-2</v>
      </c>
      <c r="C52" s="624">
        <v>0</v>
      </c>
      <c r="D52" s="624">
        <v>0</v>
      </c>
      <c r="E52" s="624">
        <v>0</v>
      </c>
      <c r="F52" s="624">
        <v>0</v>
      </c>
      <c r="G52" s="624">
        <v>0</v>
      </c>
      <c r="H52" s="624">
        <v>0</v>
      </c>
      <c r="I52" s="624">
        <v>0</v>
      </c>
      <c r="J52" s="624">
        <v>0</v>
      </c>
      <c r="K52" s="624">
        <v>0</v>
      </c>
      <c r="L52" s="624">
        <v>0</v>
      </c>
      <c r="M52" s="625">
        <v>0</v>
      </c>
    </row>
    <row r="53" spans="1:13" hidden="1" outlineLevel="1">
      <c r="A53" s="496"/>
      <c r="B53" s="619">
        <v>7.0000000000000007E-2</v>
      </c>
      <c r="C53" s="624">
        <v>0</v>
      </c>
      <c r="D53" s="624">
        <v>0</v>
      </c>
      <c r="E53" s="624">
        <v>0</v>
      </c>
      <c r="F53" s="624">
        <v>0</v>
      </c>
      <c r="G53" s="624">
        <v>0</v>
      </c>
      <c r="H53" s="507">
        <v>0</v>
      </c>
      <c r="I53" s="507">
        <v>0</v>
      </c>
      <c r="J53" s="507">
        <v>0</v>
      </c>
      <c r="K53" s="624">
        <v>0</v>
      </c>
      <c r="L53" s="624">
        <v>0</v>
      </c>
      <c r="M53" s="625">
        <v>0</v>
      </c>
    </row>
    <row r="54" spans="1:13" hidden="1" outlineLevel="1">
      <c r="A54" s="496"/>
      <c r="B54" s="619">
        <v>7.4999999999999997E-2</v>
      </c>
      <c r="C54" s="624">
        <v>0</v>
      </c>
      <c r="D54" s="624">
        <v>0</v>
      </c>
      <c r="E54" s="624">
        <v>0</v>
      </c>
      <c r="F54" s="624">
        <v>0</v>
      </c>
      <c r="G54" s="624">
        <v>0</v>
      </c>
      <c r="H54" s="628">
        <v>0</v>
      </c>
      <c r="I54" s="628">
        <v>0</v>
      </c>
      <c r="J54" s="628">
        <v>0</v>
      </c>
      <c r="K54" s="624">
        <v>0</v>
      </c>
      <c r="L54" s="624">
        <v>0</v>
      </c>
      <c r="M54" s="625">
        <v>0</v>
      </c>
    </row>
    <row r="55" spans="1:13" hidden="1" outlineLevel="1">
      <c r="A55" s="623" t="s">
        <v>317</v>
      </c>
      <c r="B55" s="619">
        <v>0.08</v>
      </c>
      <c r="C55" s="624">
        <v>0</v>
      </c>
      <c r="D55" s="624">
        <v>0</v>
      </c>
      <c r="E55" s="624">
        <v>0</v>
      </c>
      <c r="F55" s="624">
        <v>0</v>
      </c>
      <c r="G55" s="624">
        <v>0</v>
      </c>
      <c r="H55" s="628">
        <v>0</v>
      </c>
      <c r="I55" s="628">
        <v>0</v>
      </c>
      <c r="J55" s="628">
        <v>0</v>
      </c>
      <c r="K55" s="624">
        <v>0</v>
      </c>
      <c r="L55" s="624">
        <v>0</v>
      </c>
      <c r="M55" s="625">
        <v>0</v>
      </c>
    </row>
    <row r="56" spans="1:13" hidden="1" outlineLevel="1">
      <c r="A56" s="623" t="s">
        <v>201</v>
      </c>
      <c r="B56" s="619">
        <v>8.5000000000000006E-2</v>
      </c>
      <c r="C56" s="624">
        <v>0</v>
      </c>
      <c r="D56" s="624">
        <v>0</v>
      </c>
      <c r="E56" s="624">
        <v>0</v>
      </c>
      <c r="F56" s="624">
        <v>0</v>
      </c>
      <c r="G56" s="624">
        <v>0</v>
      </c>
      <c r="H56" s="635">
        <v>0</v>
      </c>
      <c r="I56" s="635">
        <v>0</v>
      </c>
      <c r="J56" s="635">
        <v>0</v>
      </c>
      <c r="K56" s="624">
        <v>0</v>
      </c>
      <c r="L56" s="624">
        <v>0</v>
      </c>
      <c r="M56" s="625">
        <v>0</v>
      </c>
    </row>
    <row r="57" spans="1:13" hidden="1" outlineLevel="1">
      <c r="A57" s="496"/>
      <c r="B57" s="619">
        <v>0.09</v>
      </c>
      <c r="C57" s="624">
        <v>0</v>
      </c>
      <c r="D57" s="624">
        <v>0</v>
      </c>
      <c r="E57" s="624">
        <v>0</v>
      </c>
      <c r="F57" s="624">
        <v>0</v>
      </c>
      <c r="G57" s="624">
        <v>0</v>
      </c>
      <c r="H57" s="624">
        <v>0</v>
      </c>
      <c r="I57" s="624">
        <v>0</v>
      </c>
      <c r="J57" s="624">
        <v>0</v>
      </c>
      <c r="K57" s="624">
        <v>0</v>
      </c>
      <c r="L57" s="624">
        <v>0</v>
      </c>
      <c r="M57" s="625">
        <v>0</v>
      </c>
    </row>
    <row r="58" spans="1:13" hidden="1" outlineLevel="1">
      <c r="A58" s="496"/>
      <c r="B58" s="619">
        <v>9.5000000000000001E-2</v>
      </c>
      <c r="C58" s="624">
        <v>0</v>
      </c>
      <c r="D58" s="624">
        <v>0</v>
      </c>
      <c r="E58" s="624">
        <v>0</v>
      </c>
      <c r="F58" s="624">
        <v>0</v>
      </c>
      <c r="G58" s="624">
        <v>0</v>
      </c>
      <c r="H58" s="624">
        <v>0</v>
      </c>
      <c r="I58" s="624">
        <v>0</v>
      </c>
      <c r="J58" s="624">
        <v>0</v>
      </c>
      <c r="K58" s="624">
        <v>0</v>
      </c>
      <c r="L58" s="624">
        <v>0</v>
      </c>
      <c r="M58" s="625">
        <v>0</v>
      </c>
    </row>
    <row r="59" spans="1:13" hidden="1" outlineLevel="1">
      <c r="A59" s="496"/>
      <c r="B59" s="619">
        <v>0.1</v>
      </c>
      <c r="C59" s="624">
        <v>0</v>
      </c>
      <c r="D59" s="624">
        <v>0</v>
      </c>
      <c r="E59" s="624">
        <v>0</v>
      </c>
      <c r="F59" s="624">
        <v>0</v>
      </c>
      <c r="G59" s="624">
        <v>0</v>
      </c>
      <c r="H59" s="624">
        <v>0</v>
      </c>
      <c r="I59" s="624">
        <v>0</v>
      </c>
      <c r="J59" s="624">
        <v>0</v>
      </c>
      <c r="K59" s="624">
        <v>0</v>
      </c>
      <c r="L59" s="624">
        <v>0</v>
      </c>
      <c r="M59" s="625">
        <v>0</v>
      </c>
    </row>
    <row r="60" spans="1:13" hidden="1" outlineLevel="1">
      <c r="A60" s="496"/>
      <c r="B60" s="619">
        <v>0.105</v>
      </c>
      <c r="C60" s="624">
        <v>0</v>
      </c>
      <c r="D60" s="624">
        <v>0</v>
      </c>
      <c r="E60" s="624">
        <v>0</v>
      </c>
      <c r="F60" s="624">
        <v>0</v>
      </c>
      <c r="G60" s="624">
        <v>0</v>
      </c>
      <c r="H60" s="624">
        <v>0</v>
      </c>
      <c r="I60" s="624">
        <v>0</v>
      </c>
      <c r="J60" s="624">
        <v>0</v>
      </c>
      <c r="K60" s="624">
        <v>0</v>
      </c>
      <c r="L60" s="624">
        <v>0</v>
      </c>
      <c r="M60" s="625">
        <v>0</v>
      </c>
    </row>
    <row r="61" spans="1:13" hidden="1" outlineLevel="1">
      <c r="A61" s="497"/>
      <c r="B61" s="620">
        <v>0.11</v>
      </c>
      <c r="C61" s="626">
        <v>0</v>
      </c>
      <c r="D61" s="626">
        <v>0</v>
      </c>
      <c r="E61" s="626">
        <v>0</v>
      </c>
      <c r="F61" s="626">
        <v>0</v>
      </c>
      <c r="G61" s="626">
        <v>0</v>
      </c>
      <c r="H61" s="626">
        <v>0</v>
      </c>
      <c r="I61" s="626">
        <v>0</v>
      </c>
      <c r="J61" s="626">
        <v>0</v>
      </c>
      <c r="K61" s="626">
        <v>0</v>
      </c>
      <c r="L61" s="626">
        <v>0</v>
      </c>
      <c r="M61" s="627">
        <v>0</v>
      </c>
    </row>
    <row r="62" spans="1:13" collapsed="1"/>
  </sheetData>
  <mergeCells count="2">
    <mergeCell ref="C49:M49"/>
    <mergeCell ref="C10:M10"/>
  </mergeCells>
  <phoneticPr fontId="0" type="noConversion"/>
  <pageMargins left="0.44" right="0.17" top="0.7" bottom="0.25" header="0.17" footer="0.17"/>
  <pageSetup scale="8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P103"/>
  <sheetViews>
    <sheetView showGridLines="0" zoomScale="75" workbookViewId="0">
      <selection activeCell="F7" sqref="F7"/>
    </sheetView>
  </sheetViews>
  <sheetFormatPr defaultRowHeight="12.75" outlineLevelRow="1"/>
  <cols>
    <col min="1" max="1" width="14.140625" customWidth="1"/>
    <col min="3" max="3" width="9.5703125" customWidth="1"/>
    <col min="4" max="4" width="12.5703125" customWidth="1"/>
    <col min="5" max="5" width="13.42578125" customWidth="1"/>
    <col min="6" max="6" width="14.140625" customWidth="1"/>
    <col min="7" max="7" width="13.42578125" bestFit="1" customWidth="1"/>
    <col min="8" max="8" width="13.42578125" customWidth="1"/>
    <col min="9" max="9" width="13.85546875" bestFit="1" customWidth="1"/>
    <col min="10" max="10" width="13.140625" bestFit="1" customWidth="1"/>
    <col min="11" max="11" width="13.42578125" bestFit="1" customWidth="1"/>
    <col min="12" max="12" width="13.42578125" customWidth="1"/>
    <col min="13" max="13" width="13.28515625" customWidth="1"/>
    <col min="14" max="14" width="11.42578125" customWidth="1"/>
  </cols>
  <sheetData>
    <row r="1" spans="1:42" ht="20.25">
      <c r="A1" s="489" t="str">
        <f>"Project "&amp;Assumptions!D6</f>
        <v>Project ETS</v>
      </c>
      <c r="B1" s="712"/>
      <c r="C1" s="712"/>
      <c r="D1" s="490"/>
      <c r="E1" s="254"/>
      <c r="F1" s="254"/>
      <c r="G1" s="254"/>
      <c r="H1" s="254"/>
      <c r="I1" s="254"/>
      <c r="J1" s="254"/>
      <c r="K1" s="254"/>
      <c r="L1" s="254"/>
      <c r="P1" s="254"/>
      <c r="Q1" s="171"/>
      <c r="R1" s="171" t="s">
        <v>172</v>
      </c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  <c r="AO1" s="171"/>
      <c r="AP1" s="171"/>
    </row>
    <row r="2" spans="1:42" ht="16.5" thickBot="1">
      <c r="A2" s="491" t="s">
        <v>173</v>
      </c>
      <c r="B2" s="713"/>
      <c r="C2" s="713"/>
      <c r="D2" s="492"/>
      <c r="E2" s="254"/>
      <c r="F2" s="255"/>
      <c r="G2" s="254"/>
      <c r="H2" s="254"/>
      <c r="I2" s="254"/>
      <c r="J2" s="254"/>
      <c r="K2" s="254"/>
      <c r="L2" s="254"/>
      <c r="P2" s="254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</row>
    <row r="3" spans="1:42">
      <c r="A3" s="312"/>
      <c r="B3" s="246"/>
      <c r="C3" s="246"/>
      <c r="D3" s="313"/>
      <c r="E3" s="313"/>
      <c r="F3" s="887"/>
      <c r="G3" s="246"/>
      <c r="H3" s="246"/>
      <c r="I3" s="246"/>
      <c r="J3" s="227"/>
      <c r="K3" s="227"/>
      <c r="L3" s="227"/>
      <c r="M3" s="227"/>
      <c r="N3" s="227"/>
      <c r="O3" s="227"/>
      <c r="P3" s="25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58"/>
      <c r="AD3" s="258"/>
      <c r="AE3" s="258"/>
      <c r="AF3" s="258"/>
      <c r="AG3" s="258"/>
      <c r="AH3" s="258"/>
      <c r="AI3" s="258"/>
      <c r="AJ3" s="258"/>
      <c r="AK3" s="258"/>
      <c r="AL3" s="258"/>
      <c r="AM3" s="258"/>
      <c r="AN3" s="258"/>
      <c r="AO3" s="258"/>
      <c r="AP3" s="258"/>
    </row>
    <row r="4" spans="1:42">
      <c r="A4" s="364" t="s">
        <v>202</v>
      </c>
      <c r="B4" s="365"/>
      <c r="C4" s="365"/>
      <c r="D4" s="365"/>
      <c r="E4" s="365"/>
      <c r="F4" s="365"/>
      <c r="G4" s="365"/>
      <c r="H4" s="379"/>
      <c r="I4" s="365"/>
      <c r="J4" s="366"/>
      <c r="K4" s="272"/>
      <c r="L4" s="227"/>
      <c r="M4" s="227"/>
      <c r="N4" s="227"/>
      <c r="O4" s="227"/>
      <c r="P4" s="272"/>
      <c r="Q4" s="271"/>
      <c r="R4" s="271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60"/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260"/>
      <c r="AP4" s="260"/>
    </row>
    <row r="5" spans="1:42">
      <c r="A5" s="367"/>
      <c r="B5" s="247"/>
      <c r="C5" s="247"/>
      <c r="D5" s="247"/>
      <c r="E5" s="310" t="s">
        <v>195</v>
      </c>
      <c r="F5" s="310" t="s">
        <v>200</v>
      </c>
      <c r="G5" s="310" t="s">
        <v>174</v>
      </c>
      <c r="I5" s="310" t="s">
        <v>198</v>
      </c>
      <c r="J5" s="368"/>
      <c r="K5" s="310"/>
      <c r="L5" s="227"/>
      <c r="M5" s="227"/>
      <c r="N5" s="227"/>
      <c r="O5" s="227"/>
      <c r="P5" s="274"/>
      <c r="Q5" s="314"/>
      <c r="R5" s="314"/>
      <c r="S5" s="314"/>
      <c r="T5" s="314"/>
      <c r="U5" s="314"/>
      <c r="V5" s="314"/>
      <c r="W5" s="314"/>
      <c r="X5" s="314"/>
      <c r="Y5" s="314"/>
      <c r="Z5" s="314"/>
      <c r="AA5" s="314"/>
      <c r="AB5" s="314"/>
      <c r="AC5" s="261"/>
      <c r="AD5" s="261"/>
      <c r="AE5" s="261"/>
      <c r="AF5" s="261"/>
      <c r="AG5" s="261"/>
      <c r="AH5" s="261"/>
      <c r="AI5" s="261"/>
      <c r="AJ5" s="261"/>
      <c r="AK5" s="261"/>
      <c r="AL5" s="261"/>
      <c r="AM5" s="261"/>
      <c r="AN5" s="261"/>
      <c r="AO5" s="261"/>
      <c r="AP5" s="261"/>
    </row>
    <row r="6" spans="1:42">
      <c r="A6" s="367"/>
      <c r="B6" s="247"/>
      <c r="C6" s="247"/>
      <c r="D6" s="247"/>
      <c r="E6" s="310" t="s">
        <v>194</v>
      </c>
      <c r="F6" s="310" t="s">
        <v>201</v>
      </c>
      <c r="G6" s="310" t="s">
        <v>176</v>
      </c>
      <c r="H6" s="378" t="s">
        <v>191</v>
      </c>
      <c r="I6" s="310" t="s">
        <v>197</v>
      </c>
      <c r="J6" s="368" t="s">
        <v>199</v>
      </c>
      <c r="K6" s="310"/>
      <c r="L6" s="227"/>
      <c r="M6" s="227"/>
      <c r="N6" s="227"/>
      <c r="O6" s="227"/>
      <c r="P6" s="274"/>
      <c r="Q6" s="314"/>
      <c r="R6" s="314"/>
      <c r="S6" s="314"/>
      <c r="T6" s="314"/>
      <c r="U6" s="314"/>
      <c r="V6" s="314"/>
      <c r="W6" s="314"/>
      <c r="X6" s="314"/>
      <c r="Y6" s="314"/>
      <c r="Z6" s="314"/>
      <c r="AA6" s="314"/>
      <c r="AB6" s="314"/>
      <c r="AC6" s="261"/>
      <c r="AD6" s="261"/>
      <c r="AE6" s="261"/>
      <c r="AF6" s="261"/>
      <c r="AG6" s="261"/>
      <c r="AH6" s="261"/>
      <c r="AI6" s="261"/>
      <c r="AJ6" s="261"/>
      <c r="AK6" s="261"/>
      <c r="AL6" s="261"/>
      <c r="AM6" s="261"/>
      <c r="AN6" s="261"/>
      <c r="AO6" s="261"/>
      <c r="AP6" s="261"/>
    </row>
    <row r="7" spans="1:42">
      <c r="A7" s="369" t="s">
        <v>177</v>
      </c>
      <c r="B7" s="351"/>
      <c r="C7" s="351"/>
      <c r="D7" s="351"/>
      <c r="E7" s="370">
        <f>Assumptions!D44</f>
        <v>0.36526261134097698</v>
      </c>
      <c r="F7" s="371">
        <f>E7*'Valuation Summary'!E53</f>
        <v>3617664.312906397</v>
      </c>
      <c r="G7" s="370">
        <f>Assumptions!G44</f>
        <v>7.4999999999999997E-2</v>
      </c>
      <c r="H7" s="380">
        <f>Assumptions!F44</f>
        <v>10</v>
      </c>
      <c r="I7" s="96" t="str">
        <f>IF(Assumptions!I44=1,"No Amort",IF(Assumptions!I44=2,"Partial Amort",IF(Assumptions!I44=3,"Mortgage","N/A")))</f>
        <v>Partial Amort</v>
      </c>
      <c r="J7" s="372">
        <f>Assumptions!J44</f>
        <v>1</v>
      </c>
      <c r="K7" s="227"/>
      <c r="L7" s="227"/>
      <c r="M7" s="227"/>
      <c r="N7" s="227"/>
      <c r="O7" s="227"/>
      <c r="P7" s="316"/>
      <c r="Q7" s="315"/>
      <c r="R7" s="315"/>
      <c r="S7" s="315"/>
      <c r="T7" s="315"/>
      <c r="U7" s="315"/>
      <c r="V7" s="315"/>
      <c r="W7" s="315"/>
      <c r="X7" s="315"/>
      <c r="Y7" s="315"/>
      <c r="Z7" s="315"/>
      <c r="AA7" s="315"/>
      <c r="AB7" s="315"/>
      <c r="AC7" s="263"/>
      <c r="AD7" s="263"/>
      <c r="AE7" s="263"/>
      <c r="AF7" s="263"/>
      <c r="AG7" s="263"/>
      <c r="AH7" s="263"/>
      <c r="AI7" s="263"/>
      <c r="AJ7" s="263"/>
      <c r="AK7" s="263"/>
      <c r="AL7" s="263"/>
      <c r="AM7" s="263"/>
      <c r="AN7" s="263"/>
      <c r="AO7" s="263"/>
      <c r="AP7" s="263"/>
    </row>
    <row r="8" spans="1:42">
      <c r="A8" s="369" t="s">
        <v>167</v>
      </c>
      <c r="B8" s="239"/>
      <c r="C8" s="239"/>
      <c r="D8" s="239"/>
      <c r="E8" s="370">
        <f>Assumptions!D45</f>
        <v>0</v>
      </c>
      <c r="F8" s="371">
        <f>E8*'Valuation Summary'!E52</f>
        <v>0</v>
      </c>
      <c r="G8" s="370">
        <f>Assumptions!G45</f>
        <v>0.1032</v>
      </c>
      <c r="H8" s="380">
        <f>Assumptions!F45</f>
        <v>8</v>
      </c>
      <c r="I8" s="96" t="str">
        <f>IF(Assumptions!I45=1,"No Amort",IF(Assumptions!I45=2,"Partial Amort",IF(Assumptions!I45=3,"Mortgage","N/A")))</f>
        <v>Partial Amort</v>
      </c>
      <c r="J8" s="372">
        <f>IF(I8="Mortgage","100%",Assumptions!J45)</f>
        <v>0.2</v>
      </c>
      <c r="K8" s="227"/>
      <c r="L8" s="227"/>
      <c r="M8" s="227"/>
      <c r="N8" s="227"/>
      <c r="O8" s="227"/>
      <c r="P8" s="316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62"/>
      <c r="AD8" s="262"/>
      <c r="AE8" s="262"/>
      <c r="AF8" s="262"/>
      <c r="AG8" s="262"/>
      <c r="AH8" s="262"/>
      <c r="AI8" s="262"/>
      <c r="AJ8" s="262"/>
      <c r="AK8" s="262"/>
      <c r="AL8" s="262"/>
      <c r="AM8" s="262"/>
      <c r="AN8" s="262"/>
      <c r="AO8" s="262"/>
      <c r="AP8" s="262"/>
    </row>
    <row r="9" spans="1:42">
      <c r="A9" s="369" t="s">
        <v>219</v>
      </c>
      <c r="B9" s="239"/>
      <c r="C9" s="239"/>
      <c r="D9" s="239"/>
      <c r="E9" s="370">
        <f>Assumptions!D46</f>
        <v>0</v>
      </c>
      <c r="F9" s="371">
        <f>Debt!E9*'Valuation Summary'!E52</f>
        <v>0</v>
      </c>
      <c r="G9" s="370">
        <f>Assumptions!G46</f>
        <v>0.11</v>
      </c>
      <c r="H9" s="380">
        <f>Assumptions!F46</f>
        <v>7</v>
      </c>
      <c r="I9" s="96" t="str">
        <f>IF(Assumptions!I46=1,"No Amort",IF(Assumptions!I46=2,"Partial Amort",IF(Assumptions!I46=3,"Mortgage","N/A")))</f>
        <v>No Amort</v>
      </c>
      <c r="J9" s="372">
        <f>Assumptions!J46</f>
        <v>0</v>
      </c>
      <c r="K9" s="227"/>
      <c r="L9" s="227"/>
      <c r="M9" s="227"/>
      <c r="N9" s="227"/>
      <c r="O9" s="227"/>
      <c r="P9" s="316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</row>
    <row r="10" spans="1:42">
      <c r="A10" s="373" t="s">
        <v>179</v>
      </c>
      <c r="B10" s="318"/>
      <c r="C10" s="318"/>
      <c r="D10" s="318"/>
      <c r="E10" s="319">
        <v>0</v>
      </c>
      <c r="F10" s="246"/>
      <c r="G10" s="319">
        <f>Assumptions!G47</f>
        <v>9.5000000000000001E-2</v>
      </c>
      <c r="H10" s="291" t="str">
        <f>Assumptions!F47</f>
        <v>N/A</v>
      </c>
      <c r="I10" s="320" t="str">
        <f>IF(Assumptions!I47=1,"No Amort",IF(Assumptions!I47=2,"Partial Amort",IF(Assumptions!I47=3,"Mortgage","N/A")))</f>
        <v>N/A</v>
      </c>
      <c r="J10" s="374" t="str">
        <f>Assumptions!J47</f>
        <v>N/A</v>
      </c>
      <c r="K10" s="227"/>
      <c r="L10" s="227"/>
      <c r="M10" s="227"/>
      <c r="N10" s="227"/>
      <c r="O10" s="227"/>
      <c r="P10" s="321"/>
      <c r="Q10" s="322"/>
      <c r="R10" s="322"/>
      <c r="S10" s="322"/>
      <c r="T10" s="322"/>
      <c r="U10" s="322"/>
      <c r="V10" s="322"/>
      <c r="W10" s="322"/>
      <c r="X10" s="322"/>
      <c r="Y10" s="322"/>
      <c r="Z10" s="322"/>
      <c r="AA10" s="322"/>
      <c r="AB10" s="322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</row>
    <row r="11" spans="1:42">
      <c r="A11" s="375" t="s">
        <v>196</v>
      </c>
      <c r="B11" s="323"/>
      <c r="C11" s="323"/>
      <c r="D11" s="323"/>
      <c r="E11" s="324">
        <f>SUM(E7:E10)</f>
        <v>0.36526261134097698</v>
      </c>
      <c r="F11" s="361">
        <f>SUM(F7:F10)</f>
        <v>3617664.312906397</v>
      </c>
      <c r="G11" s="362"/>
      <c r="H11" s="33"/>
      <c r="I11" s="363"/>
      <c r="J11" s="376"/>
      <c r="K11" s="326"/>
      <c r="L11" s="227"/>
      <c r="M11" s="227"/>
      <c r="N11" s="227"/>
      <c r="O11" s="227"/>
      <c r="P11" s="326"/>
      <c r="Q11" s="322"/>
      <c r="R11" s="322"/>
      <c r="S11" s="322"/>
      <c r="T11" s="322"/>
      <c r="U11" s="322"/>
      <c r="V11" s="322"/>
      <c r="W11" s="322"/>
      <c r="X11" s="322"/>
      <c r="Y11" s="322"/>
      <c r="Z11" s="322"/>
      <c r="AA11" s="322"/>
      <c r="AB11" s="322"/>
      <c r="AC11" s="266"/>
      <c r="AD11" s="266"/>
      <c r="AE11" s="266"/>
      <c r="AF11" s="266"/>
      <c r="AG11" s="266"/>
      <c r="AH11" s="266"/>
      <c r="AI11" s="266"/>
      <c r="AJ11" s="266"/>
      <c r="AK11" s="266"/>
      <c r="AL11" s="266"/>
      <c r="AM11" s="266"/>
      <c r="AN11" s="266"/>
      <c r="AO11" s="266"/>
      <c r="AP11" s="266"/>
    </row>
    <row r="12" spans="1:42">
      <c r="A12" s="326"/>
      <c r="B12" s="326"/>
      <c r="C12" s="326"/>
      <c r="D12" s="326"/>
      <c r="E12" s="327"/>
      <c r="F12" s="311"/>
      <c r="G12" s="325"/>
      <c r="H12" s="326"/>
      <c r="I12" s="326"/>
      <c r="J12" s="227"/>
      <c r="K12" s="326"/>
      <c r="L12" s="227"/>
      <c r="M12" s="227"/>
      <c r="N12" s="227"/>
      <c r="O12" s="227"/>
      <c r="P12" s="326"/>
      <c r="Q12" s="322"/>
      <c r="R12" s="322"/>
      <c r="S12" s="322"/>
      <c r="T12" s="322"/>
      <c r="U12" s="322"/>
      <c r="V12" s="322"/>
      <c r="W12" s="322"/>
      <c r="X12" s="322"/>
      <c r="Y12" s="322"/>
      <c r="Z12" s="322"/>
      <c r="AA12" s="322"/>
      <c r="AB12" s="322"/>
      <c r="AC12" s="266"/>
      <c r="AD12" s="266"/>
      <c r="AE12" s="266"/>
      <c r="AF12" s="266"/>
      <c r="AG12" s="266"/>
      <c r="AH12" s="266"/>
      <c r="AI12" s="266"/>
      <c r="AJ12" s="266"/>
      <c r="AK12" s="266"/>
      <c r="AL12" s="266"/>
      <c r="AM12" s="266"/>
      <c r="AN12" s="266"/>
      <c r="AO12" s="266"/>
      <c r="AP12" s="266"/>
    </row>
    <row r="13" spans="1:42">
      <c r="A13" s="326"/>
      <c r="B13" s="326"/>
      <c r="C13" s="326"/>
      <c r="D13" s="326"/>
      <c r="E13" s="309" t="s">
        <v>203</v>
      </c>
      <c r="F13" s="328"/>
      <c r="G13" s="323"/>
      <c r="H13" s="323"/>
      <c r="I13" s="246"/>
      <c r="J13" s="323"/>
      <c r="K13" s="246"/>
      <c r="L13" s="246"/>
      <c r="M13" s="246"/>
      <c r="N13" s="246"/>
      <c r="O13" s="326"/>
      <c r="Q13" s="322"/>
      <c r="R13" s="322"/>
      <c r="S13" s="322"/>
      <c r="T13" s="322"/>
      <c r="U13" s="322"/>
      <c r="V13" s="322"/>
      <c r="W13" s="322"/>
      <c r="X13" s="322"/>
      <c r="Y13" s="322"/>
      <c r="Z13" s="322"/>
      <c r="AA13" s="322"/>
      <c r="AB13" s="322"/>
      <c r="AC13" s="266"/>
      <c r="AD13" s="266"/>
      <c r="AE13" s="266"/>
      <c r="AF13" s="266"/>
      <c r="AG13" s="266"/>
      <c r="AH13" s="266"/>
      <c r="AI13" s="266"/>
      <c r="AJ13" s="266"/>
      <c r="AK13" s="266"/>
      <c r="AL13" s="266"/>
      <c r="AM13" s="266"/>
      <c r="AN13" s="266"/>
      <c r="AO13" s="266"/>
      <c r="AP13" s="266"/>
    </row>
    <row r="14" spans="1:42">
      <c r="A14" s="326"/>
      <c r="B14" s="326"/>
      <c r="C14" s="326"/>
      <c r="D14" s="326"/>
      <c r="E14" s="256">
        <v>2002</v>
      </c>
      <c r="F14" s="289">
        <v>2003</v>
      </c>
      <c r="G14" s="256">
        <v>2004</v>
      </c>
      <c r="H14" s="289">
        <v>2005</v>
      </c>
      <c r="I14" s="256">
        <v>2006</v>
      </c>
      <c r="J14" s="289">
        <v>2007</v>
      </c>
      <c r="K14" s="256">
        <v>2008</v>
      </c>
      <c r="L14" s="289">
        <v>2009</v>
      </c>
      <c r="M14" s="256">
        <v>2010</v>
      </c>
      <c r="N14" s="289">
        <v>2011</v>
      </c>
      <c r="O14" s="329"/>
      <c r="Q14" s="322"/>
      <c r="R14" s="322"/>
      <c r="S14" s="322"/>
      <c r="T14" s="322"/>
      <c r="U14" s="322"/>
      <c r="V14" s="322"/>
      <c r="W14" s="322"/>
      <c r="X14" s="322"/>
      <c r="Y14" s="322"/>
      <c r="Z14" s="322"/>
      <c r="AA14" s="322"/>
      <c r="AB14" s="322"/>
      <c r="AC14" s="266"/>
      <c r="AD14" s="266"/>
      <c r="AE14" s="266"/>
      <c r="AF14" s="266"/>
      <c r="AG14" s="266"/>
      <c r="AH14" s="266"/>
      <c r="AI14" s="266"/>
      <c r="AJ14" s="266"/>
      <c r="AK14" s="266"/>
      <c r="AL14" s="266"/>
      <c r="AM14" s="266"/>
      <c r="AN14" s="266"/>
      <c r="AO14" s="266"/>
      <c r="AP14" s="266"/>
    </row>
    <row r="15" spans="1:42">
      <c r="A15" s="326"/>
      <c r="B15" s="326"/>
      <c r="C15" s="326"/>
      <c r="D15" s="348" t="s">
        <v>213</v>
      </c>
      <c r="E15" s="256">
        <v>1</v>
      </c>
      <c r="F15" s="289">
        <v>2</v>
      </c>
      <c r="G15" s="289">
        <v>3</v>
      </c>
      <c r="H15" s="289">
        <v>4</v>
      </c>
      <c r="I15" s="289">
        <v>5</v>
      </c>
      <c r="J15" s="289">
        <v>6</v>
      </c>
      <c r="K15" s="289">
        <v>7</v>
      </c>
      <c r="L15" s="289">
        <v>8</v>
      </c>
      <c r="M15" s="289">
        <v>9</v>
      </c>
      <c r="N15" s="289">
        <v>10</v>
      </c>
      <c r="O15" s="329"/>
      <c r="Q15" s="322"/>
      <c r="R15" s="322"/>
      <c r="S15" s="322"/>
      <c r="T15" s="322"/>
      <c r="U15" s="322"/>
      <c r="V15" s="322"/>
      <c r="W15" s="322"/>
      <c r="X15" s="322"/>
      <c r="Y15" s="322"/>
      <c r="Z15" s="322"/>
      <c r="AA15" s="322"/>
      <c r="AB15" s="322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266"/>
      <c r="AN15" s="266"/>
      <c r="AO15" s="266"/>
      <c r="AP15" s="266"/>
    </row>
    <row r="16" spans="1:42" hidden="1" outlineLevel="1">
      <c r="A16" s="409" t="str">
        <f>+A10</f>
        <v>Revolver/New Financing (US$)</v>
      </c>
      <c r="B16" s="410"/>
      <c r="C16" s="410"/>
      <c r="D16" s="410"/>
      <c r="E16" s="411"/>
      <c r="F16" s="411"/>
      <c r="G16" s="411"/>
      <c r="H16" s="411"/>
      <c r="I16" s="411"/>
      <c r="J16" s="411"/>
      <c r="K16" s="412"/>
      <c r="L16" s="412"/>
      <c r="M16" s="412"/>
      <c r="N16" s="412"/>
      <c r="O16" s="414"/>
      <c r="Q16" s="322"/>
      <c r="R16" s="322"/>
      <c r="S16" s="322"/>
      <c r="T16" s="322"/>
      <c r="U16" s="322"/>
      <c r="V16" s="322"/>
      <c r="W16" s="322"/>
      <c r="X16" s="322"/>
      <c r="Y16" s="322"/>
      <c r="Z16" s="322"/>
      <c r="AA16" s="322"/>
      <c r="AB16" s="322"/>
      <c r="AC16" s="266"/>
      <c r="AD16" s="266"/>
      <c r="AE16" s="266"/>
      <c r="AF16" s="266"/>
      <c r="AG16" s="266"/>
      <c r="AH16" s="266"/>
      <c r="AI16" s="266"/>
      <c r="AJ16" s="266"/>
      <c r="AK16" s="266"/>
      <c r="AL16" s="266"/>
      <c r="AM16" s="266"/>
      <c r="AN16" s="266"/>
      <c r="AO16" s="266"/>
      <c r="AP16" s="266"/>
    </row>
    <row r="17" spans="1:42" hidden="1" outlineLevel="1">
      <c r="A17" s="330" t="s">
        <v>175</v>
      </c>
      <c r="B17" s="331"/>
      <c r="C17" s="331"/>
      <c r="D17" s="331"/>
      <c r="E17" s="332"/>
      <c r="F17" s="333" t="e">
        <f>#REF!</f>
        <v>#REF!</v>
      </c>
      <c r="G17" s="333" t="e">
        <f>F20</f>
        <v>#REF!</v>
      </c>
      <c r="H17" s="333" t="e">
        <f>G20</f>
        <v>#REF!</v>
      </c>
      <c r="I17" s="333" t="e">
        <f>H20</f>
        <v>#REF!</v>
      </c>
      <c r="J17" s="333" t="e">
        <f>I20</f>
        <v>#REF!</v>
      </c>
      <c r="K17" s="23"/>
      <c r="L17" s="23"/>
      <c r="M17" s="23"/>
      <c r="N17" s="23"/>
      <c r="O17" s="333"/>
      <c r="Q17" s="334"/>
      <c r="R17" s="322"/>
      <c r="S17" s="322"/>
      <c r="T17" s="322"/>
      <c r="U17" s="322"/>
      <c r="V17" s="322"/>
      <c r="W17" s="322"/>
      <c r="X17" s="322"/>
      <c r="Y17" s="322"/>
      <c r="Z17" s="322"/>
      <c r="AA17" s="322"/>
      <c r="AB17" s="322"/>
      <c r="AC17" s="266"/>
      <c r="AD17" s="266"/>
      <c r="AE17" s="266"/>
      <c r="AF17" s="266"/>
      <c r="AG17" s="266"/>
      <c r="AH17" s="266"/>
      <c r="AI17" s="266"/>
      <c r="AJ17" s="266"/>
      <c r="AK17" s="266"/>
      <c r="AL17" s="266"/>
      <c r="AM17" s="266"/>
      <c r="AN17" s="266"/>
      <c r="AO17" s="266"/>
      <c r="AP17" s="266"/>
    </row>
    <row r="18" spans="1:42" hidden="1" outlineLevel="1">
      <c r="A18" s="335" t="s">
        <v>183</v>
      </c>
      <c r="B18" s="331"/>
      <c r="C18" s="331"/>
      <c r="D18" s="331"/>
      <c r="E18" s="332"/>
      <c r="F18" s="333" t="e">
        <f>IF(((([5]CFS!O23+[5]BS!N7)/'[5]Curves Assumptions'!O13)-#REF!-#REF!-#REF!)&lt;0,-((([5]CFS!O23+[5]BS!N7)/'[5]Curves Assumptions'!O13)-#REF!-#REF!-#REF!),0)</f>
        <v>#REF!</v>
      </c>
      <c r="G18" s="333" t="e">
        <f>IF(((([5]CFS!P23+[5]BS!O7)/'[5]Curves Assumptions'!P13)-#REF!-#REF!-#REF!)&lt;0,-((([5]CFS!P23+[5]BS!O7)/'[5]Curves Assumptions'!P13)-#REF!-#REF!-#REF!),0)</f>
        <v>#REF!</v>
      </c>
      <c r="H18" s="333" t="e">
        <f>IF(((([5]CFS!Q23+[5]BS!P7)/'[5]Curves Assumptions'!Q13)-#REF!-#REF!-#REF!)&lt;0,-((([5]CFS!Q23+[5]BS!P7)/'[5]Curves Assumptions'!Q13)-#REF!-#REF!-#REF!),0)</f>
        <v>#REF!</v>
      </c>
      <c r="I18" s="333" t="e">
        <f>IF(((([5]CFS!R23+[5]BS!Q7)/'[5]Curves Assumptions'!R13)-#REF!-#REF!-#REF!)&lt;0,-((([5]CFS!R23+[5]BS!Q7)/'[5]Curves Assumptions'!R13)-#REF!-#REF!-#REF!),0)</f>
        <v>#REF!</v>
      </c>
      <c r="J18" s="333" t="e">
        <f>IF(((([5]CFS!S23+[5]BS!R7)/'[5]Curves Assumptions'!S13)-#REF!-#REF!-#REF!)&lt;0,-((([5]CFS!S23+[5]BS!R7)/'[5]Curves Assumptions'!S13)-#REF!-#REF!-#REF!),0)</f>
        <v>#REF!</v>
      </c>
      <c r="K18" s="23"/>
      <c r="L18" s="23"/>
      <c r="M18" s="23"/>
      <c r="N18" s="23"/>
      <c r="O18" s="333"/>
      <c r="Q18" s="322"/>
      <c r="R18" s="322"/>
      <c r="S18" s="322"/>
      <c r="T18" s="322"/>
      <c r="U18" s="322"/>
      <c r="V18" s="322"/>
      <c r="W18" s="322"/>
      <c r="X18" s="322"/>
      <c r="Y18" s="322"/>
      <c r="Z18" s="322"/>
      <c r="AA18" s="322"/>
      <c r="AB18" s="322"/>
      <c r="AC18" s="266"/>
      <c r="AD18" s="266"/>
      <c r="AE18" s="266"/>
      <c r="AF18" s="266"/>
      <c r="AG18" s="266"/>
      <c r="AH18" s="266"/>
      <c r="AI18" s="266"/>
      <c r="AJ18" s="266"/>
      <c r="AK18" s="266"/>
      <c r="AL18" s="266"/>
      <c r="AM18" s="266"/>
      <c r="AN18" s="266"/>
      <c r="AO18" s="266"/>
      <c r="AP18" s="266"/>
    </row>
    <row r="19" spans="1:42" hidden="1" outlineLevel="1">
      <c r="A19" s="335" t="s">
        <v>184</v>
      </c>
      <c r="B19" s="326"/>
      <c r="C19" s="326"/>
      <c r="D19" s="326"/>
      <c r="E19" s="336"/>
      <c r="F19" s="337" t="e">
        <f>-IF(F17&gt;0,IF((([5]CFS!O23/'[5]Curves Assumptions'!O13)+F25+F32+F39+([5]BS!N7/'[5]Curves Assumptions'!N13))&lt;0,0,IF((([5]CFS!O23/'[5]Curves Assumptions'!O13)+F25+F32+F39+([5]BS!N7/'[5]Curves Assumptions'!N13))&gt;F17,F17,(([5]CFS!O23/'[5]Curves Assumptions'!O13)+F25+F32+F39+([5]BS!N7/'[5]Curves Assumptions'!N13)))),0)</f>
        <v>#REF!</v>
      </c>
      <c r="G19" s="337" t="e">
        <f>-IF(G17&gt;0,IF((([5]CFS!P23/'[5]Curves Assumptions'!P13)+G25+G32+G39+([5]BS!O7/'[5]Curves Assumptions'!O13))&lt;0,0,IF((([5]CFS!P23/'[5]Curves Assumptions'!P13)+G25+G32+G39+([5]BS!O7/'[5]Curves Assumptions'!O13))&gt;G17,G17,(([5]CFS!P23/'[5]Curves Assumptions'!P13)+G25+G32+G39+([5]BS!O7/'[5]Curves Assumptions'!O13)))),0)</f>
        <v>#REF!</v>
      </c>
      <c r="H19" s="337" t="e">
        <f>-IF(H17&gt;0,IF((([5]CFS!Q23/'[5]Curves Assumptions'!Q13)+H25+H32+H39+([5]BS!P7/'[5]Curves Assumptions'!P13))&lt;0,0,IF((([5]CFS!Q23/'[5]Curves Assumptions'!Q13)+H25+H32+H39+([5]BS!P7/'[5]Curves Assumptions'!P13))&gt;H17,H17,(([5]CFS!Q23/'[5]Curves Assumptions'!Q13)+H25+H32+H39+([5]BS!P7/'[5]Curves Assumptions'!P13)))),0)</f>
        <v>#REF!</v>
      </c>
      <c r="I19" s="337" t="e">
        <f>-IF(I17&gt;0,IF((([5]CFS!R23/'[5]Curves Assumptions'!R13)+I25+I32+I39+([5]BS!Q7/'[5]Curves Assumptions'!Q13))&lt;0,0,IF((([5]CFS!R23/'[5]Curves Assumptions'!R13)+I25+I32+I39+([5]BS!Q7/'[5]Curves Assumptions'!Q13))&gt;I17,I17,(([5]CFS!R23/'[5]Curves Assumptions'!R13)+I25+I32+I39+([5]BS!Q7/'[5]Curves Assumptions'!Q13)))),0)</f>
        <v>#REF!</v>
      </c>
      <c r="J19" s="337" t="e">
        <f>-IF(J17&gt;0,IF((([5]CFS!S23/'[5]Curves Assumptions'!S13)+J25+J32+J39+([5]BS!R7/'[5]Curves Assumptions'!R13))&lt;0,0,IF((([5]CFS!S23/'[5]Curves Assumptions'!S13)+J25+J32+J39+([5]BS!R7/'[5]Curves Assumptions'!R13))&gt;J17,J17,(([5]CFS!S23/'[5]Curves Assumptions'!S13)+J25+J32+J39+([5]BS!R7/'[5]Curves Assumptions'!R13)))),0)</f>
        <v>#REF!</v>
      </c>
      <c r="K19" s="23"/>
      <c r="L19" s="23"/>
      <c r="M19" s="23"/>
      <c r="N19" s="23"/>
      <c r="O19" s="337"/>
      <c r="Q19" s="338"/>
      <c r="R19" s="322"/>
      <c r="S19" s="322"/>
      <c r="T19" s="322"/>
      <c r="U19" s="322"/>
      <c r="V19" s="322"/>
      <c r="W19" s="322"/>
      <c r="X19" s="322"/>
      <c r="Y19" s="322"/>
      <c r="Z19" s="322"/>
      <c r="AA19" s="322"/>
      <c r="AB19" s="322"/>
      <c r="AC19" s="266"/>
      <c r="AD19" s="266"/>
      <c r="AE19" s="266"/>
      <c r="AF19" s="266"/>
      <c r="AG19" s="266"/>
      <c r="AH19" s="266"/>
      <c r="AI19" s="266"/>
      <c r="AJ19" s="266"/>
      <c r="AK19" s="266"/>
      <c r="AL19" s="266"/>
      <c r="AM19" s="266"/>
      <c r="AN19" s="266"/>
      <c r="AO19" s="266"/>
      <c r="AP19" s="266"/>
    </row>
    <row r="20" spans="1:42" hidden="1" outlineLevel="1">
      <c r="A20" s="326" t="s">
        <v>182</v>
      </c>
      <c r="B20" s="326"/>
      <c r="C20" s="326"/>
      <c r="D20" s="326"/>
      <c r="E20" s="339">
        <f>+E10</f>
        <v>0</v>
      </c>
      <c r="F20" s="340" t="e">
        <f>SUM(F17:F19)</f>
        <v>#REF!</v>
      </c>
      <c r="G20" s="340" t="e">
        <f>SUM(G17:G19)</f>
        <v>#REF!</v>
      </c>
      <c r="H20" s="340" t="e">
        <f>SUM(H17:H19)</f>
        <v>#REF!</v>
      </c>
      <c r="I20" s="340" t="e">
        <f>SUM(I17:I19)</f>
        <v>#REF!</v>
      </c>
      <c r="J20" s="340" t="e">
        <f>SUM(J17:J19)</f>
        <v>#REF!</v>
      </c>
      <c r="K20" s="23"/>
      <c r="L20" s="23"/>
      <c r="M20" s="23"/>
      <c r="N20" s="23"/>
      <c r="O20" s="341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2"/>
      <c r="AB20" s="322"/>
      <c r="AC20" s="266"/>
      <c r="AD20" s="266"/>
      <c r="AE20" s="266"/>
      <c r="AF20" s="266"/>
      <c r="AG20" s="266"/>
      <c r="AH20" s="266"/>
      <c r="AI20" s="266"/>
      <c r="AJ20" s="266"/>
      <c r="AK20" s="266"/>
      <c r="AL20" s="266"/>
      <c r="AM20" s="266"/>
      <c r="AN20" s="266"/>
      <c r="AO20" s="266"/>
      <c r="AP20" s="266"/>
    </row>
    <row r="21" spans="1:42" hidden="1" outlineLevel="1">
      <c r="A21" s="342" t="s">
        <v>185</v>
      </c>
      <c r="B21" s="342"/>
      <c r="C21" s="342"/>
      <c r="D21" s="342"/>
      <c r="E21" s="343"/>
      <c r="F21" s="344" t="e">
        <f>+#REF!</f>
        <v>#REF!</v>
      </c>
      <c r="G21" s="344" t="e">
        <f>+#REF!</f>
        <v>#REF!</v>
      </c>
      <c r="H21" s="344" t="e">
        <f>+#REF!</f>
        <v>#REF!</v>
      </c>
      <c r="I21" s="344" t="e">
        <f>+#REF!</f>
        <v>#REF!</v>
      </c>
      <c r="J21" s="344" t="e">
        <f>+#REF!</f>
        <v>#REF!</v>
      </c>
      <c r="K21" s="23"/>
      <c r="L21" s="23"/>
      <c r="M21" s="23"/>
      <c r="N21" s="23"/>
      <c r="O21" s="345"/>
      <c r="Q21" s="322"/>
      <c r="R21" s="322"/>
      <c r="S21" s="322"/>
      <c r="T21" s="322"/>
      <c r="U21" s="322"/>
      <c r="V21" s="322"/>
      <c r="W21" s="322"/>
      <c r="X21" s="322"/>
      <c r="Y21" s="322"/>
      <c r="Z21" s="322"/>
      <c r="AA21" s="322"/>
      <c r="AB21" s="322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</row>
    <row r="22" spans="1:42" collapsed="1">
      <c r="A22" s="346"/>
      <c r="B22" s="346"/>
      <c r="C22" s="346"/>
      <c r="D22" s="346"/>
      <c r="E22" s="347"/>
      <c r="F22" s="345"/>
      <c r="G22" s="345"/>
      <c r="H22" s="345"/>
      <c r="I22" s="345"/>
      <c r="J22" s="345"/>
      <c r="K22" s="23"/>
      <c r="L22" s="23"/>
      <c r="M22" s="23"/>
      <c r="N22" s="23"/>
      <c r="O22" s="345"/>
      <c r="Q22" s="322"/>
      <c r="R22" s="322"/>
      <c r="S22" s="322"/>
      <c r="T22" s="322"/>
      <c r="U22" s="322"/>
      <c r="V22" s="322"/>
      <c r="W22" s="322"/>
      <c r="X22" s="322"/>
      <c r="Y22" s="322"/>
      <c r="Z22" s="322"/>
      <c r="AA22" s="322"/>
      <c r="AB22" s="322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</row>
    <row r="23" spans="1:42">
      <c r="A23" s="409" t="str">
        <f>+A7</f>
        <v>Senior Tranche A (US$)</v>
      </c>
      <c r="B23" s="410"/>
      <c r="C23" s="410"/>
      <c r="D23" s="410"/>
      <c r="E23" s="411"/>
      <c r="F23" s="411"/>
      <c r="G23" s="411"/>
      <c r="H23" s="411"/>
      <c r="I23" s="411"/>
      <c r="J23" s="411"/>
      <c r="K23" s="413"/>
      <c r="L23" s="413"/>
      <c r="M23" s="413"/>
      <c r="N23" s="413"/>
      <c r="O23" s="329"/>
      <c r="Q23" s="322"/>
      <c r="R23" s="322"/>
      <c r="S23" s="322"/>
      <c r="T23" s="322"/>
      <c r="U23" s="322"/>
      <c r="V23" s="322"/>
      <c r="W23" s="322"/>
      <c r="X23" s="322"/>
      <c r="Y23" s="322"/>
      <c r="Z23" s="322"/>
      <c r="AA23" s="322"/>
      <c r="AB23" s="322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</row>
    <row r="24" spans="1:42">
      <c r="A24" s="330" t="s">
        <v>175</v>
      </c>
      <c r="B24" s="331"/>
      <c r="C24" s="331"/>
      <c r="D24" s="331"/>
      <c r="E24" s="401">
        <f>F7</f>
        <v>3617664.312906397</v>
      </c>
      <c r="F24" s="401">
        <f>E27</f>
        <v>3255897.8816157575</v>
      </c>
      <c r="G24" s="401">
        <f t="shared" ref="G24:N24" si="0">F27</f>
        <v>2894131.4503251179</v>
      </c>
      <c r="H24" s="401">
        <f t="shared" si="0"/>
        <v>2532365.0190344783</v>
      </c>
      <c r="I24" s="401">
        <f t="shared" si="0"/>
        <v>2170598.5877438388</v>
      </c>
      <c r="J24" s="401">
        <f t="shared" si="0"/>
        <v>1808832.1564531992</v>
      </c>
      <c r="K24" s="401">
        <f t="shared" si="0"/>
        <v>1447065.7251625597</v>
      </c>
      <c r="L24" s="401">
        <f t="shared" si="0"/>
        <v>1085299.2938719201</v>
      </c>
      <c r="M24" s="401">
        <f t="shared" si="0"/>
        <v>723532.86258128041</v>
      </c>
      <c r="N24" s="401">
        <f t="shared" si="0"/>
        <v>361766.43129064073</v>
      </c>
      <c r="O24" s="330"/>
      <c r="Q24" s="322"/>
      <c r="R24" s="322"/>
      <c r="S24" s="318"/>
      <c r="T24" s="318"/>
      <c r="U24" s="318"/>
      <c r="V24" s="318"/>
      <c r="W24" s="318"/>
      <c r="X24" s="318"/>
      <c r="Y24" s="318"/>
      <c r="Z24" s="318"/>
      <c r="AA24" s="318"/>
      <c r="AB24" s="318"/>
      <c r="AC24" s="264"/>
      <c r="AD24" s="264"/>
      <c r="AE24" s="264"/>
      <c r="AF24" s="264"/>
      <c r="AG24" s="264"/>
      <c r="AH24" s="264"/>
      <c r="AI24" s="264"/>
      <c r="AJ24" s="264"/>
      <c r="AK24" s="266"/>
      <c r="AL24" s="266"/>
      <c r="AM24" s="266"/>
      <c r="AN24" s="266"/>
      <c r="AO24" s="266"/>
      <c r="AP24" s="266"/>
    </row>
    <row r="25" spans="1:42">
      <c r="A25" s="335" t="s">
        <v>180</v>
      </c>
      <c r="B25" s="335"/>
      <c r="C25" s="335"/>
      <c r="D25" s="335"/>
      <c r="E25" s="401">
        <f>IF(Assumptions!$I$44=1,Debt!E59,IF(Assumptions!$I$44=2,E68,IF(Assumptions!$I$44=3,Debt!E84-Debt!E85,"Enter Type of Amort")))</f>
        <v>361766.43129063968</v>
      </c>
      <c r="F25" s="401">
        <f>IF(Assumptions!$I$44=1,Debt!F59,IF(Assumptions!$I$44=2,F68,IF(Assumptions!$I$44=3,Debt!F84-Debt!F85,"Enter Type of Amort")))</f>
        <v>361766.43129063968</v>
      </c>
      <c r="G25" s="401">
        <f>IF(Assumptions!$I$44=1,Debt!G59,IF(Assumptions!$I$44=2,G68,IF(Assumptions!$I$44=3,Debt!G84-Debt!G85,"Enter Type of Amort")))</f>
        <v>361766.43129063968</v>
      </c>
      <c r="H25" s="401">
        <f>IF(Assumptions!$I$44=1,Debt!H59,IF(Assumptions!$I$44=2,H68,IF(Assumptions!$I$44=3,Debt!H84-Debt!H85,"Enter Type of Amort")))</f>
        <v>361766.43129063968</v>
      </c>
      <c r="I25" s="401">
        <f>IF(Assumptions!$I$44=1,Debt!I59,IF(Assumptions!$I$44=2,I68,IF(Assumptions!$I$44=3,Debt!I84-Debt!I85,"Enter Type of Amort")))</f>
        <v>361766.43129063968</v>
      </c>
      <c r="J25" s="401">
        <f>IF(Assumptions!$I$44=1,Debt!J59,IF(Assumptions!$I$44=2,J68,IF(Assumptions!$I$44=3,Debt!J84-Debt!J85,"Enter Type of Amort")))</f>
        <v>361766.43129063968</v>
      </c>
      <c r="K25" s="401">
        <f>IF(Assumptions!$I$44=1,Debt!K59,IF(Assumptions!$I$44=2,K68,IF(Assumptions!$I$44=3,Debt!K84-Debt!K85,"Enter Type of Amort")))</f>
        <v>361766.43129063968</v>
      </c>
      <c r="L25" s="401">
        <f>IF(Assumptions!$I$44=1,Debt!L59,IF(Assumptions!$I$44=2,L68,IF(Assumptions!$I$44=3,Debt!L84-Debt!L85,"Enter Type of Amort")))</f>
        <v>361766.43129063968</v>
      </c>
      <c r="M25" s="401">
        <f>IF(Assumptions!$I$44=1,Debt!M59,IF(Assumptions!$I$44=2,M68,IF(Assumptions!$I$44=3,Debt!M84-Debt!M85,"Enter Type of Amort")))</f>
        <v>361766.43129063968</v>
      </c>
      <c r="N25" s="401">
        <f>IF(Assumptions!$I$44=1,Debt!N59,IF(Assumptions!$I$44=2,N68,IF(Assumptions!$I$44=3,Debt!N84-Debt!N85,"Enter Type of Amort")))</f>
        <v>361766.43129064073</v>
      </c>
      <c r="O25" s="318"/>
      <c r="Q25" s="322"/>
      <c r="R25" s="322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264"/>
      <c r="AD25" s="264"/>
      <c r="AE25" s="266"/>
      <c r="AF25" s="264"/>
      <c r="AG25" s="264"/>
      <c r="AH25" s="264"/>
      <c r="AI25" s="264"/>
      <c r="AJ25" s="264"/>
      <c r="AK25" s="266"/>
      <c r="AL25" s="266"/>
      <c r="AM25" s="266"/>
      <c r="AN25" s="266"/>
      <c r="AO25" s="266"/>
      <c r="AP25" s="266"/>
    </row>
    <row r="26" spans="1:42">
      <c r="A26" s="335" t="s">
        <v>181</v>
      </c>
      <c r="B26" s="335"/>
      <c r="C26" s="335"/>
      <c r="D26" s="335"/>
      <c r="E26" s="401">
        <v>0</v>
      </c>
      <c r="F26" s="401">
        <v>0</v>
      </c>
      <c r="G26" s="401">
        <v>0</v>
      </c>
      <c r="H26" s="401">
        <v>0</v>
      </c>
      <c r="I26" s="401">
        <v>0</v>
      </c>
      <c r="J26" s="401">
        <v>0</v>
      </c>
      <c r="K26" s="401">
        <v>0</v>
      </c>
      <c r="L26" s="401">
        <v>0</v>
      </c>
      <c r="M26" s="401">
        <v>0</v>
      </c>
      <c r="N26" s="401">
        <v>0</v>
      </c>
      <c r="O26" s="318"/>
      <c r="Q26" s="322"/>
      <c r="R26" s="322"/>
      <c r="S26" s="322"/>
      <c r="T26" s="322"/>
      <c r="U26" s="322"/>
      <c r="V26" s="322"/>
      <c r="W26" s="322"/>
      <c r="X26" s="322"/>
      <c r="Y26" s="322"/>
      <c r="Z26" s="322"/>
      <c r="AA26" s="322"/>
      <c r="AB26" s="322"/>
      <c r="AC26" s="266"/>
      <c r="AD26" s="266"/>
      <c r="AE26" s="266"/>
      <c r="AF26" s="266"/>
      <c r="AG26" s="266"/>
      <c r="AH26" s="266"/>
      <c r="AI26" s="266"/>
      <c r="AJ26" s="266"/>
      <c r="AK26" s="266"/>
      <c r="AL26" s="266"/>
      <c r="AM26" s="266"/>
      <c r="AN26" s="266"/>
      <c r="AO26" s="266"/>
      <c r="AP26" s="266"/>
    </row>
    <row r="27" spans="1:42">
      <c r="A27" s="363" t="s">
        <v>182</v>
      </c>
      <c r="B27" s="363"/>
      <c r="C27" s="363"/>
      <c r="D27" s="363"/>
      <c r="E27" s="408">
        <f>E24-E25-E26</f>
        <v>3255897.8816157575</v>
      </c>
      <c r="F27" s="408">
        <f t="shared" ref="F27:N27" si="1">F24-F25-F26</f>
        <v>2894131.4503251179</v>
      </c>
      <c r="G27" s="408">
        <f t="shared" si="1"/>
        <v>2532365.0190344783</v>
      </c>
      <c r="H27" s="408">
        <f t="shared" si="1"/>
        <v>2170598.5877438388</v>
      </c>
      <c r="I27" s="408">
        <f t="shared" si="1"/>
        <v>1808832.1564531992</v>
      </c>
      <c r="J27" s="408">
        <f t="shared" si="1"/>
        <v>1447065.7251625597</v>
      </c>
      <c r="K27" s="408">
        <f t="shared" si="1"/>
        <v>1085299.2938719201</v>
      </c>
      <c r="L27" s="408">
        <f t="shared" si="1"/>
        <v>723532.86258128041</v>
      </c>
      <c r="M27" s="408">
        <f t="shared" si="1"/>
        <v>361766.43129064073</v>
      </c>
      <c r="N27" s="408">
        <f t="shared" si="1"/>
        <v>0</v>
      </c>
      <c r="O27" s="348"/>
      <c r="Q27" s="322"/>
      <c r="R27" s="322"/>
      <c r="S27" s="322"/>
      <c r="T27" s="322"/>
      <c r="U27" s="322"/>
      <c r="V27" s="322"/>
      <c r="W27" s="322"/>
      <c r="X27" s="322"/>
      <c r="Y27" s="322"/>
      <c r="Z27" s="322"/>
      <c r="AA27" s="322"/>
      <c r="AB27" s="322"/>
      <c r="AC27" s="266"/>
      <c r="AD27" s="266"/>
      <c r="AE27" s="266"/>
      <c r="AF27" s="266"/>
      <c r="AG27" s="266"/>
      <c r="AH27" s="266"/>
      <c r="AI27" s="266"/>
      <c r="AJ27" s="266"/>
      <c r="AK27" s="266"/>
      <c r="AL27" s="266"/>
      <c r="AM27" s="266"/>
      <c r="AN27" s="266"/>
      <c r="AO27" s="266"/>
      <c r="AP27" s="266"/>
    </row>
    <row r="28" spans="1:42" ht="13.5" thickBot="1">
      <c r="A28" s="406" t="s">
        <v>185</v>
      </c>
      <c r="B28" s="406"/>
      <c r="C28" s="406"/>
      <c r="D28" s="406"/>
      <c r="E28" s="407">
        <f>E24*$G$7</f>
        <v>271324.82346797979</v>
      </c>
      <c r="F28" s="407">
        <f t="shared" ref="F28:N28" si="2">F24*$G$7</f>
        <v>244192.34112118179</v>
      </c>
      <c r="G28" s="407">
        <f t="shared" si="2"/>
        <v>217059.85877438384</v>
      </c>
      <c r="H28" s="407">
        <f t="shared" si="2"/>
        <v>189927.37642758587</v>
      </c>
      <c r="I28" s="407">
        <f t="shared" si="2"/>
        <v>162794.8940807879</v>
      </c>
      <c r="J28" s="407">
        <f t="shared" si="2"/>
        <v>135662.41173398992</v>
      </c>
      <c r="K28" s="407">
        <f t="shared" si="2"/>
        <v>108529.92938719197</v>
      </c>
      <c r="L28" s="407">
        <f t="shared" si="2"/>
        <v>81397.447040394007</v>
      </c>
      <c r="M28" s="407">
        <f t="shared" si="2"/>
        <v>54264.964693596026</v>
      </c>
      <c r="N28" s="407">
        <f t="shared" si="2"/>
        <v>27132.482346798053</v>
      </c>
      <c r="O28" s="349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2"/>
      <c r="AB28" s="322"/>
      <c r="AC28" s="266"/>
      <c r="AD28" s="439"/>
      <c r="AE28" s="439"/>
      <c r="AF28" s="439"/>
      <c r="AG28" s="439"/>
      <c r="AH28" s="439"/>
      <c r="AI28" s="439"/>
      <c r="AJ28" s="439"/>
      <c r="AK28" s="439"/>
      <c r="AL28" s="266"/>
      <c r="AM28" s="266"/>
      <c r="AN28" s="266"/>
      <c r="AO28" s="266"/>
      <c r="AP28" s="266"/>
    </row>
    <row r="29" spans="1:42" ht="13.5" thickTop="1">
      <c r="A29" s="346"/>
      <c r="B29" s="346"/>
      <c r="C29" s="346"/>
      <c r="D29" s="346"/>
      <c r="E29" s="347"/>
      <c r="F29" s="349"/>
      <c r="G29" s="349"/>
      <c r="H29" s="349"/>
      <c r="I29" s="349"/>
      <c r="J29" s="349"/>
      <c r="K29" s="23"/>
      <c r="L29" s="23"/>
      <c r="M29" s="23"/>
      <c r="N29" s="23"/>
      <c r="O29" s="349"/>
      <c r="Q29" s="322"/>
      <c r="R29" s="322"/>
      <c r="S29" s="322"/>
      <c r="T29" s="322"/>
      <c r="U29" s="322"/>
      <c r="V29" s="322"/>
      <c r="W29" s="322"/>
      <c r="X29" s="322"/>
      <c r="Y29" s="322"/>
      <c r="Z29" s="322"/>
      <c r="AA29" s="322"/>
      <c r="AB29" s="322"/>
      <c r="AC29" s="266"/>
      <c r="AD29" s="439"/>
      <c r="AE29" s="439"/>
      <c r="AF29" s="439"/>
      <c r="AG29" s="439"/>
      <c r="AH29" s="439"/>
      <c r="AI29" s="439"/>
      <c r="AJ29" s="439"/>
      <c r="AK29" s="439"/>
      <c r="AL29" s="266"/>
      <c r="AM29" s="266"/>
      <c r="AN29" s="266"/>
      <c r="AO29" s="266"/>
      <c r="AP29" s="266"/>
    </row>
    <row r="30" spans="1:42">
      <c r="A30" s="409" t="str">
        <f>+A8</f>
        <v>Senior Tranche B (US$)</v>
      </c>
      <c r="B30" s="410"/>
      <c r="C30" s="410"/>
      <c r="D30" s="410"/>
      <c r="E30" s="411"/>
      <c r="F30" s="411"/>
      <c r="G30" s="411"/>
      <c r="H30" s="411"/>
      <c r="I30" s="411"/>
      <c r="J30" s="411"/>
      <c r="K30" s="413"/>
      <c r="L30" s="413"/>
      <c r="M30" s="413"/>
      <c r="N30" s="413"/>
      <c r="O30" s="329"/>
      <c r="Q30" s="322"/>
      <c r="R30" s="322"/>
      <c r="S30" s="322"/>
      <c r="T30" s="322"/>
      <c r="U30" s="322"/>
      <c r="V30" s="322"/>
      <c r="W30" s="322"/>
      <c r="X30" s="322"/>
      <c r="Y30" s="322"/>
      <c r="Z30" s="322"/>
      <c r="AA30" s="322"/>
      <c r="AB30" s="322"/>
      <c r="AC30" s="266"/>
      <c r="AD30" s="439"/>
      <c r="AE30" s="439"/>
      <c r="AF30" s="439"/>
      <c r="AG30" s="439"/>
      <c r="AH30" s="439"/>
      <c r="AI30" s="439"/>
      <c r="AJ30" s="439"/>
      <c r="AK30" s="439"/>
      <c r="AL30" s="266"/>
      <c r="AM30" s="266"/>
      <c r="AN30" s="266"/>
      <c r="AO30" s="266"/>
      <c r="AP30" s="266"/>
    </row>
    <row r="31" spans="1:42">
      <c r="A31" s="330" t="s">
        <v>175</v>
      </c>
      <c r="B31" s="331"/>
      <c r="C31" s="331"/>
      <c r="D31" s="331"/>
      <c r="E31" s="403">
        <f>F8</f>
        <v>0</v>
      </c>
      <c r="F31" s="403">
        <f>E34</f>
        <v>0</v>
      </c>
      <c r="G31" s="403">
        <f t="shared" ref="G31:N31" si="3">F34</f>
        <v>0</v>
      </c>
      <c r="H31" s="403">
        <f t="shared" si="3"/>
        <v>0</v>
      </c>
      <c r="I31" s="403">
        <f t="shared" si="3"/>
        <v>0</v>
      </c>
      <c r="J31" s="403">
        <f t="shared" si="3"/>
        <v>0</v>
      </c>
      <c r="K31" s="403">
        <f t="shared" si="3"/>
        <v>0</v>
      </c>
      <c r="L31" s="403">
        <f t="shared" si="3"/>
        <v>0</v>
      </c>
      <c r="M31" s="403">
        <f t="shared" si="3"/>
        <v>0</v>
      </c>
      <c r="N31" s="403">
        <f t="shared" si="3"/>
        <v>0</v>
      </c>
      <c r="O31" s="330"/>
      <c r="Q31" s="318"/>
      <c r="R31" s="318"/>
      <c r="S31" s="322"/>
      <c r="T31" s="322"/>
      <c r="U31" s="322"/>
      <c r="V31" s="322"/>
      <c r="W31" s="322"/>
      <c r="X31" s="322"/>
      <c r="Y31" s="322"/>
      <c r="Z31" s="322"/>
      <c r="AA31" s="322"/>
      <c r="AB31" s="322"/>
      <c r="AC31" s="266"/>
      <c r="AD31" s="439"/>
      <c r="AE31" s="439"/>
      <c r="AF31" s="439"/>
      <c r="AG31" s="439"/>
      <c r="AH31" s="439"/>
      <c r="AI31" s="439"/>
      <c r="AJ31" s="439"/>
      <c r="AK31" s="439"/>
      <c r="AL31" s="264"/>
      <c r="AM31" s="264"/>
      <c r="AN31" s="264"/>
      <c r="AO31" s="264"/>
      <c r="AP31" s="264"/>
    </row>
    <row r="32" spans="1:42">
      <c r="A32" s="335" t="s">
        <v>180</v>
      </c>
      <c r="B32" s="335"/>
      <c r="C32" s="335"/>
      <c r="D32" s="335"/>
      <c r="E32" s="401">
        <f>IF(Assumptions!$I$45=1,Debt!E60,IF(Assumptions!$I$45=2,E72,IF(Assumptions!$I$45=3,Debt!E89-Debt!E90,"Enter Type of Amort")))</f>
        <v>0</v>
      </c>
      <c r="F32" s="401">
        <f>IF(Assumptions!$I$45=1,Debt!F60,IF(Assumptions!$I$45=2,F72,IF(Assumptions!$I$45=3,Debt!F89-Debt!F90,"Enter Type of Amort")))</f>
        <v>0</v>
      </c>
      <c r="G32" s="401">
        <f>IF(Assumptions!$I$45=1,Debt!G60,IF(Assumptions!$I$45=2,G72,IF(Assumptions!$I$45=3,Debt!G89-Debt!G90,"Enter Type of Amort")))</f>
        <v>0</v>
      </c>
      <c r="H32" s="401">
        <f>IF(Assumptions!$I$45=1,Debt!H60,IF(Assumptions!$I$45=2,H72,IF(Assumptions!$I$45=3,Debt!H89-Debt!H90,"Enter Type of Amort")))</f>
        <v>0</v>
      </c>
      <c r="I32" s="401">
        <f>IF(Assumptions!$I$45=1,Debt!I60,IF(Assumptions!$I$45=2,I72,IF(Assumptions!$I$45=3,Debt!I89-Debt!I90,"Enter Type of Amort")))</f>
        <v>0</v>
      </c>
      <c r="J32" s="401">
        <f>IF(Assumptions!$I$45=1,Debt!J60,IF(Assumptions!$I$45=2,J72,IF(Assumptions!$I$45=3,Debt!J89-Debt!J90,"Enter Type of Amort")))</f>
        <v>0</v>
      </c>
      <c r="K32" s="401">
        <f>IF(Assumptions!$I$45=1,Debt!K60,IF(Assumptions!$I$45=2,K72,IF(Assumptions!$I$45=3,Debt!K89-Debt!K90,"Enter Type of Amort")))</f>
        <v>0</v>
      </c>
      <c r="L32" s="401">
        <f>IF(Assumptions!$I$45=1,Debt!L60,IF(Assumptions!$I$45=2,L72,IF(Assumptions!$I$45=3,Debt!L89-Debt!L90,"Enter Type of Amort")))</f>
        <v>0</v>
      </c>
      <c r="M32" s="401">
        <f>IF(Assumptions!$I$45=1,Debt!M60,IF(Assumptions!$I$45=2,M72,IF(Assumptions!$I$45=3,Debt!M89-Debt!M90,"Enter Type of Amort")))</f>
        <v>0</v>
      </c>
      <c r="N32" s="401">
        <f>IF(Assumptions!$I$45=1,Debt!N60,IF(Assumptions!$I$45=2,N72,IF(Assumptions!$I$45=3,Debt!N89-Debt!N90,"Enter Type of Amort")))</f>
        <v>0</v>
      </c>
      <c r="O32" s="318"/>
      <c r="Q32" s="318"/>
      <c r="R32" s="318"/>
      <c r="S32" s="322"/>
      <c r="T32" s="322"/>
      <c r="U32" s="322"/>
      <c r="V32" s="322"/>
      <c r="W32" s="322"/>
      <c r="X32" s="322"/>
      <c r="Y32" s="322"/>
      <c r="Z32" s="322"/>
      <c r="AA32" s="322"/>
      <c r="AB32" s="322"/>
      <c r="AC32" s="266"/>
      <c r="AD32" s="439"/>
      <c r="AE32" s="440"/>
      <c r="AF32" s="439"/>
      <c r="AG32" s="439"/>
      <c r="AH32" s="439"/>
      <c r="AI32" s="439"/>
      <c r="AJ32" s="439"/>
      <c r="AK32" s="439"/>
      <c r="AL32" s="264"/>
      <c r="AM32" s="264"/>
      <c r="AN32" s="264"/>
      <c r="AO32" s="264"/>
      <c r="AP32" s="264"/>
    </row>
    <row r="33" spans="1:42">
      <c r="A33" s="435" t="s">
        <v>181</v>
      </c>
      <c r="B33" s="435"/>
      <c r="C33" s="435"/>
      <c r="D33" s="435"/>
      <c r="E33" s="404">
        <v>0</v>
      </c>
      <c r="F33" s="404">
        <v>0</v>
      </c>
      <c r="G33" s="404">
        <v>0</v>
      </c>
      <c r="H33" s="404">
        <v>0</v>
      </c>
      <c r="I33" s="404">
        <v>0</v>
      </c>
      <c r="J33" s="404">
        <v>0</v>
      </c>
      <c r="K33" s="404">
        <v>0</v>
      </c>
      <c r="L33" s="404">
        <v>0</v>
      </c>
      <c r="M33" s="404">
        <v>0</v>
      </c>
      <c r="N33" s="404">
        <v>0</v>
      </c>
      <c r="O33" s="318"/>
      <c r="Q33" s="318"/>
      <c r="R33" s="318"/>
      <c r="S33" s="318"/>
      <c r="T33" s="318"/>
      <c r="U33" s="318"/>
      <c r="V33" s="318"/>
      <c r="W33" s="318"/>
      <c r="X33" s="318"/>
      <c r="Y33" s="318"/>
      <c r="Z33" s="318"/>
      <c r="AA33" s="318"/>
      <c r="AB33" s="318"/>
      <c r="AC33" s="264"/>
      <c r="AD33" s="439"/>
      <c r="AE33" s="439"/>
      <c r="AF33" s="439"/>
      <c r="AG33" s="439"/>
      <c r="AH33" s="439"/>
      <c r="AI33" s="439"/>
      <c r="AJ33" s="439"/>
      <c r="AK33" s="439"/>
      <c r="AL33" s="264"/>
      <c r="AM33" s="264"/>
      <c r="AN33" s="264"/>
      <c r="AO33" s="264"/>
      <c r="AP33" s="264"/>
    </row>
    <row r="34" spans="1:42">
      <c r="A34" s="326" t="s">
        <v>182</v>
      </c>
      <c r="B34" s="326"/>
      <c r="C34" s="326"/>
      <c r="D34" s="326"/>
      <c r="E34" s="632">
        <f>E31-E32-E33</f>
        <v>0</v>
      </c>
      <c r="F34" s="632">
        <f t="shared" ref="F34:N34" si="4">F31-F32-F33</f>
        <v>0</v>
      </c>
      <c r="G34" s="632">
        <f t="shared" si="4"/>
        <v>0</v>
      </c>
      <c r="H34" s="632">
        <f t="shared" si="4"/>
        <v>0</v>
      </c>
      <c r="I34" s="632">
        <f t="shared" si="4"/>
        <v>0</v>
      </c>
      <c r="J34" s="632">
        <f t="shared" si="4"/>
        <v>0</v>
      </c>
      <c r="K34" s="632">
        <f t="shared" si="4"/>
        <v>0</v>
      </c>
      <c r="L34" s="632">
        <f t="shared" si="4"/>
        <v>0</v>
      </c>
      <c r="M34" s="632">
        <f t="shared" si="4"/>
        <v>0</v>
      </c>
      <c r="N34" s="632">
        <f t="shared" si="4"/>
        <v>0</v>
      </c>
      <c r="O34" s="348"/>
      <c r="Q34" s="318"/>
      <c r="R34" s="318"/>
      <c r="S34" s="318"/>
      <c r="T34" s="318"/>
      <c r="U34" s="318"/>
      <c r="V34" s="318"/>
      <c r="W34" s="318"/>
      <c r="X34" s="318"/>
      <c r="Y34" s="318"/>
      <c r="Z34" s="318"/>
      <c r="AA34" s="318"/>
      <c r="AB34" s="318"/>
      <c r="AC34" s="264"/>
      <c r="AD34" s="439"/>
      <c r="AE34" s="439"/>
      <c r="AF34" s="439"/>
      <c r="AG34" s="439"/>
      <c r="AH34" s="439"/>
      <c r="AI34" s="439"/>
      <c r="AJ34" s="439"/>
      <c r="AK34" s="439"/>
      <c r="AL34" s="264"/>
      <c r="AM34" s="264"/>
      <c r="AN34" s="264"/>
      <c r="AO34" s="264"/>
      <c r="AP34" s="264"/>
    </row>
    <row r="35" spans="1:42" ht="13.5" thickBot="1">
      <c r="A35" s="400" t="s">
        <v>185</v>
      </c>
      <c r="B35" s="400"/>
      <c r="C35" s="400"/>
      <c r="D35" s="400"/>
      <c r="E35" s="405">
        <f>E31*$G$8</f>
        <v>0</v>
      </c>
      <c r="F35" s="405">
        <f t="shared" ref="F35:N35" si="5">F31*$G$8</f>
        <v>0</v>
      </c>
      <c r="G35" s="405">
        <f t="shared" si="5"/>
        <v>0</v>
      </c>
      <c r="H35" s="405">
        <f t="shared" si="5"/>
        <v>0</v>
      </c>
      <c r="I35" s="405">
        <f t="shared" si="5"/>
        <v>0</v>
      </c>
      <c r="J35" s="405">
        <f t="shared" si="5"/>
        <v>0</v>
      </c>
      <c r="K35" s="405">
        <f t="shared" si="5"/>
        <v>0</v>
      </c>
      <c r="L35" s="405">
        <f t="shared" si="5"/>
        <v>0</v>
      </c>
      <c r="M35" s="405">
        <f t="shared" si="5"/>
        <v>0</v>
      </c>
      <c r="N35" s="405">
        <f t="shared" si="5"/>
        <v>0</v>
      </c>
      <c r="O35" s="349"/>
      <c r="Q35" s="318"/>
      <c r="R35" s="318"/>
      <c r="S35" s="318"/>
      <c r="T35" s="318"/>
      <c r="U35" s="318"/>
      <c r="V35" s="318"/>
      <c r="W35" s="318"/>
      <c r="X35" s="318"/>
      <c r="Y35" s="318"/>
      <c r="Z35" s="318"/>
      <c r="AA35" s="318"/>
      <c r="AB35" s="318"/>
      <c r="AC35" s="264"/>
      <c r="AD35" s="439"/>
      <c r="AE35" s="439"/>
      <c r="AF35" s="439"/>
      <c r="AG35" s="439"/>
      <c r="AH35" s="439"/>
      <c r="AI35" s="439"/>
      <c r="AJ35" s="439"/>
      <c r="AK35" s="439"/>
      <c r="AL35" s="264"/>
      <c r="AM35" s="264"/>
      <c r="AN35" s="264"/>
      <c r="AO35" s="264"/>
      <c r="AP35" s="264"/>
    </row>
    <row r="36" spans="1:42" ht="13.5" thickTop="1">
      <c r="A36" s="346"/>
      <c r="B36" s="346"/>
      <c r="C36" s="346"/>
      <c r="D36" s="346"/>
      <c r="E36" s="347"/>
      <c r="F36" s="349"/>
      <c r="G36" s="349"/>
      <c r="H36" s="349"/>
      <c r="I36" s="349"/>
      <c r="J36" s="349"/>
      <c r="K36" s="23"/>
      <c r="L36" s="23"/>
      <c r="M36" s="23"/>
      <c r="N36" s="23"/>
      <c r="O36" s="349"/>
      <c r="Q36" s="318"/>
      <c r="R36" s="318"/>
      <c r="S36" s="318"/>
      <c r="T36" s="318"/>
      <c r="U36" s="318"/>
      <c r="V36" s="318"/>
      <c r="W36" s="318"/>
      <c r="X36" s="318"/>
      <c r="Y36" s="318"/>
      <c r="Z36" s="318"/>
      <c r="AA36" s="318"/>
      <c r="AB36" s="318"/>
      <c r="AC36" s="264"/>
      <c r="AD36" s="439"/>
      <c r="AE36" s="439"/>
      <c r="AF36" s="439"/>
      <c r="AG36" s="439"/>
      <c r="AH36" s="439"/>
      <c r="AI36" s="439"/>
      <c r="AJ36" s="439"/>
      <c r="AK36" s="439"/>
      <c r="AL36" s="264"/>
      <c r="AM36" s="264"/>
      <c r="AN36" s="264"/>
      <c r="AO36" s="264"/>
      <c r="AP36" s="264"/>
    </row>
    <row r="37" spans="1:42">
      <c r="A37" s="409" t="str">
        <f>+A9</f>
        <v>Junior Debt (US$)</v>
      </c>
      <c r="B37" s="410"/>
      <c r="C37" s="410"/>
      <c r="D37" s="410"/>
      <c r="E37" s="411"/>
      <c r="F37" s="411"/>
      <c r="G37" s="411"/>
      <c r="H37" s="411"/>
      <c r="I37" s="411"/>
      <c r="J37" s="411"/>
      <c r="K37" s="412"/>
      <c r="L37" s="412"/>
      <c r="M37" s="412"/>
      <c r="N37" s="412"/>
      <c r="O37" s="329"/>
      <c r="Q37" s="318"/>
      <c r="R37" s="318"/>
      <c r="S37" s="318"/>
      <c r="T37" s="318"/>
      <c r="U37" s="318"/>
      <c r="V37" s="318"/>
      <c r="W37" s="318"/>
      <c r="X37" s="318"/>
      <c r="Y37" s="318"/>
      <c r="Z37" s="318"/>
      <c r="AA37" s="318"/>
      <c r="AB37" s="318"/>
      <c r="AC37" s="264"/>
      <c r="AD37" s="439"/>
      <c r="AE37" s="439"/>
      <c r="AF37" s="439"/>
      <c r="AG37" s="439"/>
      <c r="AH37" s="439"/>
      <c r="AI37" s="439"/>
      <c r="AJ37" s="439"/>
      <c r="AK37" s="439"/>
      <c r="AL37" s="264"/>
      <c r="AM37" s="264"/>
      <c r="AN37" s="264"/>
      <c r="AO37" s="264"/>
      <c r="AP37" s="264"/>
    </row>
    <row r="38" spans="1:42">
      <c r="A38" s="330" t="s">
        <v>175</v>
      </c>
      <c r="B38" s="331"/>
      <c r="C38" s="331"/>
      <c r="D38" s="331"/>
      <c r="E38" s="436">
        <f>F9</f>
        <v>0</v>
      </c>
      <c r="F38" s="436">
        <f>E41</f>
        <v>0</v>
      </c>
      <c r="G38" s="436">
        <f t="shared" ref="G38:N38" si="6">F41</f>
        <v>0</v>
      </c>
      <c r="H38" s="436">
        <f t="shared" si="6"/>
        <v>0</v>
      </c>
      <c r="I38" s="436">
        <f t="shared" si="6"/>
        <v>0</v>
      </c>
      <c r="J38" s="436">
        <f t="shared" si="6"/>
        <v>0</v>
      </c>
      <c r="K38" s="436">
        <f t="shared" si="6"/>
        <v>0</v>
      </c>
      <c r="L38" s="436">
        <f t="shared" si="6"/>
        <v>0</v>
      </c>
      <c r="M38" s="436">
        <f t="shared" si="6"/>
        <v>0</v>
      </c>
      <c r="N38" s="436">
        <f t="shared" si="6"/>
        <v>0</v>
      </c>
      <c r="O38" s="330"/>
      <c r="Q38" s="318"/>
      <c r="R38" s="318"/>
      <c r="S38" s="318"/>
      <c r="T38" s="318"/>
      <c r="U38" s="318"/>
      <c r="V38" s="318"/>
      <c r="W38" s="318"/>
      <c r="X38" s="318"/>
      <c r="Y38" s="318"/>
      <c r="Z38" s="318"/>
      <c r="AA38" s="318"/>
      <c r="AB38" s="318"/>
      <c r="AC38" s="264"/>
      <c r="AD38" s="439"/>
      <c r="AE38" s="439"/>
      <c r="AF38" s="439"/>
      <c r="AG38" s="439"/>
      <c r="AH38" s="439"/>
      <c r="AI38" s="439"/>
      <c r="AJ38" s="439"/>
      <c r="AK38" s="439"/>
      <c r="AL38" s="264"/>
      <c r="AM38" s="264"/>
      <c r="AN38" s="264"/>
      <c r="AO38" s="264"/>
      <c r="AP38" s="264"/>
    </row>
    <row r="39" spans="1:42">
      <c r="A39" s="335" t="s">
        <v>180</v>
      </c>
      <c r="B39" s="335"/>
      <c r="C39" s="335"/>
      <c r="D39" s="335"/>
      <c r="E39" s="437">
        <f>IF(Assumptions!$I$46=1,Debt!E61,IF(Assumptions!$I$46=2,E76,IF(Assumptions!$I$46=3,Debt!E94-Debt!E95,"Enter Type of Amort")))</f>
        <v>0</v>
      </c>
      <c r="F39" s="437">
        <f>IF(Assumptions!$I$46=1,Debt!F61,IF(Assumptions!$I$46=2,F76,IF(Assumptions!$I$46=3,Debt!F94-Debt!F95,"Enter Type of Amort")))</f>
        <v>0</v>
      </c>
      <c r="G39" s="437">
        <f>IF(Assumptions!$I$46=1,Debt!G61,IF(Assumptions!$I$46=2,G76,IF(Assumptions!$I$46=3,Debt!G94-Debt!G95,"Enter Type of Amort")))</f>
        <v>0</v>
      </c>
      <c r="H39" s="437">
        <f>IF(Assumptions!$I$46=1,Debt!H61,IF(Assumptions!$I$46=2,H76,IF(Assumptions!$I$46=3,Debt!H94-Debt!H95,"Enter Type of Amort")))</f>
        <v>0</v>
      </c>
      <c r="I39" s="437">
        <f>IF(Assumptions!$I$46=1,Debt!I61,IF(Assumptions!$I$46=2,I76,IF(Assumptions!$I$46=3,Debt!I94-Debt!I95,"Enter Type of Amort")))</f>
        <v>0</v>
      </c>
      <c r="J39" s="437">
        <f>IF(Assumptions!$I$46=1,Debt!J61,IF(Assumptions!$I$46=2,J76,IF(Assumptions!$I$46=3,Debt!J94-Debt!J95,"Enter Type of Amort")))</f>
        <v>0</v>
      </c>
      <c r="K39" s="437">
        <f>IF(Assumptions!$I$46=1,Debt!K61,IF(Assumptions!$I$46=2,K76,IF(Assumptions!$I$46=3,Debt!K94-Debt!K95,"Enter Type of Amort")))</f>
        <v>0</v>
      </c>
      <c r="L39" s="437">
        <f>IF(Assumptions!$I$46=1,Debt!L61,IF(Assumptions!$I$46=2,L76,IF(Assumptions!$I$46=3,Debt!L94-Debt!L95,"Enter Type of Amort")))</f>
        <v>0</v>
      </c>
      <c r="M39" s="437">
        <f>IF(Assumptions!$I$46=1,Debt!M61,IF(Assumptions!$I$46=2,M76,IF(Assumptions!$I$46=3,Debt!M94-Debt!M95,"Enter Type of Amort")))</f>
        <v>0</v>
      </c>
      <c r="N39" s="437">
        <f>IF(Assumptions!$I$46=1,Debt!N61,IF(Assumptions!$I$46=2,N76,IF(Assumptions!$I$46=3,Debt!N94-Debt!N95,"Enter Type of Amort")))</f>
        <v>0</v>
      </c>
      <c r="O39" s="318"/>
      <c r="P39" s="34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264"/>
      <c r="AD39" s="439"/>
      <c r="AE39" s="439"/>
      <c r="AF39" s="439"/>
      <c r="AG39" s="439"/>
      <c r="AH39" s="439"/>
      <c r="AI39" s="439"/>
      <c r="AJ39" s="439"/>
      <c r="AK39" s="439"/>
      <c r="AL39" s="264"/>
      <c r="AM39" s="264"/>
      <c r="AN39" s="264"/>
      <c r="AO39" s="264"/>
      <c r="AP39" s="264"/>
    </row>
    <row r="40" spans="1:42">
      <c r="A40" s="435" t="s">
        <v>181</v>
      </c>
      <c r="B40" s="435"/>
      <c r="C40" s="435"/>
      <c r="D40" s="435"/>
      <c r="E40" s="438">
        <v>0</v>
      </c>
      <c r="F40" s="438">
        <v>0</v>
      </c>
      <c r="G40" s="438">
        <v>0</v>
      </c>
      <c r="H40" s="438">
        <v>0</v>
      </c>
      <c r="I40" s="438">
        <v>0</v>
      </c>
      <c r="J40" s="438">
        <v>0</v>
      </c>
      <c r="K40" s="438">
        <v>0</v>
      </c>
      <c r="L40" s="438">
        <v>0</v>
      </c>
      <c r="M40" s="438">
        <v>0</v>
      </c>
      <c r="N40" s="438">
        <v>0</v>
      </c>
      <c r="O40" s="318"/>
      <c r="P40" s="34"/>
      <c r="Q40" s="318"/>
      <c r="R40" s="318"/>
      <c r="S40" s="318"/>
      <c r="T40" s="318"/>
      <c r="U40" s="318"/>
      <c r="V40" s="318"/>
      <c r="W40" s="318"/>
      <c r="X40" s="318"/>
      <c r="Y40" s="318"/>
      <c r="Z40" s="318"/>
      <c r="AA40" s="318"/>
      <c r="AB40" s="318"/>
      <c r="AC40" s="264"/>
      <c r="AD40" s="439"/>
      <c r="AE40" s="439"/>
      <c r="AF40" s="439"/>
      <c r="AG40" s="439"/>
      <c r="AH40" s="439"/>
      <c r="AI40" s="439"/>
      <c r="AJ40" s="439"/>
      <c r="AK40" s="439"/>
      <c r="AL40" s="264"/>
      <c r="AM40" s="264"/>
      <c r="AN40" s="264"/>
      <c r="AO40" s="264"/>
      <c r="AP40" s="264"/>
    </row>
    <row r="41" spans="1:42">
      <c r="A41" s="326" t="s">
        <v>182</v>
      </c>
      <c r="B41" s="326"/>
      <c r="C41" s="326"/>
      <c r="D41" s="326"/>
      <c r="E41" s="632">
        <f>E38-E39-E40</f>
        <v>0</v>
      </c>
      <c r="F41" s="632">
        <f t="shared" ref="F41:N41" si="7">F38-F39-F40</f>
        <v>0</v>
      </c>
      <c r="G41" s="632">
        <f t="shared" si="7"/>
        <v>0</v>
      </c>
      <c r="H41" s="632">
        <f t="shared" si="7"/>
        <v>0</v>
      </c>
      <c r="I41" s="632">
        <f t="shared" si="7"/>
        <v>0</v>
      </c>
      <c r="J41" s="632">
        <f t="shared" si="7"/>
        <v>0</v>
      </c>
      <c r="K41" s="632">
        <f t="shared" si="7"/>
        <v>0</v>
      </c>
      <c r="L41" s="632">
        <f t="shared" si="7"/>
        <v>0</v>
      </c>
      <c r="M41" s="632">
        <f t="shared" si="7"/>
        <v>0</v>
      </c>
      <c r="N41" s="632">
        <f t="shared" si="7"/>
        <v>0</v>
      </c>
      <c r="O41" s="348"/>
      <c r="P41" s="34"/>
      <c r="Q41" s="317"/>
      <c r="R41" s="318"/>
      <c r="S41" s="318"/>
      <c r="T41" s="318"/>
      <c r="U41" s="318"/>
      <c r="V41" s="318"/>
      <c r="W41" s="318"/>
      <c r="X41" s="318"/>
      <c r="Y41" s="318"/>
      <c r="Z41" s="318"/>
      <c r="AA41" s="318"/>
      <c r="AB41" s="318"/>
      <c r="AC41" s="264"/>
      <c r="AD41" s="439"/>
      <c r="AE41" s="439"/>
      <c r="AF41" s="439"/>
      <c r="AG41" s="439"/>
      <c r="AH41" s="439"/>
      <c r="AI41" s="439"/>
      <c r="AJ41" s="439"/>
      <c r="AK41" s="439"/>
      <c r="AL41" s="264"/>
      <c r="AM41" s="266"/>
      <c r="AN41" s="266"/>
      <c r="AO41" s="266"/>
      <c r="AP41" s="266"/>
    </row>
    <row r="42" spans="1:42" ht="13.5" thickBot="1">
      <c r="A42" s="400" t="s">
        <v>185</v>
      </c>
      <c r="B42" s="400"/>
      <c r="C42" s="400"/>
      <c r="D42" s="400"/>
      <c r="E42" s="405">
        <f>E38*$G$9</f>
        <v>0</v>
      </c>
      <c r="F42" s="405">
        <f>F38*$G$9</f>
        <v>0</v>
      </c>
      <c r="G42" s="405">
        <f t="shared" ref="G42:N42" si="8">G38*$G$9</f>
        <v>0</v>
      </c>
      <c r="H42" s="405">
        <f t="shared" si="8"/>
        <v>0</v>
      </c>
      <c r="I42" s="405">
        <f t="shared" si="8"/>
        <v>0</v>
      </c>
      <c r="J42" s="405">
        <f t="shared" si="8"/>
        <v>0</v>
      </c>
      <c r="K42" s="405">
        <f t="shared" si="8"/>
        <v>0</v>
      </c>
      <c r="L42" s="405">
        <f t="shared" si="8"/>
        <v>0</v>
      </c>
      <c r="M42" s="405">
        <f t="shared" si="8"/>
        <v>0</v>
      </c>
      <c r="N42" s="405">
        <f t="shared" si="8"/>
        <v>0</v>
      </c>
      <c r="O42" s="349"/>
      <c r="P42" s="34"/>
      <c r="Q42" s="318"/>
      <c r="R42" s="318"/>
      <c r="S42" s="317"/>
      <c r="T42" s="318"/>
      <c r="U42" s="318"/>
      <c r="V42" s="318"/>
      <c r="W42" s="318"/>
      <c r="X42" s="318"/>
      <c r="Y42" s="317"/>
      <c r="Z42" s="318"/>
      <c r="AA42" s="318"/>
      <c r="AB42" s="318"/>
      <c r="AC42" s="267"/>
      <c r="AD42" s="441"/>
      <c r="AE42" s="439"/>
      <c r="AF42" s="439"/>
      <c r="AG42" s="439"/>
      <c r="AH42" s="439"/>
      <c r="AI42" s="439"/>
      <c r="AJ42" s="439"/>
      <c r="AK42" s="439"/>
      <c r="AL42" s="264"/>
      <c r="AM42" s="266"/>
      <c r="AN42" s="266"/>
      <c r="AO42" s="266"/>
      <c r="AP42" s="266"/>
    </row>
    <row r="43" spans="1:42" ht="13.5" thickTop="1">
      <c r="A43" s="346"/>
      <c r="B43" s="346"/>
      <c r="C43" s="346"/>
      <c r="D43" s="346"/>
      <c r="E43" s="347"/>
      <c r="F43" s="349"/>
      <c r="G43" s="349"/>
      <c r="H43" s="349"/>
      <c r="I43" s="349"/>
      <c r="J43" s="349"/>
      <c r="K43" s="23"/>
      <c r="L43" s="23"/>
      <c r="M43" s="23"/>
      <c r="N43" s="23"/>
      <c r="O43" s="349"/>
      <c r="P43" s="34"/>
      <c r="Q43" s="318"/>
      <c r="R43" s="318"/>
      <c r="S43" s="317"/>
      <c r="T43" s="318"/>
      <c r="U43" s="318"/>
      <c r="V43" s="318"/>
      <c r="W43" s="318"/>
      <c r="X43" s="318"/>
      <c r="Y43" s="317"/>
      <c r="Z43" s="318"/>
      <c r="AA43" s="318"/>
      <c r="AB43" s="318"/>
      <c r="AC43" s="267"/>
      <c r="AD43" s="441"/>
      <c r="AE43" s="439"/>
      <c r="AF43" s="439"/>
      <c r="AG43" s="439"/>
      <c r="AH43" s="439"/>
      <c r="AI43" s="439"/>
      <c r="AJ43" s="439"/>
      <c r="AK43" s="439"/>
      <c r="AL43" s="264"/>
      <c r="AM43" s="266"/>
      <c r="AN43" s="266"/>
      <c r="AO43" s="266"/>
      <c r="AP43" s="266"/>
    </row>
    <row r="44" spans="1:42" hidden="1" outlineLevel="1">
      <c r="A44" s="446" t="s">
        <v>186</v>
      </c>
      <c r="B44" s="447"/>
      <c r="C44" s="447"/>
      <c r="D44" s="447"/>
      <c r="E44" s="447"/>
      <c r="F44" s="448"/>
      <c r="G44" s="448"/>
      <c r="H44" s="448"/>
      <c r="I44" s="448"/>
      <c r="J44" s="448"/>
      <c r="K44" s="412"/>
      <c r="L44" s="412"/>
      <c r="M44" s="412"/>
      <c r="N44" s="412"/>
      <c r="O44" s="350"/>
      <c r="Q44" s="272"/>
      <c r="R44" s="272"/>
      <c r="S44" s="272"/>
      <c r="T44" s="272"/>
      <c r="U44" s="272"/>
      <c r="V44" s="272"/>
      <c r="W44" s="272"/>
      <c r="X44" s="272"/>
      <c r="Y44" s="272"/>
      <c r="Z44" s="272"/>
      <c r="AA44" s="272"/>
      <c r="AB44" s="272"/>
      <c r="AC44" s="259"/>
      <c r="AD44" s="442"/>
      <c r="AE44" s="439"/>
      <c r="AF44" s="439"/>
      <c r="AG44" s="439"/>
      <c r="AH44" s="439"/>
      <c r="AI44" s="439"/>
      <c r="AJ44" s="439"/>
      <c r="AK44" s="442"/>
      <c r="AL44" s="259"/>
      <c r="AM44" s="259"/>
      <c r="AN44" s="259"/>
      <c r="AO44" s="259"/>
      <c r="AP44" s="259"/>
    </row>
    <row r="45" spans="1:42" hidden="1" outlineLevel="1">
      <c r="A45" s="315" t="s">
        <v>187</v>
      </c>
      <c r="B45" s="315"/>
      <c r="C45" s="315"/>
      <c r="D45" s="315"/>
      <c r="E45" s="315"/>
      <c r="F45" s="848">
        <f>'Unlev. Consolid'!H111</f>
        <v>411697.7675983212</v>
      </c>
      <c r="G45" s="848">
        <f>'Unlev. Consolid'!I111</f>
        <v>340227.26698065136</v>
      </c>
      <c r="H45" s="848">
        <f>'Unlev. Consolid'!J111</f>
        <v>659011.27311854728</v>
      </c>
      <c r="I45" s="848">
        <f>'Unlev. Consolid'!K111</f>
        <v>754000.991516307</v>
      </c>
      <c r="J45" s="848">
        <f>'Unlev. Consolid'!L111</f>
        <v>751407.69268672541</v>
      </c>
      <c r="K45" s="848">
        <f>'Unlev. Consolid'!M111</f>
        <v>765871.64254694572</v>
      </c>
      <c r="L45" s="848">
        <f>'Unlev. Consolid'!N111</f>
        <v>774297.79690063046</v>
      </c>
      <c r="M45" s="848">
        <f>'Unlev. Consolid'!O111</f>
        <v>783684.58708550455</v>
      </c>
      <c r="N45" s="848">
        <f>'Unlev. Consolid'!P111</f>
        <v>755780.86496797472</v>
      </c>
      <c r="O45" s="315"/>
      <c r="Q45" s="351"/>
      <c r="R45" s="351"/>
      <c r="S45" s="351"/>
      <c r="T45" s="351"/>
      <c r="U45" s="351"/>
      <c r="V45" s="351"/>
      <c r="W45" s="351"/>
      <c r="X45" s="351"/>
      <c r="Y45" s="351"/>
      <c r="Z45" s="351"/>
      <c r="AA45" s="351"/>
      <c r="AB45" s="351"/>
      <c r="AC45" s="268"/>
      <c r="AD45" s="444"/>
      <c r="AE45" s="439"/>
      <c r="AF45" s="439"/>
      <c r="AG45" s="439"/>
      <c r="AH45" s="439"/>
      <c r="AI45" s="439"/>
      <c r="AJ45" s="439"/>
      <c r="AK45" s="444"/>
      <c r="AL45" s="268"/>
      <c r="AM45" s="268"/>
      <c r="AN45" s="268"/>
      <c r="AO45" s="268"/>
      <c r="AP45" s="268"/>
    </row>
    <row r="46" spans="1:42" hidden="1" outlineLevel="1">
      <c r="A46" s="229" t="s">
        <v>188</v>
      </c>
      <c r="B46" s="229"/>
      <c r="C46" s="229"/>
      <c r="D46" s="229"/>
      <c r="E46" s="229"/>
      <c r="F46" s="352" t="e">
        <f>-(#REF!-#REF!)</f>
        <v>#REF!</v>
      </c>
      <c r="G46" s="352" t="e">
        <f>-(#REF!-#REF!)</f>
        <v>#REF!</v>
      </c>
      <c r="H46" s="352" t="e">
        <f>-(#REF!-#REF!)</f>
        <v>#REF!</v>
      </c>
      <c r="I46" s="352" t="e">
        <f>-(#REF!-#REF!)</f>
        <v>#REF!</v>
      </c>
      <c r="J46" s="352" t="e">
        <f>-(#REF!-#REF!)</f>
        <v>#REF!</v>
      </c>
      <c r="K46" s="23"/>
      <c r="L46" s="23"/>
      <c r="M46" s="23"/>
      <c r="N46" s="23"/>
      <c r="O46" s="353"/>
      <c r="Q46" s="239"/>
      <c r="R46" s="239"/>
      <c r="S46" s="239"/>
      <c r="T46" s="239"/>
      <c r="U46" s="239"/>
      <c r="V46" s="239"/>
      <c r="W46" s="239"/>
      <c r="X46" s="239"/>
      <c r="Y46" s="239"/>
      <c r="Z46" s="239"/>
      <c r="AA46" s="239"/>
      <c r="AB46" s="239"/>
      <c r="AC46" s="265"/>
      <c r="AD46" s="443"/>
      <c r="AE46" s="439"/>
      <c r="AF46" s="439"/>
      <c r="AG46" s="439"/>
      <c r="AH46" s="439"/>
      <c r="AI46" s="439"/>
      <c r="AJ46" s="439"/>
      <c r="AK46" s="443"/>
      <c r="AL46" s="265"/>
      <c r="AM46" s="265"/>
      <c r="AN46" s="265"/>
      <c r="AO46" s="265"/>
      <c r="AP46" s="265"/>
    </row>
    <row r="47" spans="1:42" hidden="1" outlineLevel="1">
      <c r="A47" s="6" t="s">
        <v>189</v>
      </c>
      <c r="B47" s="6"/>
      <c r="C47" s="6"/>
      <c r="D47" s="6"/>
      <c r="E47" s="6"/>
      <c r="F47" s="354" t="e">
        <f>SUM(F45:F46)</f>
        <v>#REF!</v>
      </c>
      <c r="G47" s="354" t="e">
        <f>SUM(G45:G46)</f>
        <v>#REF!</v>
      </c>
      <c r="H47" s="354" t="e">
        <f>SUM(H45:H46)</f>
        <v>#REF!</v>
      </c>
      <c r="I47" s="354" t="e">
        <f>SUM(I45:I46)</f>
        <v>#REF!</v>
      </c>
      <c r="J47" s="354" t="e">
        <f>SUM(J45:J46)</f>
        <v>#REF!</v>
      </c>
      <c r="K47" s="23"/>
      <c r="L47" s="23"/>
      <c r="M47" s="23"/>
      <c r="N47" s="23"/>
      <c r="O47" s="354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269"/>
      <c r="AD47" s="445"/>
      <c r="AE47" s="439"/>
      <c r="AF47" s="439"/>
      <c r="AG47" s="439"/>
      <c r="AH47" s="439"/>
      <c r="AI47" s="439"/>
      <c r="AJ47" s="439"/>
      <c r="AK47" s="445"/>
      <c r="AL47" s="269"/>
      <c r="AM47" s="269"/>
      <c r="AN47" s="269"/>
      <c r="AO47" s="269"/>
      <c r="AP47" s="269"/>
    </row>
    <row r="48" spans="1:42" hidden="1" outlineLevel="1">
      <c r="A48" s="56"/>
      <c r="B48" s="56"/>
      <c r="C48" s="56"/>
      <c r="D48" s="56"/>
      <c r="E48" s="355" t="str">
        <f>+'[5]Financing Assumptions'!E33</f>
        <v>Debt Cash Sweep</v>
      </c>
      <c r="F48" s="356" t="e">
        <f>IF((F47)&lt;=0,0,#REF!*(F47))</f>
        <v>#REF!</v>
      </c>
      <c r="G48" s="356" t="e">
        <f>IF((G47)&lt;=0,0,#REF!*(G47))</f>
        <v>#REF!</v>
      </c>
      <c r="H48" s="356" t="e">
        <f>IF((H47)&lt;=0,0,#REF!*(H47))</f>
        <v>#REF!</v>
      </c>
      <c r="I48" s="356" t="e">
        <f>IF((I47)&lt;=0,0,#REF!*(I47))</f>
        <v>#REF!</v>
      </c>
      <c r="J48" s="356" t="e">
        <f>IF((J47)&lt;=0,0,#REF!*(J47))</f>
        <v>#REF!</v>
      </c>
      <c r="K48" s="23"/>
      <c r="L48" s="23"/>
      <c r="M48" s="23"/>
      <c r="N48" s="23"/>
      <c r="O48" s="356"/>
      <c r="Q48" s="239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269"/>
      <c r="AD48" s="445"/>
      <c r="AE48" s="439"/>
      <c r="AF48" s="445"/>
      <c r="AG48" s="445"/>
      <c r="AH48" s="445"/>
      <c r="AI48" s="445"/>
      <c r="AJ48" s="445"/>
      <c r="AK48" s="445"/>
      <c r="AL48" s="269"/>
      <c r="AM48" s="269"/>
      <c r="AN48" s="269"/>
      <c r="AO48" s="269"/>
      <c r="AP48" s="269"/>
    </row>
    <row r="49" spans="1:42" hidden="1" outlineLevel="1">
      <c r="A49" s="229" t="str">
        <f>+A7</f>
        <v>Senior Tranche A (US$)</v>
      </c>
      <c r="B49" s="6"/>
      <c r="C49" s="6"/>
      <c r="D49" s="6"/>
      <c r="E49" s="6"/>
      <c r="F49" s="314">
        <f>IF($K$7=0,0,IF((F24+F25)&gt;F48,IF((F24+F25)&lt;=0,0,F48),(F24+F25)))</f>
        <v>0</v>
      </c>
      <c r="G49" s="314">
        <f>IF($K$7=0,0,IF((G24+G25)&gt;G48,IF((G24+G25)&lt;=0,0,G48),(G24+G25)))</f>
        <v>0</v>
      </c>
      <c r="H49" s="314">
        <f>IF($K$7=0,0,IF((H24+H25)&gt;H48,IF((H24+H25)&lt;=0,0,H48),(H24+H25)))</f>
        <v>0</v>
      </c>
      <c r="I49" s="314">
        <f>IF($K$7=0,0,IF((I24+I25)&gt;I48,IF((I24+I25)&lt;=0,0,I48),(I24+I25)))</f>
        <v>0</v>
      </c>
      <c r="J49" s="314">
        <f>IF($K$7=0,0,IF((J24+J25)&gt;J48,IF((J24+J25)&lt;=0,0,J48),(J24+J25)))</f>
        <v>0</v>
      </c>
      <c r="K49" s="23"/>
      <c r="L49" s="23"/>
      <c r="M49" s="23"/>
      <c r="N49" s="23"/>
      <c r="O49" s="314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269"/>
      <c r="AD49" s="445"/>
      <c r="AE49" s="445"/>
      <c r="AF49" s="445"/>
      <c r="AG49" s="445"/>
      <c r="AH49" s="445"/>
      <c r="AI49" s="445"/>
      <c r="AJ49" s="445"/>
      <c r="AK49" s="445"/>
      <c r="AL49" s="269"/>
      <c r="AM49" s="269"/>
      <c r="AN49" s="269"/>
      <c r="AO49" s="269"/>
      <c r="AP49" s="269"/>
    </row>
    <row r="50" spans="1:42" hidden="1" outlineLevel="1">
      <c r="A50" s="229" t="str">
        <f>+A8</f>
        <v>Senior Tranche B (US$)</v>
      </c>
      <c r="B50" s="6"/>
      <c r="C50" s="6"/>
      <c r="D50" s="6"/>
      <c r="E50" s="6"/>
      <c r="F50" s="314">
        <f>IF($K$8=0,0,IF(F48=F49,0,IF(F31+F32&gt;=0,IF((F31+F32)&lt;F48,F31+F32,F48-F49),0)))</f>
        <v>0</v>
      </c>
      <c r="G50" s="314">
        <f>IF($K$8=0,0,IF(G48=G49,0,IF(G31+G32&gt;=0,IF((G31+G32)&lt;G48,G31+G32,G48-G49),0)))</f>
        <v>0</v>
      </c>
      <c r="H50" s="314">
        <f>IF($K$8=0,0,IF(H48=H49,0,IF(H31+H32&gt;=0,IF((H31+H32)&lt;H48-H49,H31+H32,H48-H49),0)))</f>
        <v>0</v>
      </c>
      <c r="I50" s="314">
        <f>IF($K$8=0,0,IF(I48=I49,0,IF(I31+I32&gt;=0,IF((I31+I32)&lt;I48-I49,I31+I32,I48-I49),0)))</f>
        <v>0</v>
      </c>
      <c r="J50" s="314">
        <f>IF($K$8=0,0,IF(J48=J49,0,IF(J31+J32&gt;=0,IF((J31+J32)&lt;J48-J49,J31+J32,J48-J49),0)))</f>
        <v>0</v>
      </c>
      <c r="K50" s="23"/>
      <c r="L50" s="23"/>
      <c r="M50" s="23"/>
      <c r="N50" s="23"/>
      <c r="O50" s="314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269"/>
      <c r="AD50" s="445"/>
      <c r="AE50" s="445"/>
      <c r="AF50" s="445"/>
      <c r="AG50" s="445"/>
      <c r="AH50" s="445"/>
      <c r="AI50" s="445"/>
      <c r="AJ50" s="445"/>
      <c r="AK50" s="445"/>
      <c r="AL50" s="269"/>
      <c r="AM50" s="269"/>
      <c r="AN50" s="269"/>
      <c r="AO50" s="269"/>
      <c r="AP50" s="269"/>
    </row>
    <row r="51" spans="1:42" hidden="1" outlineLevel="1">
      <c r="A51" s="242" t="str">
        <f>+A9</f>
        <v>Junior Debt (US$)</v>
      </c>
      <c r="B51" s="357"/>
      <c r="C51" s="357"/>
      <c r="D51" s="357"/>
      <c r="E51" s="357"/>
      <c r="F51" s="253">
        <f>IF($K$9=0,0,IF(F48=F49,0,IF(F48=F49+F50,0,IF((F38+F39)&gt;=0,IF((F38+F39)&lt;F48,F38+F39,(F48)-F49-F50),0))))</f>
        <v>0</v>
      </c>
      <c r="G51" s="253">
        <f>IF($K$9=0,0,IF(G48=G49,0,IF(G48=G49+G50,0,IF((G38+G39)&gt;=0,IF((G38+G39)&lt;G48,G38+G39,(G48)-G49-G50),0))))</f>
        <v>0</v>
      </c>
      <c r="H51" s="253">
        <f>IF($K$9=0,0,IF(H48=H49,0,IF(H48=H49+H50,0,IF((H38+H39)&gt;=0,IF((H38+H39)&lt;H48,H38+H39,(H48)-H49-H50),0))))</f>
        <v>0</v>
      </c>
      <c r="I51" s="253">
        <f>IF($K$9=0,0,IF(I48=I49,0,IF(I48=I49+I50,0,IF((I38+I39)&gt;=0,IF((I38+I39)&lt;I48-I49-I50,I38+I39,I48-I49-I50),0))))</f>
        <v>0</v>
      </c>
      <c r="J51" s="253">
        <f>IF($K$9=0,0,IF(J48=J49,0,IF(J48=J49+J50,0,IF((J38+J39)&gt;=0,IF((J38+J39)&lt;J48,J38+J39,(J48)-J49-J50),0))))</f>
        <v>0</v>
      </c>
      <c r="K51" s="23"/>
      <c r="L51" s="23"/>
      <c r="M51" s="23"/>
      <c r="N51" s="23"/>
      <c r="O51" s="314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269"/>
      <c r="AD51" s="445"/>
      <c r="AE51" s="445"/>
      <c r="AF51" s="445"/>
      <c r="AG51" s="445"/>
      <c r="AH51" s="445"/>
      <c r="AI51" s="445"/>
      <c r="AJ51" s="445"/>
      <c r="AK51" s="445"/>
      <c r="AL51" s="269"/>
      <c r="AM51" s="269"/>
      <c r="AN51" s="269"/>
      <c r="AO51" s="269"/>
      <c r="AP51" s="269"/>
    </row>
    <row r="52" spans="1:42" hidden="1" outlineLevel="1">
      <c r="A52" s="229"/>
      <c r="B52" s="6"/>
      <c r="C52" s="6"/>
      <c r="D52" s="6"/>
      <c r="E52" s="6"/>
      <c r="F52" s="6"/>
      <c r="G52" s="314"/>
      <c r="H52" s="314"/>
      <c r="I52" s="314"/>
      <c r="J52" s="314"/>
      <c r="K52" s="314"/>
      <c r="L52" s="23"/>
      <c r="M52" s="23"/>
      <c r="N52" s="23"/>
      <c r="O52" s="23"/>
      <c r="P52" s="314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269"/>
      <c r="AD52" s="445"/>
      <c r="AE52" s="445"/>
      <c r="AF52" s="445"/>
      <c r="AG52" s="445"/>
      <c r="AH52" s="445"/>
      <c r="AI52" s="445"/>
      <c r="AJ52" s="445"/>
      <c r="AK52" s="445"/>
      <c r="AL52" s="269"/>
      <c r="AM52" s="269"/>
      <c r="AN52" s="269"/>
      <c r="AO52" s="269"/>
      <c r="AP52" s="269"/>
    </row>
    <row r="53" spans="1:42" collapsed="1">
      <c r="A53" s="283"/>
      <c r="B53" s="284"/>
      <c r="C53" s="284"/>
      <c r="D53" s="284"/>
      <c r="E53" s="284"/>
      <c r="F53" s="284"/>
      <c r="G53" s="295"/>
      <c r="H53" s="295"/>
      <c r="I53" s="295"/>
      <c r="J53" s="295"/>
      <c r="K53" s="295"/>
      <c r="L53" s="251"/>
      <c r="M53" s="23"/>
      <c r="N53" s="23"/>
      <c r="O53" s="23"/>
      <c r="P53" s="314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269"/>
      <c r="AD53" s="269"/>
      <c r="AE53" s="269"/>
      <c r="AF53" s="269"/>
      <c r="AG53" s="269"/>
      <c r="AH53" s="269"/>
      <c r="AI53" s="269"/>
      <c r="AJ53" s="269"/>
      <c r="AK53" s="269"/>
      <c r="AL53" s="269"/>
      <c r="AM53" s="269"/>
      <c r="AN53" s="269"/>
      <c r="AO53" s="269"/>
      <c r="AP53" s="269"/>
    </row>
    <row r="54" spans="1:42" ht="18">
      <c r="A54" s="429" t="s">
        <v>204</v>
      </c>
      <c r="B54" s="430"/>
      <c r="C54" s="430"/>
      <c r="D54" s="430"/>
      <c r="E54" s="430"/>
      <c r="F54" s="430"/>
      <c r="G54" s="232"/>
      <c r="H54" s="232"/>
      <c r="I54" s="232"/>
      <c r="J54" s="232"/>
      <c r="K54" s="232"/>
      <c r="L54" s="431"/>
      <c r="M54" s="412"/>
      <c r="N54" s="412"/>
      <c r="O54" s="23"/>
      <c r="P54" s="314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269"/>
      <c r="AD54" s="269"/>
      <c r="AE54" s="269"/>
      <c r="AF54" s="269"/>
      <c r="AG54" s="269"/>
      <c r="AH54" s="269"/>
      <c r="AI54" s="269"/>
      <c r="AJ54" s="269"/>
      <c r="AK54" s="269"/>
      <c r="AL54" s="269"/>
      <c r="AM54" s="269"/>
      <c r="AN54" s="269"/>
      <c r="AO54" s="269"/>
      <c r="AP54" s="269"/>
    </row>
    <row r="55" spans="1:42">
      <c r="A55" s="283"/>
      <c r="B55" s="284"/>
      <c r="C55" s="284"/>
      <c r="D55" s="284"/>
      <c r="E55" s="284"/>
      <c r="F55" s="284"/>
      <c r="G55" s="295"/>
      <c r="H55" s="295"/>
      <c r="I55" s="295"/>
      <c r="J55" s="295"/>
      <c r="K55" s="295"/>
      <c r="L55" s="251"/>
      <c r="M55" s="23"/>
      <c r="N55" s="23"/>
      <c r="O55" s="23"/>
      <c r="P55" s="314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269"/>
      <c r="AD55" s="269"/>
      <c r="AE55" s="269"/>
      <c r="AF55" s="269"/>
      <c r="AG55" s="269"/>
      <c r="AH55" s="269"/>
      <c r="AI55" s="269"/>
      <c r="AJ55" s="269"/>
      <c r="AK55" s="269"/>
      <c r="AL55" s="269"/>
      <c r="AM55" s="269"/>
      <c r="AN55" s="269"/>
      <c r="AO55" s="269"/>
      <c r="AP55" s="269"/>
    </row>
    <row r="56" spans="1:42" ht="15.75">
      <c r="A56" s="382" t="s">
        <v>205</v>
      </c>
      <c r="B56" s="383"/>
      <c r="C56" s="383"/>
      <c r="D56" s="383"/>
      <c r="E56" s="309" t="s">
        <v>203</v>
      </c>
      <c r="F56" s="328"/>
      <c r="G56" s="323"/>
      <c r="H56" s="323"/>
      <c r="I56" s="246"/>
      <c r="J56" s="323"/>
      <c r="K56" s="246"/>
      <c r="L56" s="246"/>
      <c r="M56" s="246"/>
      <c r="N56" s="246"/>
      <c r="O56" s="23"/>
      <c r="P56" s="314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269"/>
      <c r="AD56" s="269"/>
      <c r="AE56" s="269"/>
      <c r="AF56" s="269"/>
      <c r="AG56" s="269"/>
      <c r="AH56" s="269"/>
      <c r="AI56" s="269"/>
      <c r="AJ56" s="269"/>
      <c r="AK56" s="269"/>
      <c r="AL56" s="269"/>
      <c r="AM56" s="269"/>
      <c r="AN56" s="269"/>
      <c r="AO56" s="269"/>
      <c r="AP56" s="269"/>
    </row>
    <row r="57" spans="1:42" ht="15.75">
      <c r="A57" s="385" t="s">
        <v>206</v>
      </c>
      <c r="B57" s="386"/>
      <c r="C57" s="386"/>
      <c r="D57" s="386"/>
      <c r="E57" s="387">
        <v>2001</v>
      </c>
      <c r="F57" s="388">
        <v>2002</v>
      </c>
      <c r="G57" s="388">
        <v>2003</v>
      </c>
      <c r="H57" s="388">
        <v>2004</v>
      </c>
      <c r="I57" s="388">
        <v>2005</v>
      </c>
      <c r="J57" s="388">
        <v>2006</v>
      </c>
      <c r="K57" s="389">
        <v>2007</v>
      </c>
      <c r="L57" s="389">
        <v>2008</v>
      </c>
      <c r="M57" s="389">
        <v>2009</v>
      </c>
      <c r="N57" s="390">
        <v>2010</v>
      </c>
      <c r="O57" s="23"/>
      <c r="P57" s="358"/>
      <c r="Q57" s="106"/>
      <c r="R57" s="106"/>
      <c r="S57" s="106"/>
      <c r="T57" s="106"/>
      <c r="U57" s="106"/>
      <c r="V57" s="106"/>
      <c r="W57" s="106"/>
      <c r="X57" s="106"/>
      <c r="Y57" s="106"/>
      <c r="Z57" s="106"/>
      <c r="AA57" s="106"/>
      <c r="AB57" s="106"/>
      <c r="AC57" s="269"/>
      <c r="AD57" s="269"/>
      <c r="AE57" s="269"/>
      <c r="AF57" s="269"/>
      <c r="AG57" s="269"/>
      <c r="AH57" s="269"/>
      <c r="AI57" s="269"/>
      <c r="AJ57" s="269"/>
      <c r="AK57" s="269"/>
      <c r="AL57" s="269"/>
      <c r="AM57" s="269"/>
      <c r="AN57" s="269"/>
      <c r="AO57" s="269"/>
      <c r="AP57" s="269"/>
    </row>
    <row r="58" spans="1:42" ht="15.75">
      <c r="A58" s="432"/>
      <c r="B58" s="284"/>
      <c r="C58" s="284"/>
      <c r="D58" s="397" t="s">
        <v>213</v>
      </c>
      <c r="E58" s="395">
        <v>1</v>
      </c>
      <c r="F58" s="396">
        <v>2</v>
      </c>
      <c r="G58" s="396">
        <v>3</v>
      </c>
      <c r="H58" s="396">
        <v>4</v>
      </c>
      <c r="I58" s="396">
        <v>5</v>
      </c>
      <c r="J58" s="396">
        <v>6</v>
      </c>
      <c r="K58" s="396">
        <v>7</v>
      </c>
      <c r="L58" s="396">
        <v>8</v>
      </c>
      <c r="M58" s="396">
        <v>9</v>
      </c>
      <c r="N58" s="396">
        <v>10</v>
      </c>
      <c r="O58" s="23"/>
      <c r="P58" s="358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269"/>
      <c r="AD58" s="269"/>
      <c r="AE58" s="269"/>
      <c r="AF58" s="269"/>
      <c r="AG58" s="269"/>
      <c r="AH58" s="269"/>
      <c r="AI58" s="269"/>
      <c r="AJ58" s="269"/>
      <c r="AK58" s="269"/>
      <c r="AL58" s="269"/>
      <c r="AM58" s="269"/>
      <c r="AN58" s="269"/>
      <c r="AO58" s="269"/>
      <c r="AP58" s="269"/>
    </row>
    <row r="59" spans="1:42">
      <c r="A59" s="391" t="str">
        <f>A7</f>
        <v>Senior Tranche A (US$)</v>
      </c>
      <c r="B59" s="283"/>
      <c r="C59" s="283"/>
      <c r="D59" s="283"/>
      <c r="E59" s="433">
        <f>IF(Assumptions!$F$44=E58,Debt!$F$7,0)</f>
        <v>0</v>
      </c>
      <c r="F59" s="433">
        <f>IF(Assumptions!$F$44=F58,Debt!$F$7,0)</f>
        <v>0</v>
      </c>
      <c r="G59" s="433">
        <f>IF(Assumptions!$F$44=G58,Debt!$F$7,0)</f>
        <v>0</v>
      </c>
      <c r="H59" s="433">
        <f>IF(Assumptions!$F$44=H58,Debt!$F$7,0)</f>
        <v>0</v>
      </c>
      <c r="I59" s="433">
        <f>IF(Assumptions!$F$44=I58,Debt!$F$7,0)</f>
        <v>0</v>
      </c>
      <c r="J59" s="433">
        <f>IF(Assumptions!$F$44=J58,Debt!$F$7,0)</f>
        <v>0</v>
      </c>
      <c r="K59" s="433">
        <f>IF(Assumptions!$F$44=K58,Debt!$F$7,0)</f>
        <v>0</v>
      </c>
      <c r="L59" s="433">
        <f>IF(Assumptions!$F$44=L58,Debt!$F$7,0)</f>
        <v>0</v>
      </c>
      <c r="M59" s="433">
        <f>IF(Assumptions!$F$44=M58,Debt!$F$7,0)</f>
        <v>0</v>
      </c>
      <c r="N59" s="433">
        <f>IF(Assumptions!$F$44=N58,Debt!$F$7,0)</f>
        <v>3617664.312906397</v>
      </c>
      <c r="O59" s="23"/>
      <c r="P59" s="229"/>
      <c r="Q59" s="239"/>
      <c r="R59" s="239"/>
      <c r="S59" s="239"/>
      <c r="T59" s="239"/>
      <c r="U59" s="239"/>
      <c r="V59" s="239"/>
      <c r="W59" s="239"/>
      <c r="X59" s="239"/>
      <c r="Y59" s="239"/>
      <c r="Z59" s="239"/>
      <c r="AA59" s="239"/>
      <c r="AB59" s="239"/>
      <c r="AC59" s="265"/>
      <c r="AD59" s="265"/>
      <c r="AE59" s="265"/>
      <c r="AF59" s="265"/>
      <c r="AG59" s="265"/>
      <c r="AH59" s="265"/>
      <c r="AI59" s="265"/>
      <c r="AJ59" s="265"/>
      <c r="AK59" s="265"/>
      <c r="AL59" s="265"/>
      <c r="AM59" s="265"/>
      <c r="AN59" s="265"/>
      <c r="AO59" s="265"/>
      <c r="AP59" s="265"/>
    </row>
    <row r="60" spans="1:42">
      <c r="A60" s="391" t="str">
        <f>A8</f>
        <v>Senior Tranche B (US$)</v>
      </c>
      <c r="B60" s="283"/>
      <c r="C60" s="283"/>
      <c r="D60" s="283"/>
      <c r="E60" s="433">
        <f>IF(Assumptions!$F$45=E58,Debt!$F$8,0)</f>
        <v>0</v>
      </c>
      <c r="F60" s="433">
        <f>IF(Assumptions!$F$45=F58,Debt!$F$8,0)</f>
        <v>0</v>
      </c>
      <c r="G60" s="433">
        <f>IF(Assumptions!$F$45=G58,Debt!$F$8,0)</f>
        <v>0</v>
      </c>
      <c r="H60" s="433">
        <f>IF(Assumptions!$F$45=H58,Debt!$F$8,0)</f>
        <v>0</v>
      </c>
      <c r="I60" s="433">
        <f>IF(Assumptions!$F$45=I58,Debt!$F$8,0)</f>
        <v>0</v>
      </c>
      <c r="J60" s="433">
        <f>IF(Assumptions!$F$45=J58,Debt!$F$8,0)</f>
        <v>0</v>
      </c>
      <c r="K60" s="433">
        <f>IF(Assumptions!$F$45=K58,Debt!$F$8,0)</f>
        <v>0</v>
      </c>
      <c r="L60" s="433">
        <f>IF(Assumptions!$F$45=L58,Debt!$F$8,0)</f>
        <v>0</v>
      </c>
      <c r="M60" s="433">
        <f>IF(Assumptions!$F$45=M58,Debt!$F$8,0)</f>
        <v>0</v>
      </c>
      <c r="N60" s="433">
        <f>IF(Assumptions!$F$45=N58,Debt!$F$8,0)</f>
        <v>0</v>
      </c>
      <c r="O60" s="23"/>
      <c r="P60" s="229"/>
      <c r="Q60" s="239"/>
      <c r="R60" s="239"/>
      <c r="S60" s="239"/>
      <c r="T60" s="239"/>
      <c r="U60" s="239"/>
      <c r="V60" s="239"/>
      <c r="W60" s="239"/>
      <c r="X60" s="239"/>
      <c r="Y60" s="239"/>
      <c r="Z60" s="239"/>
      <c r="AA60" s="239"/>
      <c r="AB60" s="239"/>
      <c r="AC60" s="265"/>
      <c r="AD60" s="265"/>
      <c r="AE60" s="265"/>
      <c r="AF60" s="265"/>
      <c r="AG60" s="265"/>
      <c r="AH60" s="265"/>
      <c r="AI60" s="265"/>
      <c r="AJ60" s="265"/>
      <c r="AK60" s="265"/>
      <c r="AL60" s="265"/>
      <c r="AM60" s="265"/>
      <c r="AN60" s="265"/>
      <c r="AO60" s="265"/>
      <c r="AP60" s="265"/>
    </row>
    <row r="61" spans="1:42">
      <c r="A61" s="392" t="str">
        <f>A9</f>
        <v>Junior Debt (US$)</v>
      </c>
      <c r="B61" s="384"/>
      <c r="C61" s="384"/>
      <c r="D61" s="384"/>
      <c r="E61" s="434">
        <f>IF(Assumptions!$F$46=E58,Debt!$F$9,0)</f>
        <v>0</v>
      </c>
      <c r="F61" s="434">
        <f>IF(Assumptions!$F$46=F58,Debt!$F$9,0)</f>
        <v>0</v>
      </c>
      <c r="G61" s="434">
        <f>IF(Assumptions!$F$46=G58,Debt!$F$9,0)</f>
        <v>0</v>
      </c>
      <c r="H61" s="434">
        <f>IF(Assumptions!$F$46=H58,Debt!$F$9,0)</f>
        <v>0</v>
      </c>
      <c r="I61" s="434">
        <f>IF(Assumptions!$F$46=I58,Debt!$F$9,0)</f>
        <v>0</v>
      </c>
      <c r="J61" s="434">
        <f>IF(Assumptions!$F$46=J58,Debt!$F$9,0)</f>
        <v>0</v>
      </c>
      <c r="K61" s="434">
        <f>IF(Assumptions!$F$46=K58,Debt!$F$9,0)</f>
        <v>0</v>
      </c>
      <c r="L61" s="434">
        <f>IF(Assumptions!$F$46=L58,Debt!$F$9,0)</f>
        <v>0</v>
      </c>
      <c r="M61" s="434">
        <f>IF(Assumptions!$F$46=M58,Debt!$F$9,0)</f>
        <v>0</v>
      </c>
      <c r="N61" s="434">
        <f>IF(Assumptions!$F$46=N58,Debt!$F$9,0)</f>
        <v>0</v>
      </c>
      <c r="O61" s="23"/>
      <c r="P61" s="229"/>
      <c r="Q61" s="227"/>
      <c r="R61" s="227"/>
      <c r="S61" s="227"/>
      <c r="T61" s="227"/>
      <c r="U61" s="227"/>
      <c r="V61" s="227"/>
      <c r="W61" s="227"/>
      <c r="X61" s="227"/>
      <c r="Y61" s="227"/>
      <c r="Z61" s="227"/>
      <c r="AA61" s="227"/>
      <c r="AB61" s="227"/>
      <c r="AC61" s="258"/>
      <c r="AD61" s="258"/>
      <c r="AE61" s="258"/>
      <c r="AF61" s="258"/>
      <c r="AG61" s="258"/>
      <c r="AH61" s="258"/>
      <c r="AI61" s="258"/>
      <c r="AJ61" s="258"/>
      <c r="AK61" s="258"/>
      <c r="AL61" s="258"/>
      <c r="AM61" s="258"/>
      <c r="AN61" s="258"/>
      <c r="AO61" s="258"/>
      <c r="AP61" s="258"/>
    </row>
    <row r="62" spans="1:42">
      <c r="A62" s="251"/>
      <c r="B62" s="251"/>
      <c r="C62" s="251"/>
      <c r="D62" s="251"/>
      <c r="E62" s="251"/>
      <c r="F62" s="251"/>
      <c r="G62" s="359"/>
      <c r="H62" s="359"/>
      <c r="I62" s="359"/>
      <c r="J62" s="359"/>
      <c r="K62" s="359"/>
      <c r="L62" s="251"/>
      <c r="M62" s="23"/>
      <c r="N62" s="23"/>
      <c r="O62" s="23"/>
      <c r="P62" s="359"/>
      <c r="Q62" s="227"/>
      <c r="R62" s="227"/>
      <c r="S62" s="227"/>
      <c r="T62" s="227"/>
      <c r="U62" s="227"/>
      <c r="V62" s="227"/>
      <c r="W62" s="227"/>
      <c r="X62" s="227"/>
      <c r="Y62" s="227"/>
      <c r="Z62" s="227"/>
      <c r="AA62" s="227"/>
      <c r="AB62" s="227"/>
      <c r="AC62" s="258"/>
      <c r="AD62" s="258"/>
      <c r="AE62" s="258"/>
      <c r="AF62" s="258"/>
      <c r="AG62" s="258"/>
      <c r="AH62" s="258"/>
      <c r="AI62" s="258"/>
      <c r="AJ62" s="258"/>
      <c r="AK62" s="258"/>
      <c r="AL62" s="258"/>
      <c r="AM62" s="258"/>
      <c r="AN62" s="258"/>
      <c r="AO62" s="258"/>
      <c r="AP62" s="258"/>
    </row>
    <row r="63" spans="1:42" ht="15.75">
      <c r="A63" s="196" t="s">
        <v>207</v>
      </c>
      <c r="B63" s="251"/>
      <c r="C63" s="251"/>
      <c r="D63" s="251"/>
      <c r="E63" s="309" t="s">
        <v>203</v>
      </c>
      <c r="F63" s="328"/>
      <c r="G63" s="323"/>
      <c r="H63" s="323"/>
      <c r="I63" s="246"/>
      <c r="J63" s="323"/>
      <c r="K63" s="246"/>
      <c r="L63" s="246"/>
      <c r="M63" s="246"/>
      <c r="N63" s="246"/>
      <c r="O63" s="23"/>
      <c r="P63" s="360"/>
      <c r="Q63" s="227"/>
      <c r="R63" s="227"/>
      <c r="S63" s="227"/>
      <c r="T63" s="227"/>
      <c r="U63" s="227"/>
      <c r="V63" s="227"/>
      <c r="W63" s="227"/>
      <c r="X63" s="227"/>
      <c r="Y63" s="227"/>
      <c r="Z63" s="227"/>
      <c r="AA63" s="227"/>
      <c r="AB63" s="227"/>
      <c r="AC63" s="258"/>
      <c r="AD63" s="258"/>
      <c r="AE63" s="258"/>
      <c r="AF63" s="258"/>
      <c r="AG63" s="258"/>
      <c r="AH63" s="258"/>
      <c r="AI63" s="258"/>
      <c r="AJ63" s="258"/>
      <c r="AK63" s="258"/>
      <c r="AL63" s="258"/>
      <c r="AM63" s="258"/>
      <c r="AN63" s="258"/>
      <c r="AO63" s="258"/>
      <c r="AP63" s="258"/>
    </row>
    <row r="64" spans="1:42" ht="15.75">
      <c r="A64" s="415" t="s">
        <v>208</v>
      </c>
      <c r="B64" s="416"/>
      <c r="C64" s="416"/>
      <c r="D64" s="416"/>
      <c r="E64" s="256">
        <v>2001</v>
      </c>
      <c r="F64" s="289">
        <v>2002</v>
      </c>
      <c r="G64" s="289">
        <v>2003</v>
      </c>
      <c r="H64" s="289">
        <v>2004</v>
      </c>
      <c r="I64" s="289">
        <v>2005</v>
      </c>
      <c r="J64" s="289">
        <v>2006</v>
      </c>
      <c r="K64" s="293">
        <v>2007</v>
      </c>
      <c r="L64" s="293">
        <v>2008</v>
      </c>
      <c r="M64" s="293">
        <v>2009</v>
      </c>
      <c r="N64" s="293">
        <v>2010</v>
      </c>
      <c r="O64" s="23"/>
      <c r="P64" s="229"/>
      <c r="Q64" s="227"/>
      <c r="R64" s="227"/>
      <c r="S64" s="227"/>
      <c r="T64" s="227"/>
      <c r="U64" s="227"/>
      <c r="V64" s="227"/>
      <c r="W64" s="227"/>
      <c r="X64" s="227"/>
      <c r="Y64" s="227"/>
      <c r="Z64" s="227"/>
      <c r="AA64" s="227"/>
      <c r="AB64" s="227"/>
      <c r="AC64" s="258"/>
      <c r="AD64" s="258"/>
      <c r="AE64" s="258"/>
      <c r="AF64" s="258"/>
      <c r="AG64" s="258"/>
      <c r="AH64" s="258"/>
      <c r="AI64" s="258"/>
      <c r="AJ64" s="258"/>
      <c r="AK64" s="258"/>
      <c r="AL64" s="258"/>
      <c r="AM64" s="258"/>
      <c r="AN64" s="258"/>
      <c r="AO64" s="258"/>
      <c r="AP64" s="258"/>
    </row>
    <row r="65" spans="1:42" ht="15.75">
      <c r="A65" s="196"/>
      <c r="B65" s="251"/>
      <c r="C65" s="251"/>
      <c r="D65" s="397" t="s">
        <v>212</v>
      </c>
      <c r="E65" s="395">
        <v>1</v>
      </c>
      <c r="F65" s="396">
        <v>2</v>
      </c>
      <c r="G65" s="396">
        <v>3</v>
      </c>
      <c r="H65" s="396">
        <v>4</v>
      </c>
      <c r="I65" s="396">
        <v>5</v>
      </c>
      <c r="J65" s="396">
        <v>6</v>
      </c>
      <c r="K65" s="290">
        <v>7</v>
      </c>
      <c r="L65" s="290">
        <v>8</v>
      </c>
      <c r="M65" s="290">
        <v>9</v>
      </c>
      <c r="N65" s="290">
        <v>10</v>
      </c>
      <c r="O65" s="23"/>
      <c r="P65" s="229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58"/>
      <c r="AD65" s="258"/>
      <c r="AE65" s="258"/>
      <c r="AF65" s="258"/>
      <c r="AG65" s="258"/>
      <c r="AH65" s="258"/>
      <c r="AI65" s="258"/>
      <c r="AJ65" s="258"/>
      <c r="AK65" s="258"/>
      <c r="AL65" s="258"/>
      <c r="AM65" s="258"/>
      <c r="AN65" s="258"/>
      <c r="AO65" s="258"/>
      <c r="AP65" s="258"/>
    </row>
    <row r="66" spans="1:42">
      <c r="A66" s="417" t="str">
        <f>A7</f>
        <v>Senior Tranche A (US$)</v>
      </c>
      <c r="B66" s="416"/>
      <c r="C66" s="416"/>
      <c r="D66" s="416"/>
      <c r="E66" s="416"/>
      <c r="F66" s="416"/>
      <c r="G66" s="416"/>
      <c r="H66" s="416"/>
      <c r="I66" s="416"/>
      <c r="J66" s="416"/>
      <c r="K66" s="418"/>
      <c r="L66" s="418"/>
      <c r="M66" s="419"/>
      <c r="N66" s="419"/>
      <c r="O66" s="360"/>
      <c r="P66" s="360"/>
      <c r="Q66" s="227"/>
      <c r="R66" s="227"/>
      <c r="S66" s="227"/>
      <c r="T66" s="227"/>
      <c r="U66" s="227"/>
      <c r="V66" s="227"/>
      <c r="W66" s="227"/>
      <c r="X66" s="227"/>
      <c r="Y66" s="227"/>
      <c r="Z66" s="227"/>
      <c r="AA66" s="227"/>
      <c r="AB66" s="227"/>
      <c r="AC66" s="258"/>
      <c r="AD66" s="258"/>
      <c r="AE66" s="258"/>
      <c r="AF66" s="258"/>
      <c r="AG66" s="258"/>
      <c r="AH66" s="258"/>
      <c r="AI66" s="258"/>
      <c r="AJ66" s="258"/>
      <c r="AK66" s="258"/>
      <c r="AL66" s="258"/>
      <c r="AM66" s="258"/>
      <c r="AN66" s="258"/>
      <c r="AO66" s="258"/>
      <c r="AP66" s="258"/>
    </row>
    <row r="67" spans="1:42">
      <c r="A67" s="381" t="s">
        <v>209</v>
      </c>
      <c r="B67" s="251"/>
      <c r="C67" s="251"/>
      <c r="D67" s="251"/>
      <c r="E67" s="393">
        <f>$F$7</f>
        <v>3617664.312906397</v>
      </c>
      <c r="F67" s="393">
        <f>E69</f>
        <v>3255897.8816157575</v>
      </c>
      <c r="G67" s="393">
        <f t="shared" ref="G67:N67" si="9">F69</f>
        <v>2894131.4503251179</v>
      </c>
      <c r="H67" s="393">
        <f t="shared" si="9"/>
        <v>2532365.0190344783</v>
      </c>
      <c r="I67" s="393">
        <f t="shared" si="9"/>
        <v>2170598.5877438388</v>
      </c>
      <c r="J67" s="393">
        <f t="shared" si="9"/>
        <v>1808832.1564531992</v>
      </c>
      <c r="K67" s="393">
        <f t="shared" si="9"/>
        <v>1447065.7251625597</v>
      </c>
      <c r="L67" s="393">
        <f t="shared" si="9"/>
        <v>1085299.2938719201</v>
      </c>
      <c r="M67" s="393">
        <f t="shared" si="9"/>
        <v>723532.86258128041</v>
      </c>
      <c r="N67" s="393">
        <f t="shared" si="9"/>
        <v>361766.43129064073</v>
      </c>
      <c r="O67" s="360"/>
      <c r="P67" s="360"/>
      <c r="Q67" s="227"/>
      <c r="R67" s="227"/>
      <c r="S67" s="227"/>
      <c r="T67" s="227"/>
      <c r="U67" s="227"/>
      <c r="V67" s="227"/>
      <c r="W67" s="227"/>
      <c r="X67" s="227"/>
      <c r="Y67" s="227"/>
      <c r="Z67" s="227"/>
      <c r="AA67" s="227"/>
      <c r="AB67" s="227"/>
      <c r="AC67" s="258"/>
      <c r="AD67" s="258"/>
      <c r="AE67" s="258"/>
      <c r="AF67" s="258"/>
      <c r="AG67" s="258"/>
      <c r="AH67" s="258"/>
      <c r="AI67" s="258"/>
      <c r="AJ67" s="258"/>
      <c r="AK67" s="258"/>
      <c r="AL67" s="258"/>
      <c r="AM67" s="258"/>
      <c r="AN67" s="258"/>
      <c r="AO67" s="258"/>
      <c r="AP67" s="258"/>
    </row>
    <row r="68" spans="1:42">
      <c r="A68" s="381" t="s">
        <v>210</v>
      </c>
      <c r="B68" s="251"/>
      <c r="C68" s="251"/>
      <c r="D68" s="251"/>
      <c r="E68" s="394">
        <f t="shared" ref="E68:M68" si="10">IF(E65&lt;$H$7,($F$7*$J$7)/$H$7,IF(E65&gt;=$H$7,E67,0))</f>
        <v>361766.43129063968</v>
      </c>
      <c r="F68" s="394">
        <f t="shared" si="10"/>
        <v>361766.43129063968</v>
      </c>
      <c r="G68" s="394">
        <f t="shared" si="10"/>
        <v>361766.43129063968</v>
      </c>
      <c r="H68" s="394">
        <f t="shared" si="10"/>
        <v>361766.43129063968</v>
      </c>
      <c r="I68" s="394">
        <f t="shared" si="10"/>
        <v>361766.43129063968</v>
      </c>
      <c r="J68" s="394">
        <f t="shared" si="10"/>
        <v>361766.43129063968</v>
      </c>
      <c r="K68" s="394">
        <f t="shared" si="10"/>
        <v>361766.43129063968</v>
      </c>
      <c r="L68" s="394">
        <f t="shared" si="10"/>
        <v>361766.43129063968</v>
      </c>
      <c r="M68" s="394">
        <f t="shared" si="10"/>
        <v>361766.43129063968</v>
      </c>
      <c r="N68" s="394">
        <f>IF(N65&lt;$H$7,($F$7*$J$7)/$H$7,IF(N65&gt;=$H$7,N67,0))</f>
        <v>361766.43129064073</v>
      </c>
      <c r="O68" s="360"/>
      <c r="P68" s="360"/>
      <c r="Q68" s="227"/>
      <c r="R68" s="227"/>
      <c r="S68" s="227"/>
      <c r="T68" s="227"/>
      <c r="U68" s="227"/>
      <c r="V68" s="227"/>
      <c r="W68" s="227"/>
      <c r="X68" s="227"/>
      <c r="Y68" s="227"/>
      <c r="Z68" s="227"/>
      <c r="AA68" s="227"/>
      <c r="AB68" s="227"/>
      <c r="AC68" s="258"/>
      <c r="AD68" s="258"/>
      <c r="AE68" s="258"/>
      <c r="AF68" s="258"/>
      <c r="AG68" s="258"/>
      <c r="AH68" s="258"/>
      <c r="AI68" s="258"/>
      <c r="AJ68" s="258"/>
      <c r="AK68" s="258"/>
      <c r="AL68" s="258"/>
      <c r="AM68" s="258"/>
      <c r="AN68" s="258"/>
      <c r="AO68" s="258"/>
      <c r="AP68" s="258"/>
    </row>
    <row r="69" spans="1:42">
      <c r="A69" s="381" t="s">
        <v>211</v>
      </c>
      <c r="B69" s="251"/>
      <c r="C69" s="251"/>
      <c r="D69" s="251"/>
      <c r="E69" s="393">
        <f>E67-E68</f>
        <v>3255897.8816157575</v>
      </c>
      <c r="F69" s="393">
        <f t="shared" ref="F69:N69" si="11">F67-F68</f>
        <v>2894131.4503251179</v>
      </c>
      <c r="G69" s="393">
        <f t="shared" si="11"/>
        <v>2532365.0190344783</v>
      </c>
      <c r="H69" s="393">
        <f t="shared" si="11"/>
        <v>2170598.5877438388</v>
      </c>
      <c r="I69" s="393">
        <f t="shared" si="11"/>
        <v>1808832.1564531992</v>
      </c>
      <c r="J69" s="393">
        <f t="shared" si="11"/>
        <v>1447065.7251625597</v>
      </c>
      <c r="K69" s="393">
        <f t="shared" si="11"/>
        <v>1085299.2938719201</v>
      </c>
      <c r="L69" s="393">
        <f t="shared" si="11"/>
        <v>723532.86258128041</v>
      </c>
      <c r="M69" s="393">
        <f t="shared" si="11"/>
        <v>361766.43129064073</v>
      </c>
      <c r="N69" s="393">
        <f t="shared" si="11"/>
        <v>0</v>
      </c>
      <c r="O69" s="360"/>
      <c r="P69" s="360"/>
      <c r="Q69" s="227"/>
      <c r="R69" s="227"/>
      <c r="S69" s="227"/>
      <c r="T69" s="227"/>
      <c r="U69" s="227"/>
      <c r="V69" s="227"/>
      <c r="W69" s="227"/>
      <c r="X69" s="227"/>
      <c r="Y69" s="227"/>
      <c r="Z69" s="227"/>
      <c r="AA69" s="227"/>
      <c r="AB69" s="227"/>
      <c r="AC69" s="258"/>
      <c r="AD69" s="258"/>
      <c r="AE69" s="258"/>
      <c r="AF69" s="258"/>
      <c r="AG69" s="258"/>
      <c r="AH69" s="258"/>
      <c r="AI69" s="258"/>
      <c r="AJ69" s="258"/>
      <c r="AK69" s="258"/>
      <c r="AL69" s="258"/>
      <c r="AM69" s="258"/>
      <c r="AN69" s="258"/>
      <c r="AO69" s="258"/>
      <c r="AP69" s="258"/>
    </row>
    <row r="70" spans="1:42">
      <c r="A70" s="420" t="str">
        <f>A8</f>
        <v>Senior Tranche B (US$)</v>
      </c>
      <c r="B70" s="104"/>
      <c r="C70" s="104"/>
      <c r="D70" s="104"/>
      <c r="E70" s="104"/>
      <c r="F70" s="104"/>
      <c r="G70" s="104"/>
      <c r="H70" s="104"/>
      <c r="I70" s="104"/>
      <c r="J70" s="104"/>
      <c r="K70" s="419"/>
      <c r="L70" s="419"/>
      <c r="M70" s="419"/>
      <c r="N70" s="419"/>
      <c r="O70" s="360"/>
      <c r="P70" s="360"/>
      <c r="Q70" s="227"/>
      <c r="R70" s="227"/>
      <c r="S70" s="227"/>
      <c r="T70" s="227"/>
      <c r="U70" s="227"/>
      <c r="V70" s="227"/>
      <c r="W70" s="227"/>
      <c r="X70" s="227"/>
      <c r="Y70" s="227"/>
      <c r="Z70" s="227"/>
      <c r="AA70" s="227"/>
      <c r="AB70" s="227"/>
      <c r="AC70" s="258"/>
      <c r="AD70" s="258"/>
      <c r="AE70" s="258"/>
      <c r="AF70" s="258"/>
      <c r="AG70" s="258"/>
      <c r="AH70" s="258"/>
      <c r="AI70" s="258"/>
      <c r="AJ70" s="258"/>
      <c r="AK70" s="258"/>
      <c r="AL70" s="258"/>
      <c r="AM70" s="258"/>
      <c r="AN70" s="258"/>
      <c r="AO70" s="258"/>
      <c r="AP70" s="258"/>
    </row>
    <row r="71" spans="1:42">
      <c r="A71" s="381" t="s">
        <v>209</v>
      </c>
      <c r="B71" s="251"/>
      <c r="C71" s="251"/>
      <c r="D71" s="251"/>
      <c r="E71" s="393">
        <f>$F$8</f>
        <v>0</v>
      </c>
      <c r="F71" s="393">
        <f>E73</f>
        <v>0</v>
      </c>
      <c r="G71" s="393">
        <f t="shared" ref="G71:N71" si="12">F73</f>
        <v>0</v>
      </c>
      <c r="H71" s="393">
        <f t="shared" si="12"/>
        <v>0</v>
      </c>
      <c r="I71" s="393">
        <f t="shared" si="12"/>
        <v>0</v>
      </c>
      <c r="J71" s="393">
        <f t="shared" si="12"/>
        <v>0</v>
      </c>
      <c r="K71" s="393">
        <f t="shared" si="12"/>
        <v>0</v>
      </c>
      <c r="L71" s="393">
        <f t="shared" si="12"/>
        <v>0</v>
      </c>
      <c r="M71" s="393">
        <f t="shared" si="12"/>
        <v>0</v>
      </c>
      <c r="N71" s="393">
        <f t="shared" si="12"/>
        <v>0</v>
      </c>
      <c r="O71" s="360"/>
      <c r="P71" s="360"/>
      <c r="Q71" s="227"/>
      <c r="R71" s="227"/>
      <c r="S71" s="227"/>
      <c r="T71" s="227"/>
      <c r="U71" s="227"/>
      <c r="V71" s="227"/>
      <c r="W71" s="227"/>
      <c r="X71" s="227"/>
      <c r="Y71" s="227"/>
      <c r="Z71" s="227"/>
      <c r="AA71" s="227"/>
      <c r="AB71" s="227"/>
      <c r="AC71" s="258"/>
      <c r="AD71" s="258"/>
      <c r="AE71" s="258"/>
      <c r="AF71" s="258"/>
      <c r="AG71" s="258"/>
      <c r="AH71" s="258"/>
      <c r="AI71" s="258"/>
      <c r="AJ71" s="258"/>
      <c r="AK71" s="258"/>
      <c r="AL71" s="258"/>
      <c r="AM71" s="258"/>
      <c r="AN71" s="258"/>
      <c r="AO71" s="258"/>
      <c r="AP71" s="258"/>
    </row>
    <row r="72" spans="1:42">
      <c r="A72" s="381" t="s">
        <v>210</v>
      </c>
      <c r="B72" s="251"/>
      <c r="C72" s="251"/>
      <c r="D72" s="251"/>
      <c r="E72" s="394">
        <f>IF(E71&gt;=($F$8*$J$8)/$H$8,IF(E$65&lt;$H$8,($F$8*$J$8)/$H$8,IF(E$65&gt;=$H$8,E71,0)))</f>
        <v>0</v>
      </c>
      <c r="F72" s="394">
        <f>IF(F71&gt;=($F$8*$J$8)/$H$8,IF(F65&lt;$H$8,($F$8*$J$8)/$H$8,IF(F65&gt;=$H$8,F71,0)))</f>
        <v>0</v>
      </c>
      <c r="G72" s="394">
        <f t="shared" ref="G72:N72" si="13">IF(G71&gt;=($F$8*$J$8)/$H$8,IF(G65&lt;$H$8,($F$8*$J$8)/$H$8,IF(G65&gt;=$H$8,G71,0)))</f>
        <v>0</v>
      </c>
      <c r="H72" s="394">
        <f t="shared" si="13"/>
        <v>0</v>
      </c>
      <c r="I72" s="394">
        <f t="shared" si="13"/>
        <v>0</v>
      </c>
      <c r="J72" s="394">
        <f t="shared" si="13"/>
        <v>0</v>
      </c>
      <c r="K72" s="394">
        <f t="shared" si="13"/>
        <v>0</v>
      </c>
      <c r="L72" s="394">
        <f t="shared" si="13"/>
        <v>0</v>
      </c>
      <c r="M72" s="394">
        <f>IF(M71&gt;=(($F$8*$J$8)/$H$8),IF(M65&lt;$H$8,(($F$8*$J$8)/$H$8),IF(M65&gt;=$H$8,M71,0)))</f>
        <v>0</v>
      </c>
      <c r="N72" s="394">
        <f t="shared" si="13"/>
        <v>0</v>
      </c>
      <c r="O72" s="360"/>
      <c r="P72" s="360"/>
      <c r="Q72" s="227"/>
      <c r="R72" s="227"/>
      <c r="S72" s="227"/>
      <c r="T72" s="227"/>
      <c r="U72" s="227"/>
      <c r="V72" s="227"/>
      <c r="W72" s="227"/>
      <c r="X72" s="227"/>
      <c r="Y72" s="227"/>
      <c r="Z72" s="227"/>
      <c r="AA72" s="227"/>
      <c r="AB72" s="227"/>
      <c r="AC72" s="258"/>
      <c r="AD72" s="258"/>
      <c r="AE72" s="258"/>
      <c r="AF72" s="258"/>
      <c r="AG72" s="258"/>
      <c r="AH72" s="258"/>
      <c r="AI72" s="258"/>
      <c r="AJ72" s="258"/>
      <c r="AK72" s="258"/>
      <c r="AL72" s="258"/>
      <c r="AM72" s="258"/>
      <c r="AN72" s="258"/>
      <c r="AO72" s="258"/>
      <c r="AP72" s="258"/>
    </row>
    <row r="73" spans="1:42">
      <c r="A73" s="381" t="s">
        <v>211</v>
      </c>
      <c r="B73" s="251"/>
      <c r="C73" s="251"/>
      <c r="D73" s="251"/>
      <c r="E73" s="393">
        <f t="shared" ref="E73:N73" si="14">E71-E72</f>
        <v>0</v>
      </c>
      <c r="F73" s="393">
        <f t="shared" si="14"/>
        <v>0</v>
      </c>
      <c r="G73" s="393">
        <f t="shared" si="14"/>
        <v>0</v>
      </c>
      <c r="H73" s="393">
        <f t="shared" si="14"/>
        <v>0</v>
      </c>
      <c r="I73" s="393">
        <f t="shared" si="14"/>
        <v>0</v>
      </c>
      <c r="J73" s="393">
        <f t="shared" si="14"/>
        <v>0</v>
      </c>
      <c r="K73" s="393">
        <f t="shared" si="14"/>
        <v>0</v>
      </c>
      <c r="L73" s="393">
        <f t="shared" si="14"/>
        <v>0</v>
      </c>
      <c r="M73" s="393">
        <f t="shared" si="14"/>
        <v>0</v>
      </c>
      <c r="N73" s="393">
        <f t="shared" si="14"/>
        <v>0</v>
      </c>
      <c r="O73" s="360"/>
      <c r="P73" s="360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58"/>
      <c r="AD73" s="258"/>
      <c r="AE73" s="258"/>
      <c r="AF73" s="258"/>
      <c r="AG73" s="258"/>
      <c r="AH73" s="258"/>
      <c r="AI73" s="258"/>
      <c r="AJ73" s="258"/>
      <c r="AK73" s="258"/>
      <c r="AL73" s="258"/>
      <c r="AM73" s="258"/>
      <c r="AN73" s="258"/>
      <c r="AO73" s="258"/>
      <c r="AP73" s="258"/>
    </row>
    <row r="74" spans="1:42">
      <c r="A74" s="420" t="str">
        <f>A9</f>
        <v>Junior Debt (US$)</v>
      </c>
      <c r="B74" s="104"/>
      <c r="C74" s="104"/>
      <c r="D74" s="104"/>
      <c r="E74" s="104"/>
      <c r="F74" s="104"/>
      <c r="G74" s="104"/>
      <c r="H74" s="104"/>
      <c r="I74" s="104"/>
      <c r="J74" s="104"/>
      <c r="K74" s="421"/>
      <c r="L74" s="421"/>
      <c r="M74" s="421"/>
      <c r="N74" s="421"/>
      <c r="O74" s="229"/>
      <c r="P74" s="229"/>
      <c r="Q74" s="227"/>
      <c r="R74" s="227"/>
      <c r="S74" s="227"/>
      <c r="T74" s="227"/>
      <c r="U74" s="227"/>
      <c r="V74" s="227"/>
      <c r="W74" s="227"/>
      <c r="X74" s="227"/>
      <c r="Y74" s="227"/>
      <c r="Z74" s="227"/>
      <c r="AA74" s="227"/>
      <c r="AB74" s="227"/>
      <c r="AC74" s="258"/>
      <c r="AD74" s="258"/>
      <c r="AE74" s="258"/>
      <c r="AF74" s="258"/>
      <c r="AG74" s="258"/>
      <c r="AH74" s="258"/>
      <c r="AI74" s="258"/>
      <c r="AJ74" s="258"/>
      <c r="AK74" s="258"/>
      <c r="AL74" s="258"/>
      <c r="AM74" s="258"/>
      <c r="AN74" s="258"/>
      <c r="AO74" s="258"/>
      <c r="AP74" s="258"/>
    </row>
    <row r="75" spans="1:42">
      <c r="A75" s="381" t="s">
        <v>209</v>
      </c>
      <c r="B75" s="251"/>
      <c r="C75" s="251"/>
      <c r="D75" s="251"/>
      <c r="E75" s="393">
        <f>$F$8</f>
        <v>0</v>
      </c>
      <c r="F75" s="393">
        <f>E77</f>
        <v>0</v>
      </c>
      <c r="G75" s="393">
        <f t="shared" ref="G75:N75" si="15">F77</f>
        <v>0</v>
      </c>
      <c r="H75" s="393">
        <f t="shared" si="15"/>
        <v>0</v>
      </c>
      <c r="I75" s="393">
        <f t="shared" si="15"/>
        <v>0</v>
      </c>
      <c r="J75" s="393">
        <f t="shared" si="15"/>
        <v>0</v>
      </c>
      <c r="K75" s="393">
        <f t="shared" si="15"/>
        <v>0</v>
      </c>
      <c r="L75" s="393">
        <f t="shared" si="15"/>
        <v>0</v>
      </c>
      <c r="M75" s="393">
        <f t="shared" si="15"/>
        <v>0</v>
      </c>
      <c r="N75" s="393">
        <f t="shared" si="15"/>
        <v>0</v>
      </c>
      <c r="O75" s="23"/>
      <c r="P75" s="23"/>
      <c r="Q75" s="227"/>
      <c r="R75" s="227"/>
      <c r="S75" s="227"/>
      <c r="T75" s="227"/>
      <c r="U75" s="227"/>
      <c r="V75" s="227"/>
      <c r="W75" s="227"/>
      <c r="X75" s="227"/>
      <c r="Y75" s="227"/>
      <c r="Z75" s="227"/>
      <c r="AA75" s="227"/>
      <c r="AB75" s="227"/>
      <c r="AC75" s="258"/>
      <c r="AD75" s="258"/>
      <c r="AE75" s="258"/>
      <c r="AF75" s="258"/>
      <c r="AG75" s="258"/>
      <c r="AH75" s="258"/>
      <c r="AI75" s="258"/>
      <c r="AJ75" s="258"/>
      <c r="AK75" s="258"/>
      <c r="AL75" s="258"/>
      <c r="AM75" s="258"/>
      <c r="AN75" s="258"/>
      <c r="AO75" s="258"/>
      <c r="AP75" s="258"/>
    </row>
    <row r="76" spans="1:42">
      <c r="A76" s="381" t="s">
        <v>210</v>
      </c>
      <c r="B76" s="251"/>
      <c r="C76" s="251"/>
      <c r="D76" s="251"/>
      <c r="E76" s="394">
        <f t="shared" ref="E76:N76" si="16">IF(E75&gt;=($F$9*$J$9)/$H$9,IF(E$65&lt;$H$9,($F$9*$J$9)/$H$9,IF(E$65&gt;=$H$9,E75,0)))</f>
        <v>0</v>
      </c>
      <c r="F76" s="394">
        <f t="shared" si="16"/>
        <v>0</v>
      </c>
      <c r="G76" s="394">
        <f t="shared" si="16"/>
        <v>0</v>
      </c>
      <c r="H76" s="394">
        <f t="shared" si="16"/>
        <v>0</v>
      </c>
      <c r="I76" s="394">
        <f t="shared" si="16"/>
        <v>0</v>
      </c>
      <c r="J76" s="394">
        <f t="shared" si="16"/>
        <v>0</v>
      </c>
      <c r="K76" s="394">
        <f t="shared" si="16"/>
        <v>0</v>
      </c>
      <c r="L76" s="394">
        <f t="shared" si="16"/>
        <v>0</v>
      </c>
      <c r="M76" s="394">
        <f t="shared" si="16"/>
        <v>0</v>
      </c>
      <c r="N76" s="394">
        <f t="shared" si="16"/>
        <v>0</v>
      </c>
      <c r="O76" s="23"/>
      <c r="P76" s="23"/>
      <c r="Q76" s="227"/>
      <c r="R76" s="227"/>
      <c r="S76" s="227"/>
      <c r="T76" s="227"/>
      <c r="U76" s="227"/>
      <c r="V76" s="227"/>
      <c r="W76" s="227"/>
      <c r="X76" s="227"/>
      <c r="Y76" s="227"/>
      <c r="Z76" s="227"/>
      <c r="AA76" s="227"/>
      <c r="AB76" s="227"/>
      <c r="AC76" s="258"/>
      <c r="AD76" s="258"/>
      <c r="AE76" s="258"/>
      <c r="AF76" s="258"/>
      <c r="AG76" s="258"/>
      <c r="AH76" s="258"/>
      <c r="AI76" s="258"/>
      <c r="AJ76" s="258"/>
      <c r="AK76" s="258"/>
      <c r="AL76" s="258"/>
      <c r="AM76" s="258"/>
      <c r="AN76" s="258"/>
      <c r="AO76" s="258"/>
      <c r="AP76" s="258"/>
    </row>
    <row r="77" spans="1:42">
      <c r="A77" s="422" t="s">
        <v>211</v>
      </c>
      <c r="B77" s="384"/>
      <c r="C77" s="384"/>
      <c r="D77" s="384"/>
      <c r="E77" s="423">
        <f t="shared" ref="E77:N77" si="17">E75-E76</f>
        <v>0</v>
      </c>
      <c r="F77" s="423">
        <f t="shared" si="17"/>
        <v>0</v>
      </c>
      <c r="G77" s="423">
        <f t="shared" si="17"/>
        <v>0</v>
      </c>
      <c r="H77" s="423">
        <f t="shared" si="17"/>
        <v>0</v>
      </c>
      <c r="I77" s="423">
        <f t="shared" si="17"/>
        <v>0</v>
      </c>
      <c r="J77" s="423">
        <f t="shared" si="17"/>
        <v>0</v>
      </c>
      <c r="K77" s="423">
        <f t="shared" si="17"/>
        <v>0</v>
      </c>
      <c r="L77" s="423">
        <f t="shared" si="17"/>
        <v>0</v>
      </c>
      <c r="M77" s="423">
        <f t="shared" si="17"/>
        <v>0</v>
      </c>
      <c r="N77" s="423">
        <f t="shared" si="17"/>
        <v>0</v>
      </c>
      <c r="O77" s="23"/>
      <c r="P77" s="23"/>
      <c r="Q77" s="227"/>
      <c r="R77" s="227"/>
      <c r="S77" s="227"/>
      <c r="T77" s="227"/>
      <c r="U77" s="227"/>
      <c r="V77" s="227"/>
      <c r="W77" s="227"/>
      <c r="X77" s="227"/>
      <c r="Y77" s="227"/>
      <c r="Z77" s="227"/>
      <c r="AA77" s="227"/>
      <c r="AB77" s="227"/>
      <c r="AC77" s="258"/>
      <c r="AD77" s="258"/>
      <c r="AE77" s="258"/>
      <c r="AF77" s="258"/>
      <c r="AG77" s="258"/>
      <c r="AH77" s="258"/>
      <c r="AI77" s="258"/>
      <c r="AJ77" s="258"/>
      <c r="AK77" s="258"/>
      <c r="AL77" s="258"/>
      <c r="AM77" s="258"/>
      <c r="AN77" s="258"/>
      <c r="AO77" s="258"/>
      <c r="AP77" s="258"/>
    </row>
    <row r="78" spans="1:4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27"/>
      <c r="R78" s="227"/>
      <c r="S78" s="227"/>
      <c r="T78" s="227"/>
      <c r="U78" s="227"/>
      <c r="V78" s="227"/>
      <c r="W78" s="227"/>
      <c r="X78" s="227"/>
      <c r="Y78" s="227"/>
      <c r="Z78" s="227"/>
      <c r="AA78" s="227"/>
      <c r="AB78" s="227"/>
      <c r="AC78" s="258"/>
      <c r="AD78" s="258"/>
      <c r="AE78" s="258"/>
      <c r="AF78" s="258"/>
      <c r="AG78" s="258"/>
      <c r="AH78" s="258"/>
      <c r="AI78" s="258"/>
      <c r="AJ78" s="258"/>
      <c r="AK78" s="258"/>
      <c r="AL78" s="258"/>
      <c r="AM78" s="258"/>
      <c r="AN78" s="258"/>
      <c r="AO78" s="258"/>
      <c r="AP78" s="258"/>
    </row>
    <row r="79" spans="1:42" ht="15.75">
      <c r="A79" s="169" t="s">
        <v>214</v>
      </c>
      <c r="B79" s="171"/>
      <c r="C79" s="171"/>
      <c r="D79" s="251"/>
      <c r="E79" s="309" t="s">
        <v>203</v>
      </c>
      <c r="F79" s="328"/>
      <c r="G79" s="323"/>
      <c r="H79" s="323"/>
      <c r="I79" s="246"/>
      <c r="J79" s="323"/>
      <c r="K79" s="246"/>
      <c r="L79" s="246"/>
      <c r="M79" s="246"/>
      <c r="N79" s="246"/>
      <c r="O79" s="171"/>
      <c r="P79" s="171"/>
      <c r="Q79" s="258"/>
      <c r="R79" s="258"/>
      <c r="S79" s="258"/>
      <c r="T79" s="258"/>
      <c r="U79" s="258"/>
      <c r="V79" s="258"/>
      <c r="W79" s="258"/>
      <c r="X79" s="258"/>
      <c r="Y79" s="258"/>
      <c r="Z79" s="258"/>
      <c r="AA79" s="258"/>
      <c r="AB79" s="258"/>
      <c r="AC79" s="258"/>
      <c r="AD79" s="258"/>
      <c r="AE79" s="258"/>
      <c r="AF79" s="258"/>
      <c r="AG79" s="258"/>
      <c r="AH79" s="258"/>
      <c r="AI79" s="258"/>
      <c r="AJ79" s="258"/>
      <c r="AK79" s="258"/>
      <c r="AL79" s="258"/>
      <c r="AM79" s="258"/>
      <c r="AN79" s="258"/>
      <c r="AO79" s="258"/>
      <c r="AP79" s="258"/>
    </row>
    <row r="80" spans="1:42" ht="15.75">
      <c r="A80" s="424" t="s">
        <v>215</v>
      </c>
      <c r="B80" s="425"/>
      <c r="C80" s="425"/>
      <c r="D80" s="416"/>
      <c r="E80" s="256">
        <v>2001</v>
      </c>
      <c r="F80" s="289">
        <v>2002</v>
      </c>
      <c r="G80" s="289">
        <v>2003</v>
      </c>
      <c r="H80" s="289">
        <v>2004</v>
      </c>
      <c r="I80" s="289">
        <v>2005</v>
      </c>
      <c r="J80" s="289">
        <v>2006</v>
      </c>
      <c r="K80" s="293">
        <v>2007</v>
      </c>
      <c r="L80" s="293">
        <v>2008</v>
      </c>
      <c r="M80" s="293">
        <v>2009</v>
      </c>
      <c r="N80" s="293">
        <v>2010</v>
      </c>
      <c r="O80" s="171"/>
      <c r="P80" s="171"/>
      <c r="Q80" s="258"/>
      <c r="R80" s="258"/>
      <c r="S80" s="258"/>
      <c r="T80" s="258"/>
      <c r="U80" s="258"/>
      <c r="V80" s="258"/>
      <c r="W80" s="258"/>
      <c r="X80" s="258"/>
      <c r="Y80" s="258"/>
      <c r="Z80" s="258"/>
      <c r="AA80" s="258"/>
      <c r="AB80" s="258"/>
      <c r="AC80" s="258"/>
      <c r="AD80" s="258"/>
      <c r="AE80" s="258"/>
      <c r="AF80" s="258"/>
      <c r="AG80" s="258"/>
      <c r="AH80" s="258"/>
      <c r="AI80" s="258"/>
      <c r="AJ80" s="258"/>
      <c r="AK80" s="258"/>
      <c r="AL80" s="258"/>
      <c r="AM80" s="258"/>
      <c r="AN80" s="258"/>
      <c r="AO80" s="258"/>
      <c r="AP80" s="258"/>
    </row>
    <row r="81" spans="1:42">
      <c r="A81" s="171"/>
      <c r="B81" s="171"/>
      <c r="C81" s="171"/>
      <c r="D81" s="397" t="s">
        <v>212</v>
      </c>
      <c r="E81" s="395">
        <v>1</v>
      </c>
      <c r="F81" s="396">
        <v>2</v>
      </c>
      <c r="G81" s="396">
        <v>3</v>
      </c>
      <c r="H81" s="396">
        <v>4</v>
      </c>
      <c r="I81" s="396">
        <v>5</v>
      </c>
      <c r="J81" s="396">
        <v>6</v>
      </c>
      <c r="K81" s="290">
        <v>7</v>
      </c>
      <c r="L81" s="290">
        <v>8</v>
      </c>
      <c r="M81" s="290">
        <v>9</v>
      </c>
      <c r="N81" s="290">
        <v>10</v>
      </c>
      <c r="O81" s="171"/>
      <c r="P81" s="171"/>
      <c r="Q81" s="258"/>
      <c r="R81" s="258"/>
      <c r="S81" s="258"/>
      <c r="T81" s="258"/>
      <c r="U81" s="258"/>
      <c r="V81" s="258"/>
      <c r="W81" s="258"/>
      <c r="X81" s="258"/>
      <c r="Y81" s="258"/>
      <c r="Z81" s="258"/>
      <c r="AA81" s="258"/>
      <c r="AB81" s="258"/>
      <c r="AC81" s="258"/>
      <c r="AD81" s="258"/>
      <c r="AE81" s="258"/>
      <c r="AF81" s="258"/>
      <c r="AG81" s="258"/>
      <c r="AH81" s="258"/>
      <c r="AI81" s="258"/>
      <c r="AJ81" s="258"/>
      <c r="AK81" s="258"/>
      <c r="AL81" s="258"/>
      <c r="AM81" s="258"/>
      <c r="AN81" s="258"/>
      <c r="AO81" s="258"/>
      <c r="AP81" s="258"/>
    </row>
    <row r="82" spans="1:42">
      <c r="A82" s="420" t="str">
        <f>A7</f>
        <v>Senior Tranche A (US$)</v>
      </c>
      <c r="B82" s="425"/>
      <c r="C82" s="425"/>
      <c r="D82" s="425"/>
      <c r="E82" s="425"/>
      <c r="F82" s="425"/>
      <c r="G82" s="425"/>
      <c r="H82" s="425"/>
      <c r="I82" s="425"/>
      <c r="J82" s="425"/>
      <c r="K82" s="425"/>
      <c r="L82" s="425"/>
      <c r="M82" s="425"/>
      <c r="N82" s="425"/>
      <c r="O82" s="171"/>
      <c r="P82" s="171"/>
      <c r="Q82" s="258"/>
      <c r="R82" s="258"/>
      <c r="S82" s="258"/>
      <c r="T82" s="258"/>
      <c r="U82" s="258"/>
      <c r="V82" s="258"/>
      <c r="W82" s="258"/>
      <c r="X82" s="258"/>
      <c r="Y82" s="258"/>
      <c r="Z82" s="258"/>
      <c r="AA82" s="258"/>
      <c r="AB82" s="258"/>
      <c r="AC82" s="258"/>
      <c r="AD82" s="258"/>
      <c r="AE82" s="258"/>
      <c r="AF82" s="258"/>
      <c r="AG82" s="258"/>
      <c r="AH82" s="258"/>
      <c r="AI82" s="258"/>
      <c r="AJ82" s="258"/>
      <c r="AK82" s="258"/>
      <c r="AL82" s="258"/>
      <c r="AM82" s="258"/>
      <c r="AN82" s="258"/>
      <c r="AO82" s="258"/>
      <c r="AP82" s="258"/>
    </row>
    <row r="83" spans="1:42">
      <c r="A83" s="381" t="s">
        <v>209</v>
      </c>
      <c r="B83" s="171"/>
      <c r="C83" s="171"/>
      <c r="D83" s="171"/>
      <c r="E83" s="393">
        <f>F7*J7</f>
        <v>3617664.312906397</v>
      </c>
      <c r="F83" s="393">
        <f>E86</f>
        <v>3361946.3558322224</v>
      </c>
      <c r="G83" s="393">
        <f t="shared" ref="G83:N83" si="18">F86</f>
        <v>3087049.5519774845</v>
      </c>
      <c r="H83" s="393">
        <f t="shared" si="18"/>
        <v>3318578.2683757958</v>
      </c>
      <c r="I83" s="393">
        <f t="shared" si="18"/>
        <v>3567471.6385039804</v>
      </c>
      <c r="J83" s="393">
        <f t="shared" si="18"/>
        <v>3835032.0113917789</v>
      </c>
      <c r="K83" s="393">
        <f t="shared" si="18"/>
        <v>4122659.4122461625</v>
      </c>
      <c r="L83" s="393">
        <f t="shared" si="18"/>
        <v>4431858.868164625</v>
      </c>
      <c r="M83" s="393">
        <f t="shared" si="18"/>
        <v>4764248.2832769714</v>
      </c>
      <c r="N83" s="393">
        <f t="shared" si="18"/>
        <v>5121566.904522744</v>
      </c>
      <c r="O83" s="171"/>
      <c r="P83" s="171"/>
      <c r="Q83" s="258"/>
      <c r="R83" s="258"/>
      <c r="S83" s="258"/>
      <c r="T83" s="258"/>
      <c r="U83" s="258"/>
      <c r="V83" s="258"/>
      <c r="W83" s="258"/>
      <c r="X83" s="258"/>
      <c r="Y83" s="258"/>
      <c r="Z83" s="258"/>
      <c r="AA83" s="258"/>
      <c r="AB83" s="258"/>
      <c r="AC83" s="258"/>
      <c r="AD83" s="258"/>
      <c r="AE83" s="258"/>
      <c r="AF83" s="258"/>
      <c r="AG83" s="258"/>
      <c r="AH83" s="258"/>
      <c r="AI83" s="258"/>
      <c r="AJ83" s="258"/>
      <c r="AK83" s="258"/>
      <c r="AL83" s="258"/>
      <c r="AM83" s="258"/>
      <c r="AN83" s="258"/>
      <c r="AO83" s="258"/>
      <c r="AP83" s="258"/>
    </row>
    <row r="84" spans="1:42">
      <c r="A84" s="381" t="s">
        <v>216</v>
      </c>
      <c r="B84" s="171"/>
      <c r="C84" s="171"/>
      <c r="D84" s="171"/>
      <c r="E84" s="394">
        <f>-PMT($G$7,$H$7,$F$7*J7)</f>
        <v>527042.7805421541</v>
      </c>
      <c r="F84" s="394">
        <f>IF(E86&lt;=0.25,0,IF(AND($H$7=F81,-PMT($G$7,$H$7,$F$7*J7)&lt;F83),-PMT($G$7,$H$7,$F$7*J7)+F83,-PMT($G$7,$H$7,$F$7*J7)))</f>
        <v>527042.7805421541</v>
      </c>
      <c r="G84" s="394">
        <f t="shared" ref="G84:N84" si="19">IF(F86&lt;=0.25,0,IF(AND($H$7=G81,-PMT($G$7,$H$7,$F$7*K7)&lt;G83),-PMT($G$7,$H$7,$F$7*K7)+G83,-PMT($G$7,$H$7,$F$7*K7)))</f>
        <v>0</v>
      </c>
      <c r="H84" s="394">
        <f t="shared" si="19"/>
        <v>0</v>
      </c>
      <c r="I84" s="394">
        <f t="shared" si="19"/>
        <v>0</v>
      </c>
      <c r="J84" s="394">
        <f t="shared" si="19"/>
        <v>0</v>
      </c>
      <c r="K84" s="394">
        <f t="shared" si="19"/>
        <v>0</v>
      </c>
      <c r="L84" s="394">
        <f t="shared" si="19"/>
        <v>0</v>
      </c>
      <c r="M84" s="394">
        <f t="shared" si="19"/>
        <v>0</v>
      </c>
      <c r="N84" s="394">
        <f t="shared" si="19"/>
        <v>5121566.904522744</v>
      </c>
      <c r="O84" s="171"/>
      <c r="P84" s="171"/>
      <c r="Q84" s="258"/>
      <c r="R84" s="258"/>
      <c r="S84" s="258"/>
      <c r="T84" s="258"/>
      <c r="U84" s="258"/>
      <c r="V84" s="258"/>
      <c r="W84" s="258"/>
      <c r="X84" s="258"/>
      <c r="Y84" s="258"/>
      <c r="Z84" s="258"/>
      <c r="AA84" s="258"/>
      <c r="AB84" s="258"/>
      <c r="AC84" s="258"/>
      <c r="AD84" s="258"/>
      <c r="AE84" s="258"/>
      <c r="AF84" s="258"/>
      <c r="AG84" s="258"/>
      <c r="AH84" s="258"/>
      <c r="AI84" s="258"/>
      <c r="AJ84" s="258"/>
      <c r="AK84" s="258"/>
      <c r="AL84" s="258"/>
      <c r="AM84" s="258"/>
      <c r="AN84" s="258"/>
      <c r="AO84" s="258"/>
      <c r="AP84" s="258"/>
    </row>
    <row r="85" spans="1:42">
      <c r="A85" s="381" t="s">
        <v>217</v>
      </c>
      <c r="B85" s="171"/>
      <c r="C85" s="171"/>
      <c r="D85" s="171"/>
      <c r="E85" s="393">
        <f>E83*$G$7</f>
        <v>271324.82346797979</v>
      </c>
      <c r="F85" s="393">
        <f t="shared" ref="F85:N85" si="20">F83*$G$7</f>
        <v>252145.97668741667</v>
      </c>
      <c r="G85" s="393">
        <f t="shared" si="20"/>
        <v>231528.71639831134</v>
      </c>
      <c r="H85" s="393">
        <f t="shared" si="20"/>
        <v>248893.37012818467</v>
      </c>
      <c r="I85" s="393">
        <f t="shared" si="20"/>
        <v>267560.37288779853</v>
      </c>
      <c r="J85" s="393">
        <f t="shared" si="20"/>
        <v>287627.40085438342</v>
      </c>
      <c r="K85" s="393">
        <f t="shared" si="20"/>
        <v>309199.45591846219</v>
      </c>
      <c r="L85" s="393">
        <f t="shared" si="20"/>
        <v>332389.41511234688</v>
      </c>
      <c r="M85" s="393">
        <f t="shared" si="20"/>
        <v>357318.62124577287</v>
      </c>
      <c r="N85" s="393">
        <f t="shared" si="20"/>
        <v>384117.5178392058</v>
      </c>
      <c r="O85" s="171"/>
      <c r="P85" s="171"/>
      <c r="Q85" s="258"/>
      <c r="R85" s="258"/>
      <c r="S85" s="258"/>
      <c r="T85" s="258"/>
      <c r="U85" s="258"/>
      <c r="V85" s="258"/>
      <c r="W85" s="258"/>
      <c r="X85" s="258"/>
      <c r="Y85" s="258"/>
      <c r="Z85" s="258"/>
      <c r="AA85" s="258"/>
      <c r="AB85" s="258"/>
      <c r="AC85" s="258"/>
      <c r="AD85" s="258"/>
      <c r="AE85" s="258"/>
      <c r="AF85" s="258"/>
      <c r="AG85" s="258"/>
      <c r="AH85" s="258"/>
      <c r="AI85" s="258"/>
      <c r="AJ85" s="258"/>
      <c r="AK85" s="258"/>
      <c r="AL85" s="258"/>
      <c r="AM85" s="258"/>
      <c r="AN85" s="258"/>
      <c r="AO85" s="258"/>
      <c r="AP85" s="258"/>
    </row>
    <row r="86" spans="1:42">
      <c r="A86" s="381" t="s">
        <v>218</v>
      </c>
      <c r="B86" s="171"/>
      <c r="C86" s="171"/>
      <c r="D86" s="171"/>
      <c r="E86" s="399">
        <f>E83-E84+E85</f>
        <v>3361946.3558322224</v>
      </c>
      <c r="F86" s="399">
        <f t="shared" ref="F86:N86" si="21">F83-F84+F85</f>
        <v>3087049.5519774845</v>
      </c>
      <c r="G86" s="399">
        <f t="shared" si="21"/>
        <v>3318578.2683757958</v>
      </c>
      <c r="H86" s="399">
        <f t="shared" si="21"/>
        <v>3567471.6385039804</v>
      </c>
      <c r="I86" s="399">
        <f t="shared" si="21"/>
        <v>3835032.0113917789</v>
      </c>
      <c r="J86" s="399">
        <f t="shared" si="21"/>
        <v>4122659.4122461625</v>
      </c>
      <c r="K86" s="399">
        <f t="shared" si="21"/>
        <v>4431858.868164625</v>
      </c>
      <c r="L86" s="399">
        <f t="shared" si="21"/>
        <v>4764248.2832769714</v>
      </c>
      <c r="M86" s="399">
        <f t="shared" si="21"/>
        <v>5121566.904522744</v>
      </c>
      <c r="N86" s="399">
        <f t="shared" si="21"/>
        <v>384117.5178392058</v>
      </c>
      <c r="O86" s="171"/>
      <c r="P86" s="171"/>
      <c r="Q86" s="258"/>
      <c r="R86" s="258"/>
      <c r="S86" s="258"/>
      <c r="T86" s="258"/>
      <c r="U86" s="258"/>
      <c r="V86" s="258"/>
      <c r="W86" s="258"/>
      <c r="X86" s="258"/>
      <c r="Y86" s="258"/>
      <c r="Z86" s="258"/>
      <c r="AA86" s="258"/>
      <c r="AB86" s="258"/>
      <c r="AC86" s="258"/>
      <c r="AD86" s="258"/>
      <c r="AE86" s="258"/>
      <c r="AF86" s="258"/>
      <c r="AG86" s="258"/>
      <c r="AH86" s="258"/>
      <c r="AI86" s="258"/>
      <c r="AJ86" s="258"/>
      <c r="AK86" s="258"/>
      <c r="AL86" s="258"/>
      <c r="AM86" s="258"/>
      <c r="AN86" s="258"/>
      <c r="AO86" s="258"/>
      <c r="AP86" s="258"/>
    </row>
    <row r="87" spans="1:42">
      <c r="A87" s="420" t="str">
        <f>A8</f>
        <v>Senior Tranche B (US$)</v>
      </c>
      <c r="B87" s="425"/>
      <c r="C87" s="425"/>
      <c r="D87" s="425"/>
      <c r="E87" s="425"/>
      <c r="F87" s="425"/>
      <c r="G87" s="425"/>
      <c r="H87" s="425"/>
      <c r="I87" s="425"/>
      <c r="J87" s="425"/>
      <c r="K87" s="425"/>
      <c r="L87" s="425"/>
      <c r="M87" s="425"/>
      <c r="N87" s="425"/>
      <c r="O87" s="171"/>
      <c r="P87" s="171"/>
      <c r="Q87" s="258"/>
      <c r="R87" s="258"/>
      <c r="S87" s="258"/>
      <c r="T87" s="258"/>
      <c r="U87" s="258"/>
      <c r="V87" s="258"/>
      <c r="W87" s="258"/>
      <c r="X87" s="258"/>
      <c r="Y87" s="258"/>
      <c r="Z87" s="258"/>
      <c r="AA87" s="258"/>
      <c r="AB87" s="258"/>
      <c r="AC87" s="258"/>
      <c r="AD87" s="258"/>
      <c r="AE87" s="258"/>
      <c r="AF87" s="258"/>
      <c r="AG87" s="258"/>
      <c r="AH87" s="258"/>
      <c r="AI87" s="258"/>
      <c r="AJ87" s="258"/>
      <c r="AK87" s="258"/>
      <c r="AL87" s="258"/>
      <c r="AM87" s="258"/>
      <c r="AN87" s="258"/>
      <c r="AO87" s="258"/>
      <c r="AP87" s="258"/>
    </row>
    <row r="88" spans="1:42">
      <c r="A88" s="381" t="s">
        <v>209</v>
      </c>
      <c r="B88" s="171"/>
      <c r="C88" s="171"/>
      <c r="D88" s="171"/>
      <c r="E88" s="393">
        <f>F8*J7</f>
        <v>0</v>
      </c>
      <c r="F88" s="393">
        <f>E91</f>
        <v>0</v>
      </c>
      <c r="G88" s="393">
        <f t="shared" ref="G88:N88" si="22">F91</f>
        <v>0</v>
      </c>
      <c r="H88" s="393">
        <f t="shared" si="22"/>
        <v>0</v>
      </c>
      <c r="I88" s="393">
        <f t="shared" si="22"/>
        <v>0</v>
      </c>
      <c r="J88" s="393">
        <f t="shared" si="22"/>
        <v>0</v>
      </c>
      <c r="K88" s="393">
        <f t="shared" si="22"/>
        <v>0</v>
      </c>
      <c r="L88" s="394">
        <f t="shared" si="22"/>
        <v>0</v>
      </c>
      <c r="M88" s="394">
        <f t="shared" si="22"/>
        <v>0</v>
      </c>
      <c r="N88" s="394">
        <f t="shared" si="22"/>
        <v>0</v>
      </c>
      <c r="O88" s="171"/>
      <c r="P88" s="171"/>
      <c r="Q88" s="258"/>
      <c r="R88" s="258"/>
      <c r="S88" s="258"/>
      <c r="T88" s="258"/>
      <c r="U88" s="258"/>
      <c r="V88" s="258"/>
      <c r="W88" s="258"/>
      <c r="X88" s="258"/>
      <c r="Y88" s="258"/>
      <c r="Z88" s="258"/>
      <c r="AA88" s="258"/>
      <c r="AB88" s="258"/>
      <c r="AC88" s="258"/>
      <c r="AD88" s="258"/>
      <c r="AE88" s="258"/>
      <c r="AF88" s="258"/>
      <c r="AG88" s="258"/>
      <c r="AH88" s="258"/>
      <c r="AI88" s="258"/>
      <c r="AJ88" s="258"/>
      <c r="AK88" s="258"/>
      <c r="AL88" s="258"/>
      <c r="AM88" s="258"/>
      <c r="AN88" s="258"/>
      <c r="AO88" s="258"/>
      <c r="AP88" s="258"/>
    </row>
    <row r="89" spans="1:42">
      <c r="A89" s="381" t="s">
        <v>216</v>
      </c>
      <c r="B89" s="171"/>
      <c r="C89" s="171"/>
      <c r="D89" s="171"/>
      <c r="E89" s="394">
        <f>-PMT($G$8,$H$8,$F$8)</f>
        <v>0</v>
      </c>
      <c r="F89" s="394">
        <f>IF(E91&lt;=0.25,0,-PMT($G$8,$H$8,$F$8))</f>
        <v>0</v>
      </c>
      <c r="G89" s="394">
        <f t="shared" ref="G89:N89" si="23">IF(F91&lt;=0.25,0,-PMT($G$8,$H$8,$F$8))</f>
        <v>0</v>
      </c>
      <c r="H89" s="394">
        <f t="shared" si="23"/>
        <v>0</v>
      </c>
      <c r="I89" s="394">
        <f t="shared" si="23"/>
        <v>0</v>
      </c>
      <c r="J89" s="394">
        <f t="shared" si="23"/>
        <v>0</v>
      </c>
      <c r="K89" s="394">
        <f t="shared" si="23"/>
        <v>0</v>
      </c>
      <c r="L89" s="394">
        <f t="shared" si="23"/>
        <v>0</v>
      </c>
      <c r="M89" s="394">
        <f t="shared" si="23"/>
        <v>0</v>
      </c>
      <c r="N89" s="394">
        <f t="shared" si="23"/>
        <v>0</v>
      </c>
      <c r="O89" s="171"/>
      <c r="P89" s="171"/>
      <c r="Q89" s="258"/>
      <c r="R89" s="258"/>
      <c r="S89" s="258"/>
      <c r="T89" s="258"/>
      <c r="U89" s="258"/>
      <c r="V89" s="258"/>
      <c r="W89" s="258"/>
      <c r="X89" s="258"/>
      <c r="Y89" s="258"/>
      <c r="Z89" s="258"/>
      <c r="AA89" s="258"/>
      <c r="AB89" s="258"/>
      <c r="AC89" s="258"/>
      <c r="AD89" s="258"/>
      <c r="AE89" s="258"/>
      <c r="AF89" s="258"/>
      <c r="AG89" s="258"/>
      <c r="AH89" s="258"/>
      <c r="AI89" s="258"/>
      <c r="AJ89" s="258"/>
      <c r="AK89" s="258"/>
      <c r="AL89" s="258"/>
      <c r="AM89" s="258"/>
      <c r="AN89" s="258"/>
      <c r="AO89" s="258"/>
      <c r="AP89" s="258"/>
    </row>
    <row r="90" spans="1:42">
      <c r="A90" s="381" t="s">
        <v>217</v>
      </c>
      <c r="B90" s="171"/>
      <c r="C90" s="171"/>
      <c r="D90" s="171"/>
      <c r="E90" s="393">
        <f>E88*$G$8</f>
        <v>0</v>
      </c>
      <c r="F90" s="393">
        <f t="shared" ref="F90:N90" si="24">F88*$G$8</f>
        <v>0</v>
      </c>
      <c r="G90" s="393">
        <f t="shared" si="24"/>
        <v>0</v>
      </c>
      <c r="H90" s="393">
        <f t="shared" si="24"/>
        <v>0</v>
      </c>
      <c r="I90" s="393">
        <f t="shared" si="24"/>
        <v>0</v>
      </c>
      <c r="J90" s="393">
        <f t="shared" si="24"/>
        <v>0</v>
      </c>
      <c r="K90" s="393">
        <f t="shared" si="24"/>
        <v>0</v>
      </c>
      <c r="L90" s="394">
        <f t="shared" si="24"/>
        <v>0</v>
      </c>
      <c r="M90" s="394">
        <f t="shared" si="24"/>
        <v>0</v>
      </c>
      <c r="N90" s="394">
        <f t="shared" si="24"/>
        <v>0</v>
      </c>
      <c r="O90" s="171"/>
      <c r="P90" s="171"/>
      <c r="Q90" s="258"/>
      <c r="R90" s="258"/>
      <c r="S90" s="258"/>
      <c r="T90" s="258"/>
      <c r="U90" s="258"/>
      <c r="V90" s="258"/>
      <c r="W90" s="258"/>
      <c r="X90" s="258"/>
      <c r="Y90" s="258"/>
      <c r="Z90" s="258"/>
      <c r="AA90" s="258"/>
      <c r="AB90" s="258"/>
      <c r="AC90" s="258"/>
      <c r="AD90" s="258"/>
      <c r="AE90" s="258"/>
      <c r="AF90" s="258"/>
      <c r="AG90" s="258"/>
      <c r="AH90" s="258"/>
      <c r="AI90" s="258"/>
      <c r="AJ90" s="258"/>
      <c r="AK90" s="258"/>
      <c r="AL90" s="258"/>
      <c r="AM90" s="258"/>
      <c r="AN90" s="258"/>
      <c r="AO90" s="258"/>
      <c r="AP90" s="258"/>
    </row>
    <row r="91" spans="1:42">
      <c r="A91" s="381" t="s">
        <v>218</v>
      </c>
      <c r="B91" s="171"/>
      <c r="C91" s="171"/>
      <c r="D91" s="171"/>
      <c r="E91" s="399">
        <f t="shared" ref="E91:N91" si="25">E88-E89+E90</f>
        <v>0</v>
      </c>
      <c r="F91" s="399">
        <f t="shared" si="25"/>
        <v>0</v>
      </c>
      <c r="G91" s="399">
        <f t="shared" si="25"/>
        <v>0</v>
      </c>
      <c r="H91" s="399">
        <f t="shared" si="25"/>
        <v>0</v>
      </c>
      <c r="I91" s="399">
        <f t="shared" si="25"/>
        <v>0</v>
      </c>
      <c r="J91" s="399">
        <f t="shared" si="25"/>
        <v>0</v>
      </c>
      <c r="K91" s="399">
        <f t="shared" si="25"/>
        <v>0</v>
      </c>
      <c r="L91" s="394">
        <f t="shared" si="25"/>
        <v>0</v>
      </c>
      <c r="M91" s="394">
        <f t="shared" si="25"/>
        <v>0</v>
      </c>
      <c r="N91" s="394">
        <f t="shared" si="25"/>
        <v>0</v>
      </c>
      <c r="O91" s="171"/>
      <c r="P91" s="171"/>
      <c r="Q91" s="258"/>
      <c r="R91" s="258"/>
      <c r="S91" s="258"/>
      <c r="T91" s="258"/>
      <c r="U91" s="258"/>
      <c r="V91" s="258"/>
      <c r="W91" s="258"/>
      <c r="X91" s="258"/>
      <c r="Y91" s="258"/>
      <c r="Z91" s="258"/>
      <c r="AA91" s="258"/>
      <c r="AB91" s="258"/>
      <c r="AC91" s="258"/>
      <c r="AD91" s="258"/>
      <c r="AE91" s="258"/>
      <c r="AF91" s="258"/>
      <c r="AG91" s="258"/>
      <c r="AH91" s="258"/>
      <c r="AI91" s="258"/>
      <c r="AJ91" s="258"/>
      <c r="AK91" s="258"/>
      <c r="AL91" s="258"/>
      <c r="AM91" s="258"/>
      <c r="AN91" s="258"/>
      <c r="AO91" s="258"/>
      <c r="AP91" s="258"/>
    </row>
    <row r="92" spans="1:42" s="34" customFormat="1">
      <c r="A92" s="420" t="s">
        <v>178</v>
      </c>
      <c r="B92" s="425"/>
      <c r="C92" s="425"/>
      <c r="D92" s="425"/>
      <c r="E92" s="425"/>
      <c r="F92" s="425"/>
      <c r="G92" s="425"/>
      <c r="H92" s="425"/>
      <c r="I92" s="425"/>
      <c r="J92" s="425"/>
      <c r="K92" s="425"/>
      <c r="L92" s="425"/>
      <c r="M92" s="425"/>
      <c r="N92" s="425"/>
      <c r="O92" s="258"/>
      <c r="P92" s="258"/>
      <c r="Q92" s="258"/>
      <c r="R92" s="258"/>
      <c r="S92" s="258"/>
      <c r="T92" s="258"/>
      <c r="U92" s="258"/>
      <c r="V92" s="258"/>
      <c r="W92" s="258"/>
      <c r="X92" s="258"/>
      <c r="Y92" s="258"/>
      <c r="Z92" s="258"/>
      <c r="AA92" s="258"/>
      <c r="AB92" s="258"/>
      <c r="AC92" s="258"/>
      <c r="AD92" s="258"/>
      <c r="AE92" s="258"/>
      <c r="AF92" s="258"/>
      <c r="AG92" s="258"/>
      <c r="AH92" s="258"/>
      <c r="AI92" s="258"/>
      <c r="AJ92" s="258"/>
      <c r="AK92" s="258"/>
      <c r="AL92" s="258"/>
      <c r="AM92" s="258"/>
      <c r="AN92" s="258"/>
      <c r="AO92" s="258"/>
      <c r="AP92" s="258"/>
    </row>
    <row r="93" spans="1:42">
      <c r="A93" s="381" t="s">
        <v>209</v>
      </c>
      <c r="B93" s="171"/>
      <c r="C93" s="171"/>
      <c r="D93" s="171"/>
      <c r="E93" s="393">
        <f>F9</f>
        <v>0</v>
      </c>
      <c r="F93" s="393">
        <f>E96</f>
        <v>0</v>
      </c>
      <c r="G93" s="393">
        <f t="shared" ref="G93:N93" si="26">F96</f>
        <v>0</v>
      </c>
      <c r="H93" s="393">
        <f t="shared" si="26"/>
        <v>0</v>
      </c>
      <c r="I93" s="393">
        <f t="shared" si="26"/>
        <v>0</v>
      </c>
      <c r="J93" s="393">
        <f t="shared" si="26"/>
        <v>0</v>
      </c>
      <c r="K93" s="393">
        <f t="shared" si="26"/>
        <v>0</v>
      </c>
      <c r="L93" s="393">
        <f t="shared" si="26"/>
        <v>0</v>
      </c>
      <c r="M93" s="393">
        <f t="shared" si="26"/>
        <v>0</v>
      </c>
      <c r="N93" s="393">
        <f t="shared" si="26"/>
        <v>0</v>
      </c>
      <c r="O93" s="171"/>
      <c r="P93" s="171"/>
      <c r="Q93" s="258"/>
      <c r="R93" s="258"/>
      <c r="S93" s="258"/>
      <c r="T93" s="258"/>
      <c r="U93" s="258"/>
      <c r="V93" s="258"/>
      <c r="W93" s="258"/>
      <c r="X93" s="258"/>
      <c r="Y93" s="258"/>
      <c r="Z93" s="258"/>
      <c r="AA93" s="258"/>
      <c r="AB93" s="258"/>
      <c r="AC93" s="258"/>
      <c r="AD93" s="258"/>
      <c r="AE93" s="258"/>
      <c r="AF93" s="258"/>
      <c r="AG93" s="258"/>
      <c r="AH93" s="258"/>
      <c r="AI93" s="258"/>
      <c r="AJ93" s="258"/>
      <c r="AK93" s="258"/>
      <c r="AL93" s="258"/>
      <c r="AM93" s="258"/>
      <c r="AN93" s="258"/>
      <c r="AO93" s="258"/>
      <c r="AP93" s="258"/>
    </row>
    <row r="94" spans="1:42">
      <c r="A94" s="381" t="s">
        <v>216</v>
      </c>
      <c r="B94" s="171"/>
      <c r="C94" s="171"/>
      <c r="D94" s="171"/>
      <c r="E94" s="394">
        <f>-PMT($G$9,$H$9,$F$9)</f>
        <v>0</v>
      </c>
      <c r="F94" s="394">
        <f>IF(E96&lt;=0.25,0,-PMT($G$9,$H$9,$F$9))</f>
        <v>0</v>
      </c>
      <c r="G94" s="394">
        <f t="shared" ref="G94:N94" si="27">IF(F96&lt;=0.25,0,-PMT($G$9,$H$9,$F$9))</f>
        <v>0</v>
      </c>
      <c r="H94" s="394">
        <f t="shared" si="27"/>
        <v>0</v>
      </c>
      <c r="I94" s="394">
        <f t="shared" si="27"/>
        <v>0</v>
      </c>
      <c r="J94" s="394">
        <f t="shared" si="27"/>
        <v>0</v>
      </c>
      <c r="K94" s="394">
        <f t="shared" si="27"/>
        <v>0</v>
      </c>
      <c r="L94" s="394">
        <f t="shared" si="27"/>
        <v>0</v>
      </c>
      <c r="M94" s="394">
        <f t="shared" si="27"/>
        <v>0</v>
      </c>
      <c r="N94" s="394">
        <f t="shared" si="27"/>
        <v>0</v>
      </c>
      <c r="O94" s="171"/>
      <c r="P94" s="171"/>
      <c r="Q94" s="258"/>
      <c r="R94" s="258"/>
      <c r="S94" s="258"/>
      <c r="T94" s="258"/>
      <c r="U94" s="258"/>
      <c r="V94" s="258"/>
      <c r="W94" s="258"/>
      <c r="X94" s="258"/>
      <c r="Y94" s="258"/>
      <c r="Z94" s="258"/>
      <c r="AA94" s="258"/>
      <c r="AB94" s="258"/>
      <c r="AC94" s="258"/>
      <c r="AD94" s="258"/>
      <c r="AE94" s="258"/>
      <c r="AF94" s="258"/>
      <c r="AG94" s="258"/>
      <c r="AH94" s="258"/>
      <c r="AI94" s="258"/>
      <c r="AJ94" s="258"/>
      <c r="AK94" s="258"/>
      <c r="AL94" s="258"/>
      <c r="AM94" s="258"/>
      <c r="AN94" s="258"/>
      <c r="AO94" s="258"/>
      <c r="AP94" s="258"/>
    </row>
    <row r="95" spans="1:42">
      <c r="A95" s="381" t="s">
        <v>217</v>
      </c>
      <c r="B95" s="171"/>
      <c r="C95" s="171"/>
      <c r="D95" s="171"/>
      <c r="E95" s="393">
        <f>E93*$G$9</f>
        <v>0</v>
      </c>
      <c r="F95" s="393">
        <f t="shared" ref="F95:N95" si="28">F93*$G$9</f>
        <v>0</v>
      </c>
      <c r="G95" s="393">
        <f t="shared" si="28"/>
        <v>0</v>
      </c>
      <c r="H95" s="393">
        <f t="shared" si="28"/>
        <v>0</v>
      </c>
      <c r="I95" s="393">
        <f t="shared" si="28"/>
        <v>0</v>
      </c>
      <c r="J95" s="393">
        <f t="shared" si="28"/>
        <v>0</v>
      </c>
      <c r="K95" s="393">
        <f t="shared" si="28"/>
        <v>0</v>
      </c>
      <c r="L95" s="393">
        <f t="shared" si="28"/>
        <v>0</v>
      </c>
      <c r="M95" s="393">
        <f t="shared" si="28"/>
        <v>0</v>
      </c>
      <c r="N95" s="393">
        <f t="shared" si="28"/>
        <v>0</v>
      </c>
      <c r="O95" s="171"/>
      <c r="P95" s="171"/>
      <c r="Q95" s="258"/>
      <c r="R95" s="258"/>
      <c r="S95" s="258"/>
      <c r="T95" s="258"/>
      <c r="U95" s="258"/>
      <c r="V95" s="258"/>
      <c r="W95" s="258"/>
      <c r="X95" s="258"/>
      <c r="Y95" s="258"/>
      <c r="Z95" s="258"/>
      <c r="AA95" s="258"/>
      <c r="AB95" s="258"/>
      <c r="AC95" s="258"/>
      <c r="AD95" s="258"/>
      <c r="AE95" s="258"/>
      <c r="AF95" s="258"/>
      <c r="AG95" s="258"/>
      <c r="AH95" s="258"/>
      <c r="AI95" s="258"/>
      <c r="AJ95" s="258"/>
      <c r="AK95" s="258"/>
      <c r="AL95" s="258"/>
      <c r="AM95" s="258"/>
      <c r="AN95" s="258"/>
      <c r="AO95" s="258"/>
      <c r="AP95" s="258"/>
    </row>
    <row r="96" spans="1:42">
      <c r="A96" s="422" t="s">
        <v>218</v>
      </c>
      <c r="B96" s="426"/>
      <c r="C96" s="426"/>
      <c r="D96" s="426"/>
      <c r="E96" s="427">
        <f t="shared" ref="E96:N96" si="29">E93-E94+E95</f>
        <v>0</v>
      </c>
      <c r="F96" s="427">
        <f t="shared" si="29"/>
        <v>0</v>
      </c>
      <c r="G96" s="427">
        <f t="shared" si="29"/>
        <v>0</v>
      </c>
      <c r="H96" s="427">
        <f t="shared" si="29"/>
        <v>0</v>
      </c>
      <c r="I96" s="427">
        <f t="shared" si="29"/>
        <v>0</v>
      </c>
      <c r="J96" s="427">
        <f t="shared" si="29"/>
        <v>0</v>
      </c>
      <c r="K96" s="427">
        <f t="shared" si="29"/>
        <v>0</v>
      </c>
      <c r="L96" s="428">
        <f t="shared" si="29"/>
        <v>0</v>
      </c>
      <c r="M96" s="428">
        <f t="shared" si="29"/>
        <v>0</v>
      </c>
      <c r="N96" s="428">
        <f t="shared" si="29"/>
        <v>0</v>
      </c>
      <c r="O96" s="171"/>
      <c r="P96" s="171"/>
      <c r="Q96" s="258"/>
      <c r="R96" s="258"/>
      <c r="S96" s="258"/>
      <c r="T96" s="258"/>
      <c r="U96" s="258"/>
      <c r="V96" s="258"/>
      <c r="W96" s="258"/>
      <c r="X96" s="258"/>
      <c r="Y96" s="258"/>
      <c r="Z96" s="258"/>
      <c r="AA96" s="258"/>
      <c r="AB96" s="258"/>
      <c r="AC96" s="258"/>
      <c r="AD96" s="258"/>
      <c r="AE96" s="258"/>
      <c r="AF96" s="258"/>
      <c r="AG96" s="258"/>
      <c r="AH96" s="258"/>
      <c r="AI96" s="258"/>
      <c r="AJ96" s="258"/>
      <c r="AK96" s="258"/>
      <c r="AL96" s="258"/>
      <c r="AM96" s="258"/>
      <c r="AN96" s="258"/>
      <c r="AO96" s="258"/>
      <c r="AP96" s="258"/>
    </row>
    <row r="97" spans="1:42">
      <c r="A97" s="171"/>
      <c r="B97" s="171"/>
      <c r="C97" s="171"/>
      <c r="D97" s="171"/>
      <c r="E97" s="171"/>
      <c r="F97" s="171"/>
      <c r="G97" s="171"/>
      <c r="H97" s="171"/>
      <c r="I97" s="171"/>
      <c r="J97" s="171"/>
      <c r="K97" s="171"/>
      <c r="L97" s="171"/>
      <c r="M97" s="171"/>
      <c r="N97" s="171"/>
      <c r="O97" s="171"/>
      <c r="P97" s="171"/>
      <c r="Q97" s="258"/>
      <c r="R97" s="258"/>
      <c r="S97" s="258"/>
      <c r="T97" s="258"/>
      <c r="U97" s="258"/>
      <c r="V97" s="258"/>
      <c r="W97" s="258"/>
      <c r="X97" s="258"/>
      <c r="Y97" s="258"/>
      <c r="Z97" s="258"/>
      <c r="AA97" s="258"/>
      <c r="AB97" s="258"/>
      <c r="AC97" s="258"/>
      <c r="AD97" s="258"/>
      <c r="AE97" s="258"/>
      <c r="AF97" s="258"/>
      <c r="AG97" s="258"/>
      <c r="AH97" s="258"/>
      <c r="AI97" s="258"/>
      <c r="AJ97" s="258"/>
      <c r="AK97" s="258"/>
      <c r="AL97" s="258"/>
      <c r="AM97" s="258"/>
      <c r="AN97" s="258"/>
      <c r="AO97" s="258"/>
      <c r="AP97" s="258"/>
    </row>
    <row r="98" spans="1:42">
      <c r="A98" s="171"/>
      <c r="B98" s="171"/>
      <c r="C98" s="171"/>
      <c r="D98" s="171"/>
      <c r="E98" s="171"/>
      <c r="F98" s="171"/>
      <c r="G98" s="171"/>
      <c r="H98" s="171"/>
      <c r="I98" s="171"/>
      <c r="J98" s="171"/>
      <c r="K98" s="171"/>
      <c r="L98" s="171"/>
      <c r="M98" s="171"/>
      <c r="N98" s="171"/>
      <c r="O98" s="171"/>
      <c r="P98" s="171"/>
      <c r="Q98" s="258"/>
      <c r="R98" s="258"/>
      <c r="S98" s="258"/>
      <c r="T98" s="258"/>
      <c r="U98" s="258"/>
      <c r="V98" s="258"/>
      <c r="W98" s="258"/>
      <c r="X98" s="258"/>
      <c r="Y98" s="258"/>
      <c r="Z98" s="258"/>
      <c r="AA98" s="258"/>
      <c r="AB98" s="258"/>
      <c r="AC98" s="258"/>
      <c r="AD98" s="258"/>
      <c r="AE98" s="258"/>
      <c r="AF98" s="258"/>
      <c r="AG98" s="258"/>
      <c r="AH98" s="258"/>
      <c r="AI98" s="258"/>
      <c r="AJ98" s="258"/>
      <c r="AK98" s="258"/>
      <c r="AL98" s="258"/>
      <c r="AM98" s="258"/>
      <c r="AN98" s="258"/>
      <c r="AO98" s="258"/>
      <c r="AP98" s="258"/>
    </row>
    <row r="99" spans="1:42">
      <c r="A99" s="171"/>
      <c r="B99" s="171"/>
      <c r="C99" s="171"/>
      <c r="D99" s="171"/>
      <c r="E99" s="171"/>
      <c r="F99" s="171"/>
      <c r="G99" s="171"/>
      <c r="H99" s="171"/>
      <c r="I99" s="171"/>
      <c r="J99" s="171"/>
      <c r="K99" s="171"/>
      <c r="L99" s="171"/>
      <c r="M99" s="171"/>
      <c r="N99" s="171"/>
      <c r="O99" s="171"/>
      <c r="P99" s="171"/>
      <c r="Q99" s="258"/>
      <c r="R99" s="258"/>
      <c r="S99" s="258"/>
      <c r="T99" s="258"/>
      <c r="U99" s="258"/>
      <c r="V99" s="258"/>
      <c r="W99" s="258"/>
      <c r="X99" s="258"/>
      <c r="Y99" s="258"/>
      <c r="Z99" s="258"/>
      <c r="AA99" s="258"/>
      <c r="AB99" s="258"/>
      <c r="AC99" s="258"/>
      <c r="AD99" s="258"/>
      <c r="AE99" s="258"/>
      <c r="AF99" s="258"/>
      <c r="AG99" s="258"/>
      <c r="AH99" s="258"/>
      <c r="AI99" s="258"/>
      <c r="AJ99" s="258"/>
      <c r="AK99" s="258"/>
      <c r="AL99" s="258"/>
      <c r="AM99" s="258"/>
      <c r="AN99" s="258"/>
      <c r="AO99" s="258"/>
      <c r="AP99" s="258"/>
    </row>
    <row r="100" spans="1:42">
      <c r="A100" s="171"/>
      <c r="B100" s="171"/>
      <c r="C100" s="171"/>
      <c r="D100" s="171"/>
      <c r="E100" s="171"/>
      <c r="F100" s="171"/>
      <c r="G100" s="171"/>
      <c r="H100" s="171"/>
      <c r="I100" s="171"/>
      <c r="J100" s="171"/>
      <c r="K100" s="171"/>
      <c r="L100" s="171"/>
      <c r="M100" s="171"/>
      <c r="N100" s="171"/>
      <c r="O100" s="171"/>
      <c r="P100" s="171"/>
      <c r="Q100" s="258"/>
      <c r="R100" s="258"/>
      <c r="S100" s="258"/>
      <c r="T100" s="258"/>
      <c r="U100" s="258"/>
      <c r="V100" s="258"/>
      <c r="W100" s="258"/>
      <c r="X100" s="258"/>
      <c r="Y100" s="258"/>
      <c r="Z100" s="258"/>
      <c r="AA100" s="258"/>
      <c r="AB100" s="258"/>
      <c r="AC100" s="258"/>
      <c r="AD100" s="258"/>
      <c r="AE100" s="258"/>
      <c r="AF100" s="258"/>
      <c r="AG100" s="258"/>
      <c r="AH100" s="258"/>
      <c r="AI100" s="258"/>
      <c r="AJ100" s="258"/>
      <c r="AK100" s="258"/>
      <c r="AL100" s="258"/>
      <c r="AM100" s="258"/>
      <c r="AN100" s="258"/>
      <c r="AO100" s="258"/>
      <c r="AP100" s="258"/>
    </row>
    <row r="101" spans="1:42">
      <c r="A101" s="171"/>
      <c r="B101" s="171"/>
      <c r="C101" s="171"/>
      <c r="D101" s="171"/>
      <c r="E101" s="171"/>
      <c r="F101" s="171"/>
      <c r="G101" s="171"/>
      <c r="H101" s="171"/>
      <c r="I101" s="171"/>
      <c r="J101" s="171"/>
      <c r="K101" s="171"/>
      <c r="L101" s="171"/>
      <c r="M101" s="171"/>
      <c r="N101" s="171"/>
      <c r="O101" s="171"/>
      <c r="P101" s="171"/>
      <c r="Q101" s="258"/>
      <c r="R101" s="258"/>
      <c r="S101" s="258"/>
      <c r="T101" s="258"/>
      <c r="U101" s="258"/>
      <c r="V101" s="258"/>
      <c r="W101" s="258"/>
      <c r="X101" s="258"/>
      <c r="Y101" s="258"/>
      <c r="Z101" s="258"/>
      <c r="AA101" s="258"/>
      <c r="AB101" s="258"/>
      <c r="AC101" s="258"/>
      <c r="AD101" s="258"/>
      <c r="AE101" s="258"/>
      <c r="AF101" s="258"/>
      <c r="AG101" s="258"/>
      <c r="AH101" s="258"/>
      <c r="AI101" s="258"/>
      <c r="AJ101" s="258"/>
      <c r="AK101" s="258"/>
      <c r="AL101" s="258"/>
      <c r="AM101" s="258"/>
      <c r="AN101" s="258"/>
      <c r="AO101" s="258"/>
      <c r="AP101" s="258"/>
    </row>
    <row r="102" spans="1:42">
      <c r="A102" s="171"/>
      <c r="B102" s="171"/>
      <c r="C102" s="171"/>
      <c r="D102" s="171"/>
      <c r="E102" s="171"/>
      <c r="F102" s="171"/>
      <c r="G102" s="171"/>
      <c r="H102" s="171"/>
      <c r="I102" s="171"/>
      <c r="J102" s="171"/>
      <c r="K102" s="171"/>
      <c r="L102" s="171"/>
      <c r="M102" s="171"/>
      <c r="N102" s="171"/>
      <c r="O102" s="171"/>
      <c r="P102" s="171"/>
      <c r="Q102" s="258"/>
      <c r="R102" s="258"/>
      <c r="S102" s="258"/>
      <c r="T102" s="258"/>
      <c r="U102" s="258"/>
      <c r="V102" s="258"/>
      <c r="W102" s="258"/>
      <c r="X102" s="258"/>
      <c r="Y102" s="258"/>
      <c r="Z102" s="258"/>
      <c r="AA102" s="258"/>
      <c r="AB102" s="258"/>
      <c r="AC102" s="258"/>
      <c r="AD102" s="258"/>
      <c r="AE102" s="258"/>
      <c r="AF102" s="258"/>
      <c r="AG102" s="258"/>
      <c r="AH102" s="258"/>
      <c r="AI102" s="258"/>
      <c r="AJ102" s="258"/>
      <c r="AK102" s="258"/>
      <c r="AL102" s="258"/>
      <c r="AM102" s="258"/>
      <c r="AN102" s="258"/>
      <c r="AO102" s="258"/>
      <c r="AP102" s="258"/>
    </row>
    <row r="103" spans="1:42">
      <c r="A103" s="171"/>
      <c r="B103" s="171"/>
      <c r="C103" s="171"/>
      <c r="D103" s="171"/>
      <c r="E103" s="171"/>
      <c r="F103" s="171"/>
      <c r="G103" s="171"/>
      <c r="H103" s="171"/>
      <c r="I103" s="171"/>
      <c r="J103" s="171"/>
      <c r="K103" s="171"/>
      <c r="L103" s="171"/>
      <c r="M103" s="171"/>
      <c r="N103" s="171"/>
      <c r="O103" s="171"/>
      <c r="P103" s="171"/>
      <c r="Q103" s="258"/>
      <c r="R103" s="258"/>
      <c r="S103" s="258"/>
      <c r="T103" s="258"/>
      <c r="U103" s="258"/>
      <c r="V103" s="258"/>
      <c r="W103" s="258"/>
      <c r="X103" s="258"/>
      <c r="Y103" s="258"/>
      <c r="Z103" s="258"/>
      <c r="AA103" s="258"/>
      <c r="AB103" s="258"/>
      <c r="AC103" s="258"/>
      <c r="AD103" s="258"/>
      <c r="AE103" s="258"/>
      <c r="AF103" s="258"/>
      <c r="AG103" s="258"/>
      <c r="AH103" s="258"/>
      <c r="AI103" s="258"/>
      <c r="AJ103" s="258"/>
      <c r="AK103" s="258"/>
      <c r="AL103" s="258"/>
      <c r="AM103" s="258"/>
      <c r="AN103" s="258"/>
      <c r="AO103" s="258"/>
      <c r="AP103" s="258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4">
    <pageSetUpPr fitToPage="1"/>
  </sheetPr>
  <dimension ref="A1:S146"/>
  <sheetViews>
    <sheetView showGridLines="0" zoomScale="75" zoomScaleNormal="75" workbookViewId="0">
      <selection activeCell="H13" sqref="H13"/>
    </sheetView>
  </sheetViews>
  <sheetFormatPr defaultRowHeight="12.75" outlineLevelRow="1" outlineLevelCol="1"/>
  <cols>
    <col min="1" max="1" width="40.42578125" customWidth="1"/>
    <col min="2" max="2" width="11.28515625" customWidth="1" outlineLevel="1"/>
    <col min="3" max="3" width="2.140625" customWidth="1" outlineLevel="1"/>
    <col min="4" max="4" width="15" style="24" bestFit="1" customWidth="1"/>
    <col min="5" max="5" width="14.7109375" style="24" bestFit="1" customWidth="1"/>
    <col min="6" max="6" width="15.85546875" style="24" bestFit="1" customWidth="1"/>
    <col min="7" max="7" width="15" customWidth="1"/>
    <col min="8" max="9" width="15" bestFit="1" customWidth="1"/>
    <col min="10" max="10" width="14.5703125" bestFit="1" customWidth="1"/>
    <col min="11" max="11" width="12.28515625" customWidth="1"/>
    <col min="12" max="12" width="14" customWidth="1"/>
    <col min="13" max="14" width="13.42578125" customWidth="1"/>
    <col min="15" max="17" width="12.28515625" customWidth="1"/>
    <col min="18" max="18" width="13.42578125" customWidth="1"/>
  </cols>
  <sheetData>
    <row r="1" spans="1:19" ht="20.25">
      <c r="A1" s="714" t="str">
        <f>"Project "&amp;Assumptions!D6</f>
        <v>Project ETS</v>
      </c>
      <c r="B1" s="114"/>
      <c r="C1" s="115"/>
      <c r="D1" s="56"/>
      <c r="E1" s="56"/>
      <c r="F1" s="737" t="s">
        <v>148</v>
      </c>
      <c r="G1" s="481"/>
      <c r="H1" s="736"/>
      <c r="I1" s="736"/>
      <c r="J1" s="467"/>
    </row>
    <row r="2" spans="1:19" ht="15.75">
      <c r="A2" s="715" t="str">
        <f>'Org Chart'!B5</f>
        <v>Northern Natural</v>
      </c>
      <c r="B2" s="141"/>
      <c r="C2" s="117"/>
      <c r="D2" s="45"/>
      <c r="E2" s="45"/>
      <c r="F2" s="482"/>
      <c r="G2" s="54"/>
      <c r="H2" s="54"/>
      <c r="I2" s="54"/>
      <c r="J2" s="117"/>
      <c r="R2" s="24"/>
    </row>
    <row r="3" spans="1:19" ht="16.5" thickBot="1">
      <c r="A3" s="639" t="s">
        <v>347</v>
      </c>
      <c r="B3" s="640"/>
      <c r="C3" s="121"/>
      <c r="D3" s="45"/>
      <c r="E3" s="45"/>
      <c r="F3" s="482"/>
      <c r="G3" s="34"/>
      <c r="H3" s="54"/>
      <c r="I3" s="54"/>
      <c r="J3" s="117"/>
      <c r="R3" s="24"/>
    </row>
    <row r="4" spans="1:19" ht="13.5" thickBot="1">
      <c r="A4" s="142"/>
      <c r="B4" s="141"/>
      <c r="D4" s="45"/>
      <c r="E4" s="45"/>
      <c r="F4" s="157"/>
      <c r="G4" s="158"/>
      <c r="H4" s="158"/>
      <c r="I4" s="158"/>
      <c r="J4" s="121"/>
      <c r="R4" s="24"/>
    </row>
    <row r="5" spans="1:19">
      <c r="A5" s="142"/>
      <c r="B5" s="141"/>
      <c r="D5" s="45"/>
      <c r="E5" s="45"/>
      <c r="F5" s="43"/>
      <c r="G5" s="54"/>
      <c r="H5" s="54"/>
      <c r="I5" s="54"/>
      <c r="R5" s="24"/>
    </row>
    <row r="6" spans="1:19" ht="15.75">
      <c r="A6" s="483" t="s">
        <v>54</v>
      </c>
      <c r="B6" s="484"/>
      <c r="C6" s="412"/>
      <c r="D6" s="485"/>
      <c r="E6" s="485"/>
      <c r="F6" s="412"/>
      <c r="G6" s="486"/>
      <c r="H6" s="486"/>
      <c r="I6" s="486"/>
      <c r="J6" s="412"/>
      <c r="K6" s="412"/>
      <c r="L6" s="412"/>
      <c r="M6" s="412"/>
      <c r="N6" s="412"/>
      <c r="O6" s="412"/>
      <c r="P6" s="412"/>
      <c r="Q6" s="412"/>
      <c r="R6" s="662"/>
    </row>
    <row r="7" spans="1:19">
      <c r="D7" s="480"/>
      <c r="E7" s="480"/>
      <c r="F7" s="323"/>
      <c r="G7" s="309" t="s">
        <v>203</v>
      </c>
      <c r="H7" s="328"/>
      <c r="I7" s="323"/>
      <c r="J7" s="323"/>
      <c r="K7" s="246"/>
      <c r="L7" s="323"/>
      <c r="M7" s="246"/>
      <c r="N7" s="246"/>
      <c r="O7" s="246"/>
      <c r="P7" s="246"/>
      <c r="Q7" s="292"/>
      <c r="R7" s="31"/>
      <c r="S7" s="31"/>
    </row>
    <row r="8" spans="1:19">
      <c r="D8" s="256">
        <v>1998</v>
      </c>
      <c r="E8" s="256">
        <v>1999</v>
      </c>
      <c r="F8" s="256">
        <v>2000</v>
      </c>
      <c r="G8" s="256">
        <v>2001</v>
      </c>
      <c r="H8" s="289">
        <v>2002</v>
      </c>
      <c r="I8" s="289">
        <v>2003</v>
      </c>
      <c r="J8" s="289">
        <v>2004</v>
      </c>
      <c r="K8" s="289">
        <v>2005</v>
      </c>
      <c r="L8" s="289">
        <v>2006</v>
      </c>
      <c r="M8" s="293">
        <v>2007</v>
      </c>
      <c r="N8" s="293">
        <v>2008</v>
      </c>
      <c r="O8" s="293">
        <v>2009</v>
      </c>
      <c r="P8" s="293">
        <v>2010</v>
      </c>
      <c r="Q8" s="465">
        <v>2011</v>
      </c>
      <c r="R8" s="1"/>
      <c r="S8" s="1"/>
    </row>
    <row r="9" spans="1:19">
      <c r="F9" s="348" t="s">
        <v>213</v>
      </c>
      <c r="G9" s="256">
        <v>1</v>
      </c>
      <c r="H9" s="289">
        <v>2</v>
      </c>
      <c r="I9" s="289">
        <v>3</v>
      </c>
      <c r="J9" s="289">
        <v>4</v>
      </c>
      <c r="K9" s="289">
        <v>5</v>
      </c>
      <c r="L9" s="289">
        <v>6</v>
      </c>
      <c r="M9" s="289">
        <v>7</v>
      </c>
      <c r="N9" s="289">
        <v>8</v>
      </c>
      <c r="O9" s="289">
        <v>9</v>
      </c>
      <c r="P9" s="289">
        <v>10</v>
      </c>
      <c r="Q9" s="389">
        <v>11</v>
      </c>
      <c r="R9" s="1"/>
      <c r="S9" s="1"/>
    </row>
    <row r="10" spans="1:19">
      <c r="A10" s="6" t="s">
        <v>350</v>
      </c>
      <c r="D10" s="16"/>
      <c r="E10" s="16"/>
      <c r="F10" s="764"/>
      <c r="G10" s="724"/>
      <c r="H10" s="396"/>
      <c r="I10" s="396"/>
      <c r="J10" s="396"/>
      <c r="K10" s="396"/>
      <c r="L10" s="396"/>
      <c r="M10" s="396"/>
      <c r="N10" s="396"/>
      <c r="O10" s="396"/>
      <c r="P10" s="396"/>
      <c r="Q10" s="290"/>
      <c r="R10" s="1"/>
      <c r="S10" s="1"/>
    </row>
    <row r="11" spans="1:19">
      <c r="A11" t="str">
        <f t="shared" ref="A11:A16" si="0">A78</f>
        <v>Transportation &amp; Storage of NatGas</v>
      </c>
      <c r="D11" s="562">
        <f>D78</f>
        <v>468000</v>
      </c>
      <c r="E11" s="562">
        <f t="shared" ref="E11:Q11" si="1">E78</f>
        <v>441000</v>
      </c>
      <c r="F11" s="562">
        <f t="shared" si="1"/>
        <v>425000</v>
      </c>
      <c r="G11" s="747">
        <f t="shared" si="1"/>
        <v>424000</v>
      </c>
      <c r="H11" s="754">
        <f t="shared" si="1"/>
        <v>428240</v>
      </c>
      <c r="I11" s="754">
        <f t="shared" si="1"/>
        <v>432522.4</v>
      </c>
      <c r="J11" s="754">
        <f t="shared" si="1"/>
        <v>436847.62400000001</v>
      </c>
      <c r="K11" s="754">
        <f t="shared" si="1"/>
        <v>441216.10024</v>
      </c>
      <c r="L11" s="754">
        <f t="shared" si="1"/>
        <v>445628.26124239998</v>
      </c>
      <c r="M11" s="754">
        <f t="shared" si="1"/>
        <v>450084.54385482398</v>
      </c>
      <c r="N11" s="754">
        <f t="shared" si="1"/>
        <v>454585.38929337222</v>
      </c>
      <c r="O11" s="754">
        <f t="shared" si="1"/>
        <v>459131.24318630598</v>
      </c>
      <c r="P11" s="754">
        <f t="shared" si="1"/>
        <v>463722.55561816902</v>
      </c>
      <c r="Q11" s="754">
        <f t="shared" si="1"/>
        <v>468359.7811743507</v>
      </c>
      <c r="R11" s="1"/>
      <c r="S11" s="1"/>
    </row>
    <row r="12" spans="1:19">
      <c r="A12" t="str">
        <f t="shared" si="0"/>
        <v>LNG Terminalling Revenue</v>
      </c>
      <c r="D12" s="562">
        <f t="shared" ref="D12:Q16" si="2">D79</f>
        <v>0</v>
      </c>
      <c r="E12" s="562">
        <f t="shared" si="2"/>
        <v>0</v>
      </c>
      <c r="F12" s="562">
        <f t="shared" si="2"/>
        <v>0</v>
      </c>
      <c r="G12" s="747">
        <f t="shared" si="2"/>
        <v>98000</v>
      </c>
      <c r="H12" s="754">
        <f t="shared" si="2"/>
        <v>99960</v>
      </c>
      <c r="I12" s="754">
        <f t="shared" si="2"/>
        <v>101959.2</v>
      </c>
      <c r="J12" s="754">
        <f t="shared" si="2"/>
        <v>103998.38400000001</v>
      </c>
      <c r="K12" s="754">
        <f t="shared" si="2"/>
        <v>106078.35168000001</v>
      </c>
      <c r="L12" s="754">
        <f t="shared" si="2"/>
        <v>108199.91871360001</v>
      </c>
      <c r="M12" s="754">
        <f t="shared" si="2"/>
        <v>110363.91708787202</v>
      </c>
      <c r="N12" s="754">
        <f t="shared" si="2"/>
        <v>112571.19542962946</v>
      </c>
      <c r="O12" s="754">
        <f t="shared" si="2"/>
        <v>114822.61933822205</v>
      </c>
      <c r="P12" s="754">
        <f t="shared" si="2"/>
        <v>117119.0717249865</v>
      </c>
      <c r="Q12" s="754">
        <f t="shared" si="2"/>
        <v>119461.45315948623</v>
      </c>
      <c r="R12" s="1"/>
      <c r="S12" s="1"/>
    </row>
    <row r="13" spans="1:19">
      <c r="A13" t="str">
        <f t="shared" si="0"/>
        <v>Other</v>
      </c>
      <c r="D13" s="562">
        <f t="shared" si="2"/>
        <v>28000</v>
      </c>
      <c r="E13" s="562">
        <f t="shared" si="2"/>
        <v>30000</v>
      </c>
      <c r="F13" s="562">
        <f t="shared" si="2"/>
        <v>58000</v>
      </c>
      <c r="G13" s="747">
        <f t="shared" si="2"/>
        <v>18000</v>
      </c>
      <c r="H13" s="754">
        <f t="shared" si="2"/>
        <v>18540</v>
      </c>
      <c r="I13" s="754">
        <f t="shared" si="2"/>
        <v>19096.2</v>
      </c>
      <c r="J13" s="754">
        <f t="shared" si="2"/>
        <v>19669.086000000003</v>
      </c>
      <c r="K13" s="754">
        <f t="shared" si="2"/>
        <v>20259.158580000003</v>
      </c>
      <c r="L13" s="754">
        <f t="shared" si="2"/>
        <v>20866.933337400005</v>
      </c>
      <c r="M13" s="754">
        <f t="shared" si="2"/>
        <v>21492.941337522007</v>
      </c>
      <c r="N13" s="754">
        <f t="shared" si="2"/>
        <v>22137.729577647668</v>
      </c>
      <c r="O13" s="754">
        <f t="shared" si="2"/>
        <v>22801.861464977097</v>
      </c>
      <c r="P13" s="754">
        <f t="shared" si="2"/>
        <v>23485.917308926411</v>
      </c>
      <c r="Q13" s="754">
        <f t="shared" si="2"/>
        <v>24190.494828194205</v>
      </c>
      <c r="R13" s="1"/>
      <c r="S13" s="1"/>
    </row>
    <row r="14" spans="1:19" hidden="1" outlineLevel="1">
      <c r="A14" t="str">
        <f t="shared" si="0"/>
        <v>Revenue 4</v>
      </c>
      <c r="D14" s="562">
        <f t="shared" si="2"/>
        <v>0</v>
      </c>
      <c r="E14" s="562">
        <f t="shared" si="2"/>
        <v>0</v>
      </c>
      <c r="F14" s="562">
        <f t="shared" si="2"/>
        <v>0</v>
      </c>
      <c r="G14" s="747">
        <f t="shared" si="2"/>
        <v>0</v>
      </c>
      <c r="H14" s="754">
        <f t="shared" si="2"/>
        <v>0</v>
      </c>
      <c r="I14" s="754">
        <f t="shared" si="2"/>
        <v>0</v>
      </c>
      <c r="J14" s="754">
        <f t="shared" si="2"/>
        <v>0</v>
      </c>
      <c r="K14" s="754">
        <f t="shared" si="2"/>
        <v>0</v>
      </c>
      <c r="L14" s="754">
        <f t="shared" si="2"/>
        <v>0</v>
      </c>
      <c r="M14" s="754">
        <f t="shared" si="2"/>
        <v>0</v>
      </c>
      <c r="N14" s="754">
        <f t="shared" si="2"/>
        <v>0</v>
      </c>
      <c r="O14" s="754">
        <f t="shared" si="2"/>
        <v>0</v>
      </c>
      <c r="P14" s="754">
        <f t="shared" si="2"/>
        <v>0</v>
      </c>
      <c r="Q14" s="754">
        <f t="shared" si="2"/>
        <v>0</v>
      </c>
      <c r="R14" s="1"/>
      <c r="S14" s="1"/>
    </row>
    <row r="15" spans="1:19" hidden="1" outlineLevel="1">
      <c r="A15" t="str">
        <f t="shared" si="0"/>
        <v>Revenue 5</v>
      </c>
      <c r="D15" s="562">
        <f t="shared" si="2"/>
        <v>0</v>
      </c>
      <c r="E15" s="562">
        <f t="shared" si="2"/>
        <v>0</v>
      </c>
      <c r="F15" s="562">
        <f t="shared" si="2"/>
        <v>0</v>
      </c>
      <c r="G15" s="747">
        <f t="shared" si="2"/>
        <v>0</v>
      </c>
      <c r="H15" s="754">
        <f t="shared" si="2"/>
        <v>0</v>
      </c>
      <c r="I15" s="754">
        <f t="shared" si="2"/>
        <v>0</v>
      </c>
      <c r="J15" s="754">
        <f t="shared" si="2"/>
        <v>0</v>
      </c>
      <c r="K15" s="754">
        <f t="shared" si="2"/>
        <v>0</v>
      </c>
      <c r="L15" s="754">
        <f t="shared" si="2"/>
        <v>0</v>
      </c>
      <c r="M15" s="754">
        <f t="shared" si="2"/>
        <v>0</v>
      </c>
      <c r="N15" s="754">
        <f t="shared" si="2"/>
        <v>0</v>
      </c>
      <c r="O15" s="754">
        <f t="shared" si="2"/>
        <v>0</v>
      </c>
      <c r="P15" s="754">
        <f t="shared" si="2"/>
        <v>0</v>
      </c>
      <c r="Q15" s="754">
        <f t="shared" si="2"/>
        <v>0</v>
      </c>
      <c r="R15" s="24"/>
    </row>
    <row r="16" spans="1:19" hidden="1" outlineLevel="1">
      <c r="A16" t="str">
        <f t="shared" si="0"/>
        <v>Revenue 6</v>
      </c>
      <c r="D16" s="562">
        <f t="shared" si="2"/>
        <v>0</v>
      </c>
      <c r="E16" s="562">
        <f t="shared" si="2"/>
        <v>0</v>
      </c>
      <c r="F16" s="562">
        <f t="shared" si="2"/>
        <v>0</v>
      </c>
      <c r="G16" s="747">
        <f t="shared" si="2"/>
        <v>0</v>
      </c>
      <c r="H16" s="754">
        <f t="shared" si="2"/>
        <v>0</v>
      </c>
      <c r="I16" s="754">
        <f t="shared" si="2"/>
        <v>0</v>
      </c>
      <c r="J16" s="754">
        <f t="shared" si="2"/>
        <v>0</v>
      </c>
      <c r="K16" s="754">
        <f t="shared" si="2"/>
        <v>0</v>
      </c>
      <c r="L16" s="754">
        <f t="shared" si="2"/>
        <v>0</v>
      </c>
      <c r="M16" s="754">
        <f t="shared" si="2"/>
        <v>0</v>
      </c>
      <c r="N16" s="754">
        <f t="shared" si="2"/>
        <v>0</v>
      </c>
      <c r="O16" s="754">
        <f t="shared" si="2"/>
        <v>0</v>
      </c>
      <c r="P16" s="754">
        <f t="shared" si="2"/>
        <v>0</v>
      </c>
      <c r="Q16" s="754">
        <f t="shared" si="2"/>
        <v>0</v>
      </c>
      <c r="R16" s="24"/>
    </row>
    <row r="17" spans="1:18" collapsed="1">
      <c r="A17" s="559" t="s">
        <v>354</v>
      </c>
      <c r="B17" s="80"/>
      <c r="C17" s="76"/>
      <c r="D17" s="730">
        <f t="shared" ref="D17:Q17" si="3">SUM(D11:D16)</f>
        <v>496000</v>
      </c>
      <c r="E17" s="730">
        <f t="shared" si="3"/>
        <v>471000</v>
      </c>
      <c r="F17" s="730">
        <f t="shared" si="3"/>
        <v>483000</v>
      </c>
      <c r="G17" s="730">
        <f t="shared" si="3"/>
        <v>540000</v>
      </c>
      <c r="H17" s="748">
        <f t="shared" si="3"/>
        <v>546740</v>
      </c>
      <c r="I17" s="748">
        <f t="shared" si="3"/>
        <v>553577.79999999993</v>
      </c>
      <c r="J17" s="748">
        <f t="shared" si="3"/>
        <v>560515.09400000004</v>
      </c>
      <c r="K17" s="748">
        <f t="shared" si="3"/>
        <v>567553.61050000007</v>
      </c>
      <c r="L17" s="748">
        <f t="shared" si="3"/>
        <v>574695.11329339992</v>
      </c>
      <c r="M17" s="748">
        <f t="shared" si="3"/>
        <v>581941.40228021797</v>
      </c>
      <c r="N17" s="748">
        <f t="shared" si="3"/>
        <v>589294.31430064933</v>
      </c>
      <c r="O17" s="748">
        <f t="shared" si="3"/>
        <v>596755.7239895052</v>
      </c>
      <c r="P17" s="748">
        <f t="shared" si="3"/>
        <v>604327.54465208203</v>
      </c>
      <c r="Q17" s="748">
        <f t="shared" si="3"/>
        <v>612011.72916203109</v>
      </c>
      <c r="R17" s="24"/>
    </row>
    <row r="18" spans="1:18">
      <c r="D18" s="207"/>
      <c r="E18" s="207"/>
      <c r="F18" s="18"/>
      <c r="G18" s="653"/>
      <c r="H18" s="12"/>
      <c r="I18" s="12"/>
      <c r="J18" s="12"/>
      <c r="K18" s="12"/>
      <c r="L18" s="1"/>
      <c r="M18" s="1"/>
      <c r="N18" s="1"/>
      <c r="O18" s="1"/>
      <c r="P18" s="1"/>
      <c r="Q18" s="1"/>
      <c r="R18" s="24"/>
    </row>
    <row r="19" spans="1:18">
      <c r="A19" s="6" t="s">
        <v>295</v>
      </c>
      <c r="D19" s="207"/>
      <c r="E19" s="207"/>
      <c r="F19" s="18"/>
      <c r="G19" s="653"/>
      <c r="H19" s="12"/>
      <c r="I19" s="12"/>
      <c r="J19" s="12"/>
      <c r="K19" s="12"/>
      <c r="L19" s="1"/>
      <c r="M19" s="1"/>
      <c r="N19" s="1"/>
      <c r="O19" s="1"/>
      <c r="P19" s="1"/>
      <c r="Q19" s="1"/>
      <c r="R19" s="24"/>
    </row>
    <row r="20" spans="1:18">
      <c r="A20" t="str">
        <f>A100</f>
        <v>Operation and Maintenance</v>
      </c>
      <c r="D20" s="562">
        <f t="shared" ref="D20:Q20" si="4">D100</f>
        <v>213000</v>
      </c>
      <c r="E20" s="562">
        <f t="shared" si="4"/>
        <v>191000</v>
      </c>
      <c r="F20" s="562">
        <f t="shared" si="4"/>
        <v>211000</v>
      </c>
      <c r="G20" s="758">
        <f t="shared" si="4"/>
        <v>210000</v>
      </c>
      <c r="H20" s="757">
        <f t="shared" si="4"/>
        <v>215249.99999999997</v>
      </c>
      <c r="I20" s="757">
        <f t="shared" si="4"/>
        <v>220631.24999999994</v>
      </c>
      <c r="J20" s="757">
        <f t="shared" si="4"/>
        <v>226147.03124999991</v>
      </c>
      <c r="K20" s="757">
        <f t="shared" si="4"/>
        <v>231800.70703124988</v>
      </c>
      <c r="L20" s="757">
        <f t="shared" si="4"/>
        <v>237595.7247070311</v>
      </c>
      <c r="M20" s="757">
        <f t="shared" si="4"/>
        <v>243535.61782470686</v>
      </c>
      <c r="N20" s="757">
        <f t="shared" si="4"/>
        <v>249624.0082703245</v>
      </c>
      <c r="O20" s="757">
        <f t="shared" si="4"/>
        <v>255864.6084770826</v>
      </c>
      <c r="P20" s="757">
        <f t="shared" si="4"/>
        <v>262261.22368900967</v>
      </c>
      <c r="Q20" s="757">
        <f t="shared" si="4"/>
        <v>268817.75428123487</v>
      </c>
      <c r="R20" s="24"/>
    </row>
    <row r="21" spans="1:18" hidden="1" outlineLevel="1">
      <c r="A21" t="str">
        <f>A101</f>
        <v>Expense 2</v>
      </c>
      <c r="D21" s="562">
        <f t="shared" ref="D21:Q21" si="5">D101</f>
        <v>0</v>
      </c>
      <c r="E21" s="562">
        <f t="shared" si="5"/>
        <v>0</v>
      </c>
      <c r="F21" s="562">
        <f t="shared" si="5"/>
        <v>0</v>
      </c>
      <c r="G21" s="562">
        <f t="shared" si="5"/>
        <v>0</v>
      </c>
      <c r="H21" s="757">
        <f t="shared" si="5"/>
        <v>0</v>
      </c>
      <c r="I21" s="757">
        <f t="shared" si="5"/>
        <v>0</v>
      </c>
      <c r="J21" s="757">
        <f t="shared" si="5"/>
        <v>0</v>
      </c>
      <c r="K21" s="757">
        <f t="shared" si="5"/>
        <v>0</v>
      </c>
      <c r="L21" s="757">
        <f t="shared" si="5"/>
        <v>0</v>
      </c>
      <c r="M21" s="757">
        <f t="shared" si="5"/>
        <v>0</v>
      </c>
      <c r="N21" s="757">
        <f t="shared" si="5"/>
        <v>0</v>
      </c>
      <c r="O21" s="757">
        <f t="shared" si="5"/>
        <v>0</v>
      </c>
      <c r="P21" s="757">
        <f t="shared" si="5"/>
        <v>0</v>
      </c>
      <c r="Q21" s="757">
        <f t="shared" si="5"/>
        <v>0</v>
      </c>
      <c r="R21" s="24"/>
    </row>
    <row r="22" spans="1:18" hidden="1" outlineLevel="1">
      <c r="A22" t="str">
        <f>A102</f>
        <v>Expense 3</v>
      </c>
      <c r="D22" s="562">
        <f t="shared" ref="D22:Q22" si="6">D102</f>
        <v>0</v>
      </c>
      <c r="E22" s="562">
        <f t="shared" si="6"/>
        <v>0</v>
      </c>
      <c r="F22" s="562">
        <f t="shared" si="6"/>
        <v>0</v>
      </c>
      <c r="G22" s="562">
        <f t="shared" si="6"/>
        <v>0</v>
      </c>
      <c r="H22" s="757">
        <f t="shared" si="6"/>
        <v>0</v>
      </c>
      <c r="I22" s="757">
        <f t="shared" si="6"/>
        <v>0</v>
      </c>
      <c r="J22" s="757">
        <f t="shared" si="6"/>
        <v>0</v>
      </c>
      <c r="K22" s="757">
        <f t="shared" si="6"/>
        <v>0</v>
      </c>
      <c r="L22" s="757">
        <f t="shared" si="6"/>
        <v>0</v>
      </c>
      <c r="M22" s="757">
        <f t="shared" si="6"/>
        <v>0</v>
      </c>
      <c r="N22" s="757">
        <f t="shared" si="6"/>
        <v>0</v>
      </c>
      <c r="O22" s="757">
        <f t="shared" si="6"/>
        <v>0</v>
      </c>
      <c r="P22" s="757">
        <f t="shared" si="6"/>
        <v>0</v>
      </c>
      <c r="Q22" s="757">
        <f t="shared" si="6"/>
        <v>0</v>
      </c>
      <c r="R22" s="24"/>
    </row>
    <row r="23" spans="1:18" hidden="1" outlineLevel="1">
      <c r="A23" t="str">
        <f>A103</f>
        <v>Expense 4</v>
      </c>
      <c r="D23" s="562">
        <f t="shared" ref="D23:Q23" si="7">D103</f>
        <v>0</v>
      </c>
      <c r="E23" s="562">
        <f t="shared" si="7"/>
        <v>0</v>
      </c>
      <c r="F23" s="562">
        <f t="shared" si="7"/>
        <v>0</v>
      </c>
      <c r="G23" s="562">
        <f t="shared" si="7"/>
        <v>0</v>
      </c>
      <c r="H23" s="757">
        <f t="shared" si="7"/>
        <v>0</v>
      </c>
      <c r="I23" s="757">
        <f t="shared" si="7"/>
        <v>0</v>
      </c>
      <c r="J23" s="757">
        <f t="shared" si="7"/>
        <v>0</v>
      </c>
      <c r="K23" s="757">
        <f t="shared" si="7"/>
        <v>0</v>
      </c>
      <c r="L23" s="757">
        <f t="shared" si="7"/>
        <v>0</v>
      </c>
      <c r="M23" s="757">
        <f t="shared" si="7"/>
        <v>0</v>
      </c>
      <c r="N23" s="757">
        <f t="shared" si="7"/>
        <v>0</v>
      </c>
      <c r="O23" s="757">
        <f t="shared" si="7"/>
        <v>0</v>
      </c>
      <c r="P23" s="757">
        <f t="shared" si="7"/>
        <v>0</v>
      </c>
      <c r="Q23" s="757">
        <f t="shared" si="7"/>
        <v>0</v>
      </c>
      <c r="R23" s="24"/>
    </row>
    <row r="24" spans="1:18" hidden="1" outlineLevel="1">
      <c r="A24" t="str">
        <f>A104</f>
        <v>Expense 5</v>
      </c>
      <c r="D24" s="562">
        <f t="shared" ref="D24:Q24" si="8">D104</f>
        <v>0</v>
      </c>
      <c r="E24" s="562">
        <f t="shared" si="8"/>
        <v>0</v>
      </c>
      <c r="F24" s="562">
        <f t="shared" si="8"/>
        <v>0</v>
      </c>
      <c r="G24" s="562">
        <f t="shared" si="8"/>
        <v>0</v>
      </c>
      <c r="H24" s="757">
        <f t="shared" si="8"/>
        <v>0</v>
      </c>
      <c r="I24" s="757">
        <f t="shared" si="8"/>
        <v>0</v>
      </c>
      <c r="J24" s="757">
        <f t="shared" si="8"/>
        <v>0</v>
      </c>
      <c r="K24" s="757">
        <f t="shared" si="8"/>
        <v>0</v>
      </c>
      <c r="L24" s="757">
        <f t="shared" si="8"/>
        <v>0</v>
      </c>
      <c r="M24" s="757">
        <f t="shared" si="8"/>
        <v>0</v>
      </c>
      <c r="N24" s="757">
        <f t="shared" si="8"/>
        <v>0</v>
      </c>
      <c r="O24" s="757">
        <f t="shared" si="8"/>
        <v>0</v>
      </c>
      <c r="P24" s="757">
        <f t="shared" si="8"/>
        <v>0</v>
      </c>
      <c r="Q24" s="757">
        <f t="shared" si="8"/>
        <v>0</v>
      </c>
      <c r="R24" s="24"/>
    </row>
    <row r="25" spans="1:18" collapsed="1">
      <c r="A25" s="106" t="s">
        <v>355</v>
      </c>
      <c r="B25" s="79"/>
      <c r="C25" s="34"/>
      <c r="D25" s="731">
        <f t="shared" ref="D25:Q25" si="9">SUM(D20:D24)</f>
        <v>213000</v>
      </c>
      <c r="E25" s="731">
        <f t="shared" si="9"/>
        <v>191000</v>
      </c>
      <c r="F25" s="731">
        <f t="shared" si="9"/>
        <v>211000</v>
      </c>
      <c r="G25" s="731">
        <f t="shared" si="9"/>
        <v>210000</v>
      </c>
      <c r="H25" s="732">
        <f t="shared" si="9"/>
        <v>215249.99999999997</v>
      </c>
      <c r="I25" s="732">
        <f t="shared" si="9"/>
        <v>220631.24999999994</v>
      </c>
      <c r="J25" s="732">
        <f t="shared" si="9"/>
        <v>226147.03124999991</v>
      </c>
      <c r="K25" s="732">
        <f t="shared" si="9"/>
        <v>231800.70703124988</v>
      </c>
      <c r="L25" s="732">
        <f t="shared" si="9"/>
        <v>237595.7247070311</v>
      </c>
      <c r="M25" s="732">
        <f t="shared" si="9"/>
        <v>243535.61782470686</v>
      </c>
      <c r="N25" s="732">
        <f t="shared" si="9"/>
        <v>249624.0082703245</v>
      </c>
      <c r="O25" s="732">
        <f t="shared" si="9"/>
        <v>255864.6084770826</v>
      </c>
      <c r="P25" s="732">
        <f t="shared" si="9"/>
        <v>262261.22368900967</v>
      </c>
      <c r="Q25" s="732">
        <f t="shared" si="9"/>
        <v>268817.75428123487</v>
      </c>
      <c r="R25" s="24"/>
    </row>
    <row r="26" spans="1:18">
      <c r="A26" s="106"/>
      <c r="B26" s="79"/>
      <c r="C26" s="34"/>
      <c r="D26" s="567"/>
      <c r="E26" s="567"/>
      <c r="F26" s="567"/>
      <c r="G26" s="567"/>
      <c r="H26" s="568"/>
      <c r="I26" s="568"/>
      <c r="J26" s="568"/>
      <c r="K26" s="568"/>
      <c r="L26" s="568"/>
      <c r="M26" s="568"/>
      <c r="N26" s="568"/>
      <c r="O26" s="568"/>
      <c r="P26" s="568"/>
      <c r="Q26" s="568"/>
      <c r="R26" s="24"/>
    </row>
    <row r="27" spans="1:18" ht="13.5" thickBot="1">
      <c r="A27" s="106" t="s">
        <v>1</v>
      </c>
      <c r="B27" s="34"/>
      <c r="C27" s="34"/>
      <c r="D27" s="584">
        <f>D17-D25</f>
        <v>283000</v>
      </c>
      <c r="E27" s="584">
        <f t="shared" ref="E27:Q27" si="10">E17-E25</f>
        <v>280000</v>
      </c>
      <c r="F27" s="584">
        <f t="shared" si="10"/>
        <v>272000</v>
      </c>
      <c r="G27" s="584">
        <f t="shared" si="10"/>
        <v>330000</v>
      </c>
      <c r="H27" s="585">
        <f t="shared" si="10"/>
        <v>331490</v>
      </c>
      <c r="I27" s="585">
        <f t="shared" si="10"/>
        <v>332946.55</v>
      </c>
      <c r="J27" s="585">
        <f t="shared" si="10"/>
        <v>334368.06275000016</v>
      </c>
      <c r="K27" s="585">
        <f t="shared" si="10"/>
        <v>335752.90346875018</v>
      </c>
      <c r="L27" s="585">
        <f t="shared" si="10"/>
        <v>337099.38858636882</v>
      </c>
      <c r="M27" s="585">
        <f t="shared" si="10"/>
        <v>338405.78445551114</v>
      </c>
      <c r="N27" s="585">
        <f t="shared" si="10"/>
        <v>339670.30603032483</v>
      </c>
      <c r="O27" s="585">
        <f t="shared" si="10"/>
        <v>340891.11551242264</v>
      </c>
      <c r="P27" s="585">
        <f t="shared" si="10"/>
        <v>342066.32096307236</v>
      </c>
      <c r="Q27" s="585">
        <f t="shared" si="10"/>
        <v>343193.97488079622</v>
      </c>
      <c r="R27" s="24"/>
    </row>
    <row r="28" spans="1:18" ht="13.5" thickTop="1">
      <c r="A28" s="106"/>
      <c r="B28" s="34"/>
      <c r="C28" s="34"/>
      <c r="D28" s="547"/>
      <c r="E28" s="547"/>
      <c r="F28" s="547"/>
      <c r="G28" s="547"/>
      <c r="H28" s="548"/>
      <c r="I28" s="548"/>
      <c r="J28" s="548"/>
      <c r="K28" s="548"/>
      <c r="L28" s="548"/>
      <c r="M28" s="548"/>
      <c r="N28" s="548"/>
      <c r="O28" s="548"/>
      <c r="P28" s="548"/>
      <c r="Q28" s="548"/>
      <c r="R28" s="24"/>
    </row>
    <row r="29" spans="1:18">
      <c r="A29" s="284" t="s">
        <v>362</v>
      </c>
      <c r="D29" s="562">
        <v>56000</v>
      </c>
      <c r="E29" s="562">
        <v>58000</v>
      </c>
      <c r="F29" s="562">
        <v>65000</v>
      </c>
      <c r="G29" s="747">
        <f>33000*2</f>
        <v>66000</v>
      </c>
      <c r="R29" s="24"/>
    </row>
    <row r="30" spans="1:18">
      <c r="D30" s="16"/>
      <c r="E30" s="16"/>
      <c r="F30" s="16"/>
      <c r="G30" s="16"/>
      <c r="R30" s="24"/>
    </row>
    <row r="31" spans="1:18" ht="13.5" thickBot="1">
      <c r="A31" s="6" t="s">
        <v>2</v>
      </c>
      <c r="D31" s="727">
        <f>D27-D29</f>
        <v>227000</v>
      </c>
      <c r="E31" s="727">
        <f t="shared" ref="E31:Q31" si="11">E27-E29</f>
        <v>222000</v>
      </c>
      <c r="F31" s="727">
        <f t="shared" si="11"/>
        <v>207000</v>
      </c>
      <c r="G31" s="727">
        <f t="shared" si="11"/>
        <v>264000</v>
      </c>
      <c r="H31" s="728">
        <f t="shared" si="11"/>
        <v>331490</v>
      </c>
      <c r="I31" s="728">
        <f t="shared" si="11"/>
        <v>332946.55</v>
      </c>
      <c r="J31" s="728">
        <f t="shared" si="11"/>
        <v>334368.06275000016</v>
      </c>
      <c r="K31" s="728">
        <f t="shared" si="11"/>
        <v>335752.90346875018</v>
      </c>
      <c r="L31" s="728">
        <f t="shared" si="11"/>
        <v>337099.38858636882</v>
      </c>
      <c r="M31" s="728">
        <f t="shared" si="11"/>
        <v>338405.78445551114</v>
      </c>
      <c r="N31" s="728">
        <f t="shared" si="11"/>
        <v>339670.30603032483</v>
      </c>
      <c r="O31" s="728">
        <f t="shared" si="11"/>
        <v>340891.11551242264</v>
      </c>
      <c r="P31" s="728">
        <f t="shared" si="11"/>
        <v>342066.32096307236</v>
      </c>
      <c r="Q31" s="728">
        <f t="shared" si="11"/>
        <v>343193.97488079622</v>
      </c>
      <c r="R31" s="24"/>
    </row>
    <row r="32" spans="1:18" ht="13.5" thickTop="1">
      <c r="D32" s="16"/>
      <c r="E32" s="16"/>
      <c r="F32" s="16"/>
      <c r="G32" s="16"/>
      <c r="R32" s="24"/>
    </row>
    <row r="33" spans="1:18">
      <c r="A33" s="6" t="s">
        <v>366</v>
      </c>
      <c r="D33" s="16"/>
      <c r="E33" s="16"/>
      <c r="F33" s="16"/>
      <c r="G33" s="16"/>
      <c r="R33" s="24"/>
    </row>
    <row r="34" spans="1:18">
      <c r="A34" t="s">
        <v>363</v>
      </c>
      <c r="D34" s="562">
        <f>D120</f>
        <v>24000</v>
      </c>
      <c r="E34" s="562">
        <f t="shared" ref="E34:Q34" si="12">E120</f>
        <v>6000</v>
      </c>
      <c r="F34" s="562">
        <f t="shared" si="12"/>
        <v>8000</v>
      </c>
      <c r="G34" s="562">
        <f t="shared" si="12"/>
        <v>8000</v>
      </c>
      <c r="H34" s="753">
        <f t="shared" si="12"/>
        <v>8080</v>
      </c>
      <c r="I34" s="753">
        <f t="shared" si="12"/>
        <v>8160.8</v>
      </c>
      <c r="J34" s="753">
        <f t="shared" si="12"/>
        <v>8242.4079999999994</v>
      </c>
      <c r="K34" s="753">
        <f t="shared" si="12"/>
        <v>8324.8320800000001</v>
      </c>
      <c r="L34" s="753">
        <f t="shared" si="12"/>
        <v>8408.0804007999996</v>
      </c>
      <c r="M34" s="753">
        <f t="shared" si="12"/>
        <v>8492.1612048079987</v>
      </c>
      <c r="N34" s="753">
        <f t="shared" si="12"/>
        <v>8577.0828168560784</v>
      </c>
      <c r="O34" s="753">
        <f t="shared" si="12"/>
        <v>8662.8536450246393</v>
      </c>
      <c r="P34" s="753">
        <f t="shared" si="12"/>
        <v>8749.4821814748866</v>
      </c>
      <c r="Q34" s="753">
        <f t="shared" si="12"/>
        <v>8836.9770032896358</v>
      </c>
      <c r="R34" s="24"/>
    </row>
    <row r="35" spans="1:18" hidden="1" outlineLevel="1">
      <c r="A35" s="23" t="s">
        <v>367</v>
      </c>
      <c r="D35" s="562">
        <f t="shared" ref="D35:Q36" si="13">D121</f>
        <v>0</v>
      </c>
      <c r="E35" s="562">
        <f t="shared" si="13"/>
        <v>0</v>
      </c>
      <c r="F35" s="562">
        <f t="shared" si="13"/>
        <v>0</v>
      </c>
      <c r="G35" s="562">
        <f t="shared" si="13"/>
        <v>0</v>
      </c>
      <c r="H35" s="753">
        <f t="shared" si="13"/>
        <v>0</v>
      </c>
      <c r="I35" s="753">
        <f t="shared" si="13"/>
        <v>0</v>
      </c>
      <c r="J35" s="753">
        <f t="shared" si="13"/>
        <v>0</v>
      </c>
      <c r="K35" s="753">
        <f t="shared" si="13"/>
        <v>0</v>
      </c>
      <c r="L35" s="753">
        <f t="shared" si="13"/>
        <v>0</v>
      </c>
      <c r="M35" s="753">
        <f t="shared" si="13"/>
        <v>0</v>
      </c>
      <c r="N35" s="753">
        <f t="shared" si="13"/>
        <v>0</v>
      </c>
      <c r="O35" s="753">
        <f t="shared" si="13"/>
        <v>0</v>
      </c>
      <c r="P35" s="753">
        <f t="shared" si="13"/>
        <v>0</v>
      </c>
      <c r="Q35" s="753">
        <f t="shared" si="13"/>
        <v>0</v>
      </c>
      <c r="R35" s="24"/>
    </row>
    <row r="36" spans="1:18" hidden="1" outlineLevel="1">
      <c r="A36" s="23" t="s">
        <v>368</v>
      </c>
      <c r="D36" s="562">
        <f t="shared" si="13"/>
        <v>0</v>
      </c>
      <c r="E36" s="562">
        <f t="shared" si="13"/>
        <v>0</v>
      </c>
      <c r="F36" s="562">
        <f t="shared" si="13"/>
        <v>0</v>
      </c>
      <c r="G36" s="562">
        <f t="shared" si="13"/>
        <v>0</v>
      </c>
      <c r="H36" s="753">
        <f t="shared" si="13"/>
        <v>0</v>
      </c>
      <c r="I36" s="753">
        <f t="shared" si="13"/>
        <v>0</v>
      </c>
      <c r="J36" s="753">
        <f t="shared" si="13"/>
        <v>0</v>
      </c>
      <c r="K36" s="753">
        <f t="shared" si="13"/>
        <v>0</v>
      </c>
      <c r="L36" s="753">
        <f t="shared" si="13"/>
        <v>0</v>
      </c>
      <c r="M36" s="753">
        <f t="shared" si="13"/>
        <v>0</v>
      </c>
      <c r="N36" s="753">
        <f t="shared" si="13"/>
        <v>0</v>
      </c>
      <c r="O36" s="753">
        <f t="shared" si="13"/>
        <v>0</v>
      </c>
      <c r="P36" s="753">
        <f t="shared" si="13"/>
        <v>0</v>
      </c>
      <c r="Q36" s="753">
        <f t="shared" si="13"/>
        <v>0</v>
      </c>
      <c r="R36" s="24"/>
    </row>
    <row r="37" spans="1:18" collapsed="1">
      <c r="A37" s="6" t="s">
        <v>369</v>
      </c>
      <c r="D37" s="733">
        <f t="shared" ref="D37:Q37" si="14">SUM(D34:D36)</f>
        <v>24000</v>
      </c>
      <c r="E37" s="733">
        <f t="shared" si="14"/>
        <v>6000</v>
      </c>
      <c r="F37" s="733">
        <f t="shared" si="14"/>
        <v>8000</v>
      </c>
      <c r="G37" s="733">
        <f t="shared" si="14"/>
        <v>8000</v>
      </c>
      <c r="H37" s="751">
        <f t="shared" si="14"/>
        <v>8080</v>
      </c>
      <c r="I37" s="751">
        <f t="shared" si="14"/>
        <v>8160.8</v>
      </c>
      <c r="J37" s="751">
        <f t="shared" si="14"/>
        <v>8242.4079999999994</v>
      </c>
      <c r="K37" s="751">
        <f t="shared" si="14"/>
        <v>8324.8320800000001</v>
      </c>
      <c r="L37" s="751">
        <f t="shared" si="14"/>
        <v>8408.0804007999996</v>
      </c>
      <c r="M37" s="751">
        <f t="shared" si="14"/>
        <v>8492.1612048079987</v>
      </c>
      <c r="N37" s="751">
        <f t="shared" si="14"/>
        <v>8577.0828168560784</v>
      </c>
      <c r="O37" s="751">
        <f t="shared" si="14"/>
        <v>8662.8536450246393</v>
      </c>
      <c r="P37" s="751">
        <f t="shared" si="14"/>
        <v>8749.4821814748866</v>
      </c>
      <c r="Q37" s="751">
        <f t="shared" si="14"/>
        <v>8836.9770032896358</v>
      </c>
      <c r="R37" s="24"/>
    </row>
    <row r="38" spans="1:18">
      <c r="D38" s="562"/>
      <c r="E38" s="562"/>
      <c r="F38" s="562"/>
      <c r="G38" s="16"/>
      <c r="R38" s="24"/>
    </row>
    <row r="39" spans="1:18">
      <c r="A39" s="6" t="s">
        <v>370</v>
      </c>
      <c r="D39" s="562"/>
      <c r="E39" s="562"/>
      <c r="F39" s="562"/>
      <c r="G39" s="16"/>
      <c r="R39" s="24"/>
    </row>
    <row r="40" spans="1:18">
      <c r="A40" s="23" t="s">
        <v>364</v>
      </c>
      <c r="D40" s="562">
        <v>25000</v>
      </c>
      <c r="E40" s="562">
        <v>64000</v>
      </c>
      <c r="F40" s="562">
        <v>82000</v>
      </c>
      <c r="G40" s="747">
        <f>43000*2</f>
        <v>86000</v>
      </c>
      <c r="R40" s="24"/>
    </row>
    <row r="41" spans="1:18">
      <c r="A41" s="23" t="s">
        <v>365</v>
      </c>
      <c r="D41" s="562">
        <v>52000</v>
      </c>
      <c r="E41" s="562">
        <v>14000</v>
      </c>
      <c r="F41" s="562">
        <v>3000</v>
      </c>
      <c r="G41" s="747">
        <f>-1000*2</f>
        <v>-2000</v>
      </c>
      <c r="R41" s="24"/>
    </row>
    <row r="42" spans="1:18" hidden="1" outlineLevel="1">
      <c r="A42" s="23" t="s">
        <v>372</v>
      </c>
      <c r="D42" s="562">
        <v>0</v>
      </c>
      <c r="E42" s="562">
        <v>0</v>
      </c>
      <c r="F42" s="562">
        <v>0</v>
      </c>
      <c r="G42" s="747">
        <v>0</v>
      </c>
      <c r="R42" s="24"/>
    </row>
    <row r="43" spans="1:18" hidden="1" outlineLevel="1">
      <c r="A43" t="s">
        <v>373</v>
      </c>
      <c r="D43" s="562">
        <v>0</v>
      </c>
      <c r="E43" s="562">
        <v>0</v>
      </c>
      <c r="F43" s="562">
        <v>0</v>
      </c>
      <c r="G43" s="747">
        <v>0</v>
      </c>
      <c r="R43" s="24"/>
    </row>
    <row r="44" spans="1:18" collapsed="1">
      <c r="A44" s="6" t="s">
        <v>371</v>
      </c>
      <c r="D44" s="731">
        <f>SUM(D40:D43)</f>
        <v>77000</v>
      </c>
      <c r="E44" s="731">
        <f t="shared" ref="E44:Q44" si="15">SUM(E40:E43)</f>
        <v>78000</v>
      </c>
      <c r="F44" s="731">
        <f t="shared" si="15"/>
        <v>85000</v>
      </c>
      <c r="G44" s="731">
        <f t="shared" si="15"/>
        <v>84000</v>
      </c>
      <c r="H44" s="732">
        <f t="shared" si="15"/>
        <v>0</v>
      </c>
      <c r="I44" s="732">
        <f t="shared" si="15"/>
        <v>0</v>
      </c>
      <c r="J44" s="732">
        <f t="shared" si="15"/>
        <v>0</v>
      </c>
      <c r="K44" s="732">
        <f t="shared" si="15"/>
        <v>0</v>
      </c>
      <c r="L44" s="732">
        <f t="shared" si="15"/>
        <v>0</v>
      </c>
      <c r="M44" s="732">
        <f t="shared" si="15"/>
        <v>0</v>
      </c>
      <c r="N44" s="732">
        <f t="shared" si="15"/>
        <v>0</v>
      </c>
      <c r="O44" s="732">
        <f t="shared" si="15"/>
        <v>0</v>
      </c>
      <c r="P44" s="732">
        <f t="shared" si="15"/>
        <v>0</v>
      </c>
      <c r="Q44" s="732">
        <f t="shared" si="15"/>
        <v>0</v>
      </c>
      <c r="R44" s="24"/>
    </row>
    <row r="45" spans="1:18">
      <c r="D45" s="16"/>
      <c r="E45" s="16"/>
      <c r="F45" s="16"/>
      <c r="G45" s="16"/>
      <c r="R45" s="24"/>
    </row>
    <row r="46" spans="1:18" ht="13.5" thickBot="1">
      <c r="A46" s="6" t="s">
        <v>374</v>
      </c>
      <c r="D46" s="727">
        <f>D31+D37-D44</f>
        <v>174000</v>
      </c>
      <c r="E46" s="727">
        <f t="shared" ref="E46:Q46" si="16">E31+E37-E44</f>
        <v>150000</v>
      </c>
      <c r="F46" s="727">
        <f t="shared" si="16"/>
        <v>130000</v>
      </c>
      <c r="G46" s="727">
        <f t="shared" si="16"/>
        <v>188000</v>
      </c>
      <c r="H46" s="728">
        <f t="shared" si="16"/>
        <v>339570</v>
      </c>
      <c r="I46" s="728">
        <f t="shared" si="16"/>
        <v>341107.35</v>
      </c>
      <c r="J46" s="728">
        <f t="shared" si="16"/>
        <v>342610.47075000015</v>
      </c>
      <c r="K46" s="728">
        <f t="shared" si="16"/>
        <v>344077.73554875021</v>
      </c>
      <c r="L46" s="728">
        <f t="shared" si="16"/>
        <v>345507.4689871688</v>
      </c>
      <c r="M46" s="728">
        <f t="shared" si="16"/>
        <v>346897.94566031912</v>
      </c>
      <c r="N46" s="728">
        <f t="shared" si="16"/>
        <v>348247.38884718093</v>
      </c>
      <c r="O46" s="728">
        <f t="shared" si="16"/>
        <v>349553.96915744728</v>
      </c>
      <c r="P46" s="728">
        <f t="shared" si="16"/>
        <v>350815.80314454727</v>
      </c>
      <c r="Q46" s="728">
        <f t="shared" si="16"/>
        <v>352030.95188408584</v>
      </c>
      <c r="R46" s="24"/>
    </row>
    <row r="47" spans="1:18" ht="13.5" thickTop="1">
      <c r="D47" s="16"/>
      <c r="E47" s="16"/>
      <c r="F47" s="16"/>
      <c r="G47" s="16"/>
      <c r="R47" s="24"/>
    </row>
    <row r="48" spans="1:18">
      <c r="A48" s="6" t="s">
        <v>296</v>
      </c>
      <c r="D48" s="16"/>
      <c r="E48" s="16"/>
      <c r="F48" s="16"/>
      <c r="G48" s="16"/>
      <c r="R48" s="24"/>
    </row>
    <row r="49" spans="1:18">
      <c r="A49" s="23" t="s">
        <v>375</v>
      </c>
      <c r="D49" s="562">
        <v>57000</v>
      </c>
      <c r="E49" s="562">
        <v>47000</v>
      </c>
      <c r="F49" s="562">
        <v>43000</v>
      </c>
      <c r="G49" s="747">
        <f>32000*2</f>
        <v>64000</v>
      </c>
      <c r="R49" s="24"/>
    </row>
    <row r="50" spans="1:18">
      <c r="A50" s="23" t="s">
        <v>357</v>
      </c>
      <c r="D50" s="562">
        <v>26000</v>
      </c>
      <c r="E50" s="562">
        <v>29000</v>
      </c>
      <c r="F50" s="562">
        <v>23000</v>
      </c>
      <c r="G50" s="747">
        <f>14000*2</f>
        <v>28000</v>
      </c>
      <c r="R50" s="24"/>
    </row>
    <row r="51" spans="1:18" hidden="1" outlineLevel="1">
      <c r="A51" s="23" t="s">
        <v>376</v>
      </c>
      <c r="D51" s="562">
        <v>0</v>
      </c>
      <c r="E51" s="562">
        <v>0</v>
      </c>
      <c r="F51" s="562">
        <v>0</v>
      </c>
      <c r="G51" s="747">
        <v>0</v>
      </c>
      <c r="R51" s="24"/>
    </row>
    <row r="52" spans="1:18" hidden="1" outlineLevel="1">
      <c r="A52" s="23" t="s">
        <v>377</v>
      </c>
      <c r="D52" s="562">
        <v>0</v>
      </c>
      <c r="E52" s="562">
        <v>0</v>
      </c>
      <c r="F52" s="562">
        <v>0</v>
      </c>
      <c r="G52" s="747">
        <v>0</v>
      </c>
      <c r="R52" s="24"/>
    </row>
    <row r="53" spans="1:18" collapsed="1">
      <c r="A53" s="6" t="s">
        <v>297</v>
      </c>
      <c r="D53" s="682">
        <f>SUM(D49:D52)</f>
        <v>83000</v>
      </c>
      <c r="E53" s="682">
        <f t="shared" ref="E53:Q53" si="17">SUM(E49:E52)</f>
        <v>76000</v>
      </c>
      <c r="F53" s="682">
        <f t="shared" si="17"/>
        <v>66000</v>
      </c>
      <c r="G53" s="682">
        <f t="shared" si="17"/>
        <v>92000</v>
      </c>
      <c r="H53" s="683">
        <f t="shared" si="17"/>
        <v>0</v>
      </c>
      <c r="I53" s="683">
        <f t="shared" si="17"/>
        <v>0</v>
      </c>
      <c r="J53" s="683">
        <f t="shared" si="17"/>
        <v>0</v>
      </c>
      <c r="K53" s="683">
        <f t="shared" si="17"/>
        <v>0</v>
      </c>
      <c r="L53" s="683">
        <f t="shared" si="17"/>
        <v>0</v>
      </c>
      <c r="M53" s="683">
        <f t="shared" si="17"/>
        <v>0</v>
      </c>
      <c r="N53" s="683">
        <f t="shared" si="17"/>
        <v>0</v>
      </c>
      <c r="O53" s="683">
        <f t="shared" si="17"/>
        <v>0</v>
      </c>
      <c r="P53" s="683">
        <f t="shared" si="17"/>
        <v>0</v>
      </c>
      <c r="Q53" s="683">
        <f t="shared" si="17"/>
        <v>0</v>
      </c>
      <c r="R53" s="24"/>
    </row>
    <row r="54" spans="1:18">
      <c r="D54" s="16"/>
      <c r="E54" s="16"/>
      <c r="F54" s="16"/>
      <c r="G54" s="16"/>
      <c r="R54" s="24"/>
    </row>
    <row r="55" spans="1:18" ht="13.5" thickBot="1">
      <c r="A55" s="6" t="s">
        <v>13</v>
      </c>
      <c r="D55" s="727">
        <f>D46-D53</f>
        <v>91000</v>
      </c>
      <c r="E55" s="727">
        <f t="shared" ref="E55:Q55" si="18">E46-E53</f>
        <v>74000</v>
      </c>
      <c r="F55" s="727">
        <f t="shared" si="18"/>
        <v>64000</v>
      </c>
      <c r="G55" s="727">
        <f t="shared" si="18"/>
        <v>96000</v>
      </c>
      <c r="H55" s="728">
        <f t="shared" si="18"/>
        <v>339570</v>
      </c>
      <c r="I55" s="728">
        <f t="shared" si="18"/>
        <v>341107.35</v>
      </c>
      <c r="J55" s="728">
        <f t="shared" si="18"/>
        <v>342610.47075000015</v>
      </c>
      <c r="K55" s="728">
        <f t="shared" si="18"/>
        <v>344077.73554875021</v>
      </c>
      <c r="L55" s="728">
        <f t="shared" si="18"/>
        <v>345507.4689871688</v>
      </c>
      <c r="M55" s="728">
        <f t="shared" si="18"/>
        <v>346897.94566031912</v>
      </c>
      <c r="N55" s="728">
        <f t="shared" si="18"/>
        <v>348247.38884718093</v>
      </c>
      <c r="O55" s="728">
        <f t="shared" si="18"/>
        <v>349553.96915744728</v>
      </c>
      <c r="P55" s="728">
        <f t="shared" si="18"/>
        <v>350815.80314454727</v>
      </c>
      <c r="Q55" s="728">
        <f t="shared" si="18"/>
        <v>352030.95188408584</v>
      </c>
      <c r="R55" s="24"/>
    </row>
    <row r="56" spans="1:18" ht="13.5" thickTop="1">
      <c r="G56" s="24"/>
      <c r="R56" s="24"/>
    </row>
    <row r="57" spans="1:18">
      <c r="A57" s="641"/>
      <c r="B57" s="34"/>
      <c r="C57" s="34"/>
      <c r="D57" s="548"/>
      <c r="E57" s="548"/>
      <c r="F57" s="548"/>
      <c r="G57" s="548"/>
      <c r="H57" s="548"/>
      <c r="I57" s="548"/>
      <c r="J57" s="548"/>
      <c r="K57" s="548"/>
      <c r="L57" s="548"/>
      <c r="M57" s="548"/>
      <c r="N57" s="548"/>
      <c r="O57" s="548"/>
      <c r="P57" s="548"/>
      <c r="Q57" s="548"/>
      <c r="R57" s="12"/>
    </row>
    <row r="58" spans="1:18" ht="15.75">
      <c r="A58" s="483" t="s">
        <v>378</v>
      </c>
      <c r="B58" s="484"/>
      <c r="C58" s="412"/>
      <c r="D58" s="485"/>
      <c r="E58" s="485"/>
      <c r="F58" s="412"/>
      <c r="G58" s="486"/>
      <c r="H58" s="486"/>
      <c r="I58" s="486"/>
      <c r="J58" s="412"/>
      <c r="K58" s="412"/>
      <c r="L58" s="412"/>
      <c r="M58" s="412"/>
      <c r="N58" s="412"/>
      <c r="O58" s="412"/>
      <c r="P58" s="412"/>
      <c r="Q58" s="412"/>
      <c r="R58" s="12"/>
    </row>
    <row r="59" spans="1:18">
      <c r="A59" s="641"/>
      <c r="C59" s="34"/>
      <c r="D59" s="480"/>
      <c r="E59" s="480"/>
      <c r="F59" s="323"/>
      <c r="G59" s="309" t="s">
        <v>203</v>
      </c>
      <c r="H59" s="328"/>
      <c r="I59" s="323"/>
      <c r="J59" s="323"/>
      <c r="K59" s="246"/>
      <c r="L59" s="323"/>
      <c r="M59" s="246"/>
      <c r="N59" s="246"/>
      <c r="O59" s="246"/>
      <c r="P59" s="246"/>
      <c r="Q59" s="292"/>
      <c r="R59" s="12"/>
    </row>
    <row r="60" spans="1:18">
      <c r="A60" s="641"/>
      <c r="C60" s="34"/>
      <c r="D60" s="256">
        <v>1998</v>
      </c>
      <c r="E60" s="256">
        <v>1999</v>
      </c>
      <c r="F60" s="256">
        <v>2000</v>
      </c>
      <c r="G60" s="256">
        <v>2001</v>
      </c>
      <c r="H60" s="289">
        <v>2002</v>
      </c>
      <c r="I60" s="289">
        <v>2003</v>
      </c>
      <c r="J60" s="289">
        <v>2004</v>
      </c>
      <c r="K60" s="289">
        <v>2005</v>
      </c>
      <c r="L60" s="289">
        <v>2006</v>
      </c>
      <c r="M60" s="293">
        <v>2007</v>
      </c>
      <c r="N60" s="293">
        <v>2008</v>
      </c>
      <c r="O60" s="293">
        <v>2009</v>
      </c>
      <c r="P60" s="293">
        <v>2010</v>
      </c>
      <c r="Q60" s="465">
        <v>2011</v>
      </c>
      <c r="R60" s="12"/>
    </row>
    <row r="61" spans="1:18">
      <c r="A61" s="641"/>
      <c r="C61" s="34"/>
      <c r="F61" s="348" t="s">
        <v>213</v>
      </c>
      <c r="G61" s="256">
        <v>1</v>
      </c>
      <c r="H61" s="289">
        <v>2</v>
      </c>
      <c r="I61" s="289">
        <v>3</v>
      </c>
      <c r="J61" s="289">
        <v>4</v>
      </c>
      <c r="K61" s="289">
        <v>5</v>
      </c>
      <c r="L61" s="289">
        <v>6</v>
      </c>
      <c r="M61" s="289">
        <v>7</v>
      </c>
      <c r="N61" s="289">
        <v>8</v>
      </c>
      <c r="O61" s="289">
        <v>9</v>
      </c>
      <c r="P61" s="289">
        <v>10</v>
      </c>
      <c r="Q61" s="389">
        <v>11</v>
      </c>
      <c r="R61" s="12"/>
    </row>
    <row r="62" spans="1:18">
      <c r="A62" s="6" t="s">
        <v>384</v>
      </c>
      <c r="C62" s="34"/>
      <c r="F62" s="348"/>
      <c r="G62" s="395"/>
      <c r="H62" s="396"/>
      <c r="I62" s="396"/>
      <c r="J62" s="396"/>
      <c r="K62" s="396"/>
      <c r="L62" s="396"/>
      <c r="M62" s="396"/>
      <c r="N62" s="396"/>
      <c r="O62" s="396"/>
      <c r="P62" s="396"/>
      <c r="Q62" s="290"/>
      <c r="R62" s="12"/>
    </row>
    <row r="63" spans="1:18">
      <c r="A63" t="s">
        <v>379</v>
      </c>
      <c r="C63" s="34"/>
      <c r="D63" s="547"/>
      <c r="E63" s="739">
        <f>(E17/D17)-1</f>
        <v>-5.0403225806451624E-2</v>
      </c>
      <c r="F63" s="739">
        <f t="shared" ref="F63:Q63" si="19">(F17/E17)-1</f>
        <v>2.5477707006369421E-2</v>
      </c>
      <c r="G63" s="739">
        <f t="shared" si="19"/>
        <v>0.11801242236024834</v>
      </c>
      <c r="H63" s="635">
        <f t="shared" si="19"/>
        <v>1.2481481481481538E-2</v>
      </c>
      <c r="I63" s="635">
        <f t="shared" si="19"/>
        <v>1.2506493031422483E-2</v>
      </c>
      <c r="J63" s="635">
        <f t="shared" si="19"/>
        <v>1.2531741699179699E-2</v>
      </c>
      <c r="K63" s="635">
        <f t="shared" si="19"/>
        <v>1.255722919033464E-2</v>
      </c>
      <c r="L63" s="635">
        <f t="shared" si="19"/>
        <v>1.2582957206647594E-2</v>
      </c>
      <c r="M63" s="635">
        <f t="shared" si="19"/>
        <v>1.2608927445531659E-2</v>
      </c>
      <c r="N63" s="635">
        <f t="shared" si="19"/>
        <v>1.2635141599515842E-2</v>
      </c>
      <c r="O63" s="635">
        <f t="shared" si="19"/>
        <v>1.2661601355700824E-2</v>
      </c>
      <c r="P63" s="635">
        <f t="shared" si="19"/>
        <v>1.2688308395195191E-2</v>
      </c>
      <c r="Q63" s="635">
        <f t="shared" si="19"/>
        <v>1.2715264392545444E-2</v>
      </c>
      <c r="R63" s="12"/>
    </row>
    <row r="64" spans="1:18">
      <c r="A64" t="s">
        <v>380</v>
      </c>
      <c r="C64" s="34"/>
      <c r="D64" s="547"/>
      <c r="E64" s="739">
        <f>(E27/D27)-1</f>
        <v>-1.0600706713780883E-2</v>
      </c>
      <c r="F64" s="739">
        <f t="shared" ref="F64:Q64" si="20">(F27/E27)-1</f>
        <v>-2.8571428571428581E-2</v>
      </c>
      <c r="G64" s="739">
        <f t="shared" si="20"/>
        <v>0.21323529411764697</v>
      </c>
      <c r="H64" s="635">
        <f t="shared" si="20"/>
        <v>4.5151515151515831E-3</v>
      </c>
      <c r="I64" s="635">
        <f t="shared" si="20"/>
        <v>4.3939485354007601E-3</v>
      </c>
      <c r="J64" s="635">
        <f t="shared" si="20"/>
        <v>4.2694923554551512E-3</v>
      </c>
      <c r="K64" s="635">
        <f t="shared" si="20"/>
        <v>4.1416656464150492E-3</v>
      </c>
      <c r="L64" s="635">
        <f t="shared" si="20"/>
        <v>4.0103454168460839E-3</v>
      </c>
      <c r="M64" s="635">
        <f t="shared" si="20"/>
        <v>3.8754026657263907E-3</v>
      </c>
      <c r="N64" s="635">
        <f t="shared" si="20"/>
        <v>3.7367020095364634E-3</v>
      </c>
      <c r="O64" s="635">
        <f t="shared" si="20"/>
        <v>3.5941012812252815E-3</v>
      </c>
      <c r="P64" s="635">
        <f t="shared" si="20"/>
        <v>3.4474510985220697E-3</v>
      </c>
      <c r="Q64" s="635">
        <f t="shared" si="20"/>
        <v>3.2965943988552127E-3</v>
      </c>
      <c r="R64" s="12"/>
    </row>
    <row r="65" spans="1:18">
      <c r="A65" t="s">
        <v>381</v>
      </c>
      <c r="C65" s="7"/>
      <c r="D65" s="16"/>
      <c r="E65" s="741">
        <f>(E31/D31)-1</f>
        <v>-2.2026431718061623E-2</v>
      </c>
      <c r="F65" s="741">
        <f t="shared" ref="F65:Q65" si="21">(F31/E31)-1</f>
        <v>-6.7567567567567544E-2</v>
      </c>
      <c r="G65" s="741">
        <f t="shared" si="21"/>
        <v>0.2753623188405796</v>
      </c>
      <c r="H65" s="742">
        <f t="shared" si="21"/>
        <v>0.25564393939393937</v>
      </c>
      <c r="I65" s="742">
        <f t="shared" si="21"/>
        <v>4.3939485354007601E-3</v>
      </c>
      <c r="J65" s="742">
        <f t="shared" si="21"/>
        <v>4.2694923554551512E-3</v>
      </c>
      <c r="K65" s="742">
        <f t="shared" si="21"/>
        <v>4.1416656464150492E-3</v>
      </c>
      <c r="L65" s="742">
        <f t="shared" si="21"/>
        <v>4.0103454168460839E-3</v>
      </c>
      <c r="M65" s="742">
        <f t="shared" si="21"/>
        <v>3.8754026657263907E-3</v>
      </c>
      <c r="N65" s="742">
        <f t="shared" si="21"/>
        <v>3.7367020095364634E-3</v>
      </c>
      <c r="O65" s="742">
        <f t="shared" si="21"/>
        <v>3.5941012812252815E-3</v>
      </c>
      <c r="P65" s="742">
        <f t="shared" si="21"/>
        <v>3.4474510985220697E-3</v>
      </c>
      <c r="Q65" s="742">
        <f t="shared" si="21"/>
        <v>3.2965943988552127E-3</v>
      </c>
      <c r="R65" s="740"/>
    </row>
    <row r="66" spans="1:18">
      <c r="C66" s="7"/>
      <c r="D66" s="587"/>
      <c r="E66" s="587"/>
      <c r="F66" s="587"/>
      <c r="G66" s="587"/>
      <c r="H66" s="588"/>
      <c r="I66" s="588"/>
      <c r="J66" s="588"/>
      <c r="K66" s="588"/>
      <c r="L66" s="588"/>
      <c r="M66" s="588"/>
      <c r="N66" s="588"/>
      <c r="O66" s="588"/>
      <c r="P66" s="588"/>
      <c r="Q66" s="588"/>
      <c r="R66" s="740"/>
    </row>
    <row r="67" spans="1:18">
      <c r="A67" s="6" t="s">
        <v>385</v>
      </c>
      <c r="C67" s="7"/>
      <c r="D67" s="587"/>
      <c r="E67" s="587"/>
      <c r="F67" s="587"/>
      <c r="G67" s="587"/>
      <c r="H67" s="588"/>
      <c r="I67" s="588"/>
      <c r="J67" s="588"/>
      <c r="K67" s="588"/>
      <c r="L67" s="588"/>
      <c r="M67" s="588"/>
      <c r="N67" s="588"/>
      <c r="O67" s="588"/>
      <c r="P67" s="588"/>
      <c r="Q67" s="588"/>
      <c r="R67" s="740"/>
    </row>
    <row r="68" spans="1:18">
      <c r="A68" t="s">
        <v>382</v>
      </c>
      <c r="B68" s="7"/>
      <c r="C68" s="7"/>
      <c r="D68" s="743">
        <f t="shared" ref="D68:Q68" si="22">D27/D17</f>
        <v>0.57056451612903225</v>
      </c>
      <c r="E68" s="743">
        <f t="shared" si="22"/>
        <v>0.59447983014861994</v>
      </c>
      <c r="F68" s="743">
        <f t="shared" si="22"/>
        <v>0.56314699792960665</v>
      </c>
      <c r="G68" s="743">
        <f t="shared" si="22"/>
        <v>0.61111111111111116</v>
      </c>
      <c r="H68" s="744">
        <f t="shared" si="22"/>
        <v>0.60630281303727551</v>
      </c>
      <c r="I68" s="744">
        <f t="shared" si="22"/>
        <v>0.60144490982116705</v>
      </c>
      <c r="J68" s="744">
        <f t="shared" si="22"/>
        <v>0.59653712510014967</v>
      </c>
      <c r="K68" s="744">
        <f t="shared" si="22"/>
        <v>0.59157918698281309</v>
      </c>
      <c r="L68" s="744">
        <f t="shared" si="22"/>
        <v>0.58657082823369855</v>
      </c>
      <c r="M68" s="744">
        <f t="shared" si="22"/>
        <v>0.58151178646086621</v>
      </c>
      <c r="N68" s="744">
        <f t="shared" si="22"/>
        <v>0.57640180430627741</v>
      </c>
      <c r="O68" s="744">
        <f t="shared" si="22"/>
        <v>0.57124062963896716</v>
      </c>
      <c r="P68" s="744">
        <f t="shared" si="22"/>
        <v>0.56602801575096773</v>
      </c>
      <c r="Q68" s="744">
        <f t="shared" si="22"/>
        <v>0.56076372155595577</v>
      </c>
    </row>
    <row r="69" spans="1:18">
      <c r="A69" s="738" t="s">
        <v>383</v>
      </c>
      <c r="B69" s="7"/>
      <c r="C69" s="7"/>
      <c r="D69" s="743">
        <f>D31/D17</f>
        <v>0.45766129032258063</v>
      </c>
      <c r="E69" s="743">
        <f t="shared" ref="E69:Q69" si="23">E31/E17</f>
        <v>0.4713375796178344</v>
      </c>
      <c r="F69" s="743">
        <f t="shared" si="23"/>
        <v>0.42857142857142855</v>
      </c>
      <c r="G69" s="743">
        <f t="shared" si="23"/>
        <v>0.48888888888888887</v>
      </c>
      <c r="H69" s="744">
        <f t="shared" si="23"/>
        <v>0.60630281303727551</v>
      </c>
      <c r="I69" s="744">
        <f t="shared" si="23"/>
        <v>0.60144490982116705</v>
      </c>
      <c r="J69" s="744">
        <f t="shared" si="23"/>
        <v>0.59653712510014967</v>
      </c>
      <c r="K69" s="744">
        <f t="shared" si="23"/>
        <v>0.59157918698281309</v>
      </c>
      <c r="L69" s="744">
        <f t="shared" si="23"/>
        <v>0.58657082823369855</v>
      </c>
      <c r="M69" s="744">
        <f t="shared" si="23"/>
        <v>0.58151178646086621</v>
      </c>
      <c r="N69" s="744">
        <f t="shared" si="23"/>
        <v>0.57640180430627741</v>
      </c>
      <c r="O69" s="744">
        <f t="shared" si="23"/>
        <v>0.57124062963896716</v>
      </c>
      <c r="P69" s="744">
        <f t="shared" si="23"/>
        <v>0.56602801575096773</v>
      </c>
      <c r="Q69" s="744">
        <f t="shared" si="23"/>
        <v>0.56076372155595577</v>
      </c>
    </row>
    <row r="70" spans="1:18">
      <c r="A70" s="738" t="s">
        <v>386</v>
      </c>
      <c r="B70" s="7"/>
      <c r="C70" s="7"/>
      <c r="D70" s="745">
        <f>D17/D25</f>
        <v>2.328638497652582</v>
      </c>
      <c r="E70" s="745">
        <f t="shared" ref="E70:Q70" si="24">E17/E25</f>
        <v>2.4659685863874348</v>
      </c>
      <c r="F70" s="745">
        <f t="shared" si="24"/>
        <v>2.2890995260663507</v>
      </c>
      <c r="G70" s="745">
        <f t="shared" si="24"/>
        <v>2.5714285714285716</v>
      </c>
      <c r="H70" s="746">
        <f t="shared" si="24"/>
        <v>2.540023228803717</v>
      </c>
      <c r="I70" s="746">
        <f t="shared" si="24"/>
        <v>2.5090634259652704</v>
      </c>
      <c r="J70" s="746">
        <f t="shared" si="24"/>
        <v>2.4785427909525133</v>
      </c>
      <c r="K70" s="746">
        <f t="shared" si="24"/>
        <v>2.4484550447185915</v>
      </c>
      <c r="L70" s="746">
        <f t="shared" si="24"/>
        <v>2.4187939997743282</v>
      </c>
      <c r="M70" s="746">
        <f t="shared" si="24"/>
        <v>2.389553558851873</v>
      </c>
      <c r="N70" s="746">
        <f t="shared" si="24"/>
        <v>2.3607277135878966</v>
      </c>
      <c r="O70" s="746">
        <f t="shared" si="24"/>
        <v>2.3323105432260505</v>
      </c>
      <c r="P70" s="746">
        <f t="shared" si="24"/>
        <v>2.3042962133384073</v>
      </c>
      <c r="Q70" s="746">
        <f t="shared" si="24"/>
        <v>2.2766789745656069</v>
      </c>
    </row>
    <row r="71" spans="1:18">
      <c r="A71" s="586"/>
      <c r="B71" s="7"/>
      <c r="C71" s="7"/>
      <c r="D71" s="590"/>
      <c r="E71" s="590"/>
      <c r="F71" s="590"/>
      <c r="G71" s="590"/>
      <c r="H71" s="590"/>
      <c r="I71" s="590"/>
      <c r="J71" s="590"/>
      <c r="K71" s="590"/>
      <c r="L71" s="590"/>
      <c r="M71" s="590"/>
      <c r="N71" s="590"/>
      <c r="O71" s="590"/>
      <c r="P71" s="590"/>
      <c r="Q71" s="590"/>
    </row>
    <row r="72" spans="1:18">
      <c r="A72" s="586"/>
      <c r="B72" s="7"/>
      <c r="C72" s="7"/>
      <c r="D72" s="590"/>
      <c r="E72" s="590"/>
      <c r="F72" s="590"/>
      <c r="G72" s="590"/>
      <c r="H72" s="590"/>
      <c r="I72" s="590"/>
      <c r="J72" s="590"/>
      <c r="K72" s="590"/>
      <c r="L72" s="590"/>
      <c r="M72" s="590"/>
      <c r="N72" s="590"/>
      <c r="O72" s="590"/>
      <c r="P72" s="590"/>
      <c r="Q72" s="590"/>
    </row>
    <row r="73" spans="1:18" ht="15.75">
      <c r="A73" s="483" t="s">
        <v>47</v>
      </c>
      <c r="B73" s="379"/>
      <c r="C73" s="379"/>
      <c r="D73" s="379"/>
      <c r="E73" s="379"/>
      <c r="F73" s="379"/>
      <c r="G73" s="379"/>
      <c r="H73" s="379"/>
      <c r="I73" s="379"/>
      <c r="J73" s="379"/>
      <c r="K73" s="379"/>
      <c r="L73" s="379"/>
      <c r="M73" s="379"/>
      <c r="N73" s="379"/>
      <c r="O73" s="379"/>
      <c r="P73" s="379"/>
      <c r="Q73" s="379"/>
      <c r="R73" s="24"/>
    </row>
    <row r="74" spans="1:18">
      <c r="D74" s="480"/>
      <c r="E74" s="480"/>
      <c r="F74" s="323"/>
      <c r="G74" s="309" t="s">
        <v>203</v>
      </c>
      <c r="H74" s="328"/>
      <c r="I74" s="323"/>
      <c r="J74" s="323"/>
      <c r="K74" s="246"/>
      <c r="L74" s="323"/>
      <c r="M74" s="246"/>
      <c r="N74" s="246"/>
      <c r="O74" s="246"/>
      <c r="P74" s="246"/>
      <c r="Q74" s="292"/>
      <c r="R74" s="24"/>
    </row>
    <row r="75" spans="1:18">
      <c r="D75" s="256">
        <v>1998</v>
      </c>
      <c r="E75" s="256">
        <v>1999</v>
      </c>
      <c r="F75" s="256">
        <v>2000</v>
      </c>
      <c r="G75" s="256">
        <v>2001</v>
      </c>
      <c r="H75" s="289">
        <v>2002</v>
      </c>
      <c r="I75" s="289">
        <v>2003</v>
      </c>
      <c r="J75" s="289">
        <v>2004</v>
      </c>
      <c r="K75" s="289">
        <v>2005</v>
      </c>
      <c r="L75" s="289">
        <v>2006</v>
      </c>
      <c r="M75" s="293">
        <v>2007</v>
      </c>
      <c r="N75" s="293">
        <v>2008</v>
      </c>
      <c r="O75" s="293">
        <v>2009</v>
      </c>
      <c r="P75" s="293">
        <v>2010</v>
      </c>
      <c r="Q75" s="654">
        <v>2011</v>
      </c>
      <c r="R75" s="24"/>
    </row>
    <row r="76" spans="1:18">
      <c r="D76" s="395"/>
      <c r="E76" s="395"/>
      <c r="F76" s="348" t="s">
        <v>213</v>
      </c>
      <c r="G76" s="256">
        <v>1</v>
      </c>
      <c r="H76" s="289">
        <v>2</v>
      </c>
      <c r="I76" s="289">
        <v>3</v>
      </c>
      <c r="J76" s="289">
        <v>4</v>
      </c>
      <c r="K76" s="289">
        <v>5</v>
      </c>
      <c r="L76" s="289">
        <v>6</v>
      </c>
      <c r="M76" s="289">
        <v>7</v>
      </c>
      <c r="N76" s="289">
        <v>8</v>
      </c>
      <c r="O76" s="289">
        <v>9</v>
      </c>
      <c r="P76" s="289">
        <v>10</v>
      </c>
      <c r="Q76" s="389">
        <v>11</v>
      </c>
      <c r="R76" s="24"/>
    </row>
    <row r="77" spans="1:18">
      <c r="A77" s="6" t="s">
        <v>350</v>
      </c>
      <c r="B77" s="39" t="s">
        <v>57</v>
      </c>
      <c r="C77" s="310"/>
      <c r="F77" s="7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24"/>
    </row>
    <row r="78" spans="1:18">
      <c r="A78" s="716" t="s">
        <v>351</v>
      </c>
      <c r="B78" s="755">
        <v>1</v>
      </c>
      <c r="C78" s="310"/>
      <c r="D78" s="562">
        <v>468000</v>
      </c>
      <c r="E78" s="562">
        <v>441000</v>
      </c>
      <c r="F78" s="562">
        <v>425000</v>
      </c>
      <c r="G78" s="747">
        <f>212000*2</f>
        <v>424000</v>
      </c>
      <c r="H78" s="754">
        <f>G78*H87*$B$78</f>
        <v>428240</v>
      </c>
      <c r="I78" s="754">
        <f t="shared" ref="I78:Q78" si="25">H78*I87*$B$78</f>
        <v>432522.4</v>
      </c>
      <c r="J78" s="754">
        <f t="shared" si="25"/>
        <v>436847.62400000001</v>
      </c>
      <c r="K78" s="754">
        <f t="shared" si="25"/>
        <v>441216.10024</v>
      </c>
      <c r="L78" s="754">
        <f t="shared" si="25"/>
        <v>445628.26124239998</v>
      </c>
      <c r="M78" s="754">
        <f t="shared" si="25"/>
        <v>450084.54385482398</v>
      </c>
      <c r="N78" s="754">
        <f t="shared" si="25"/>
        <v>454585.38929337222</v>
      </c>
      <c r="O78" s="754">
        <f t="shared" si="25"/>
        <v>459131.24318630598</v>
      </c>
      <c r="P78" s="754">
        <f t="shared" si="25"/>
        <v>463722.55561816902</v>
      </c>
      <c r="Q78" s="754">
        <f t="shared" si="25"/>
        <v>468359.7811743507</v>
      </c>
      <c r="R78" s="24"/>
    </row>
    <row r="79" spans="1:18">
      <c r="A79" s="716" t="s">
        <v>388</v>
      </c>
      <c r="B79" s="755">
        <v>1</v>
      </c>
      <c r="C79" s="310"/>
      <c r="D79" s="562">
        <v>0</v>
      </c>
      <c r="E79" s="562">
        <v>0</v>
      </c>
      <c r="F79" s="562">
        <v>0</v>
      </c>
      <c r="G79" s="747">
        <f>49000*2</f>
        <v>98000</v>
      </c>
      <c r="H79" s="754">
        <f>G79*H88*$B$79</f>
        <v>99960</v>
      </c>
      <c r="I79" s="754">
        <f t="shared" ref="I79:Q79" si="26">H79*I88*$B$79</f>
        <v>101959.2</v>
      </c>
      <c r="J79" s="754">
        <f t="shared" si="26"/>
        <v>103998.38400000001</v>
      </c>
      <c r="K79" s="754">
        <f t="shared" si="26"/>
        <v>106078.35168000001</v>
      </c>
      <c r="L79" s="754">
        <f t="shared" si="26"/>
        <v>108199.91871360001</v>
      </c>
      <c r="M79" s="754">
        <f t="shared" si="26"/>
        <v>110363.91708787202</v>
      </c>
      <c r="N79" s="754">
        <f t="shared" si="26"/>
        <v>112571.19542962946</v>
      </c>
      <c r="O79" s="754">
        <f t="shared" si="26"/>
        <v>114822.61933822205</v>
      </c>
      <c r="P79" s="754">
        <f t="shared" si="26"/>
        <v>117119.0717249865</v>
      </c>
      <c r="Q79" s="754">
        <f t="shared" si="26"/>
        <v>119461.45315948623</v>
      </c>
      <c r="R79" s="24"/>
    </row>
    <row r="80" spans="1:18">
      <c r="A80" s="716" t="s">
        <v>58</v>
      </c>
      <c r="B80" s="755">
        <v>1</v>
      </c>
      <c r="C80" s="310"/>
      <c r="D80" s="562">
        <v>28000</v>
      </c>
      <c r="E80" s="562">
        <v>30000</v>
      </c>
      <c r="F80" s="562">
        <v>58000</v>
      </c>
      <c r="G80" s="747">
        <f>9000*2</f>
        <v>18000</v>
      </c>
      <c r="H80" s="754">
        <f>G80*H89*$B$80</f>
        <v>18540</v>
      </c>
      <c r="I80" s="754">
        <f t="shared" ref="I80:Q80" si="27">H80*I89*$B$80</f>
        <v>19096.2</v>
      </c>
      <c r="J80" s="754">
        <f t="shared" si="27"/>
        <v>19669.086000000003</v>
      </c>
      <c r="K80" s="754">
        <f t="shared" si="27"/>
        <v>20259.158580000003</v>
      </c>
      <c r="L80" s="754">
        <f t="shared" si="27"/>
        <v>20866.933337400005</v>
      </c>
      <c r="M80" s="754">
        <f t="shared" si="27"/>
        <v>21492.941337522007</v>
      </c>
      <c r="N80" s="754">
        <f t="shared" si="27"/>
        <v>22137.729577647668</v>
      </c>
      <c r="O80" s="754">
        <f t="shared" si="27"/>
        <v>22801.861464977097</v>
      </c>
      <c r="P80" s="754">
        <f t="shared" si="27"/>
        <v>23485.917308926411</v>
      </c>
      <c r="Q80" s="754">
        <f t="shared" si="27"/>
        <v>24190.494828194205</v>
      </c>
      <c r="R80" s="24"/>
    </row>
    <row r="81" spans="1:18">
      <c r="A81" s="716" t="s">
        <v>352</v>
      </c>
      <c r="B81" s="755">
        <v>0</v>
      </c>
      <c r="C81" s="310"/>
      <c r="D81" s="562">
        <v>0</v>
      </c>
      <c r="E81" s="562">
        <v>0</v>
      </c>
      <c r="F81" s="562">
        <v>0</v>
      </c>
      <c r="G81" s="747">
        <v>0</v>
      </c>
      <c r="H81" s="754">
        <f>G81*H90*$B$81</f>
        <v>0</v>
      </c>
      <c r="I81" s="754">
        <f t="shared" ref="I81:Q81" si="28">H81*I90*$B$81</f>
        <v>0</v>
      </c>
      <c r="J81" s="754">
        <f t="shared" si="28"/>
        <v>0</v>
      </c>
      <c r="K81" s="754">
        <f t="shared" si="28"/>
        <v>0</v>
      </c>
      <c r="L81" s="754">
        <f t="shared" si="28"/>
        <v>0</v>
      </c>
      <c r="M81" s="754">
        <f t="shared" si="28"/>
        <v>0</v>
      </c>
      <c r="N81" s="754">
        <f t="shared" si="28"/>
        <v>0</v>
      </c>
      <c r="O81" s="754">
        <f t="shared" si="28"/>
        <v>0</v>
      </c>
      <c r="P81" s="754">
        <f t="shared" si="28"/>
        <v>0</v>
      </c>
      <c r="Q81" s="754">
        <f t="shared" si="28"/>
        <v>0</v>
      </c>
      <c r="R81" s="24"/>
    </row>
    <row r="82" spans="1:18">
      <c r="A82" s="716" t="s">
        <v>353</v>
      </c>
      <c r="B82" s="755">
        <v>0</v>
      </c>
      <c r="C82" s="310"/>
      <c r="D82" s="562">
        <v>0</v>
      </c>
      <c r="E82" s="562">
        <v>0</v>
      </c>
      <c r="F82" s="562">
        <v>0</v>
      </c>
      <c r="G82" s="747">
        <v>0</v>
      </c>
      <c r="H82" s="754">
        <f>G82*H91*$B$82</f>
        <v>0</v>
      </c>
      <c r="I82" s="754">
        <f t="shared" ref="I82:Q82" si="29">H82*I91*$B$82</f>
        <v>0</v>
      </c>
      <c r="J82" s="754">
        <f t="shared" si="29"/>
        <v>0</v>
      </c>
      <c r="K82" s="754">
        <f t="shared" si="29"/>
        <v>0</v>
      </c>
      <c r="L82" s="754">
        <f t="shared" si="29"/>
        <v>0</v>
      </c>
      <c r="M82" s="754">
        <f t="shared" si="29"/>
        <v>0</v>
      </c>
      <c r="N82" s="754">
        <f t="shared" si="29"/>
        <v>0</v>
      </c>
      <c r="O82" s="754">
        <f t="shared" si="29"/>
        <v>0</v>
      </c>
      <c r="P82" s="754">
        <f t="shared" si="29"/>
        <v>0</v>
      </c>
      <c r="Q82" s="754">
        <f t="shared" si="29"/>
        <v>0</v>
      </c>
      <c r="R82" s="24"/>
    </row>
    <row r="83" spans="1:18">
      <c r="A83" s="716" t="s">
        <v>387</v>
      </c>
      <c r="B83" s="755">
        <v>0</v>
      </c>
      <c r="C83" s="310"/>
      <c r="D83" s="725">
        <v>0</v>
      </c>
      <c r="E83" s="725">
        <v>0</v>
      </c>
      <c r="F83" s="725">
        <v>0</v>
      </c>
      <c r="G83" s="752">
        <v>0</v>
      </c>
      <c r="H83" s="756">
        <f>G83*H92*$B$83</f>
        <v>0</v>
      </c>
      <c r="I83" s="756">
        <f t="shared" ref="I83:Q83" si="30">H83*I92*$B$83</f>
        <v>0</v>
      </c>
      <c r="J83" s="756">
        <f t="shared" si="30"/>
        <v>0</v>
      </c>
      <c r="K83" s="756">
        <f t="shared" si="30"/>
        <v>0</v>
      </c>
      <c r="L83" s="756">
        <f t="shared" si="30"/>
        <v>0</v>
      </c>
      <c r="M83" s="756">
        <f t="shared" si="30"/>
        <v>0</v>
      </c>
      <c r="N83" s="756">
        <f t="shared" si="30"/>
        <v>0</v>
      </c>
      <c r="O83" s="756">
        <f t="shared" si="30"/>
        <v>0</v>
      </c>
      <c r="P83" s="756">
        <f t="shared" si="30"/>
        <v>0</v>
      </c>
      <c r="Q83" s="756">
        <f t="shared" si="30"/>
        <v>0</v>
      </c>
      <c r="R83" s="24"/>
    </row>
    <row r="84" spans="1:18">
      <c r="A84" s="559" t="s">
        <v>354</v>
      </c>
      <c r="B84" s="550"/>
      <c r="C84" s="310"/>
      <c r="D84" s="547">
        <f t="shared" ref="D84:Q84" si="31">SUM(D78:D83)</f>
        <v>496000</v>
      </c>
      <c r="E84" s="547">
        <f t="shared" si="31"/>
        <v>471000</v>
      </c>
      <c r="F84" s="547">
        <f t="shared" si="31"/>
        <v>483000</v>
      </c>
      <c r="G84" s="547">
        <f t="shared" si="31"/>
        <v>540000</v>
      </c>
      <c r="H84" s="548">
        <f t="shared" si="31"/>
        <v>546740</v>
      </c>
      <c r="I84" s="548">
        <f t="shared" si="31"/>
        <v>553577.79999999993</v>
      </c>
      <c r="J84" s="548">
        <f t="shared" si="31"/>
        <v>560515.09400000004</v>
      </c>
      <c r="K84" s="548">
        <f t="shared" si="31"/>
        <v>567553.61050000007</v>
      </c>
      <c r="L84" s="548">
        <f t="shared" si="31"/>
        <v>574695.11329339992</v>
      </c>
      <c r="M84" s="548">
        <f t="shared" si="31"/>
        <v>581941.40228021797</v>
      </c>
      <c r="N84" s="548">
        <f t="shared" si="31"/>
        <v>589294.31430064933</v>
      </c>
      <c r="O84" s="548">
        <f t="shared" si="31"/>
        <v>596755.7239895052</v>
      </c>
      <c r="P84" s="548">
        <f t="shared" si="31"/>
        <v>604327.54465208203</v>
      </c>
      <c r="Q84" s="548">
        <f t="shared" si="31"/>
        <v>612011.72916203109</v>
      </c>
      <c r="R84" s="24"/>
    </row>
    <row r="85" spans="1:18">
      <c r="C85" s="310"/>
      <c r="D85" s="549"/>
      <c r="F85" s="77"/>
      <c r="G85" s="72"/>
      <c r="H85" s="72"/>
      <c r="I85" s="72"/>
      <c r="J85" s="78"/>
      <c r="K85" s="78"/>
      <c r="L85" s="72"/>
      <c r="M85" s="72"/>
      <c r="N85" s="72"/>
      <c r="O85" s="72"/>
      <c r="P85" s="72"/>
      <c r="Q85" s="72"/>
      <c r="R85" s="24"/>
    </row>
    <row r="86" spans="1:18" ht="15.75">
      <c r="A86" s="651" t="s">
        <v>327</v>
      </c>
      <c r="B86" s="412"/>
      <c r="C86" s="647"/>
      <c r="D86" s="648"/>
      <c r="E86" s="412"/>
      <c r="F86" s="649"/>
      <c r="G86" s="650"/>
      <c r="H86" s="650"/>
      <c r="I86" s="650"/>
      <c r="J86" s="650"/>
      <c r="K86" s="650"/>
      <c r="L86" s="650"/>
      <c r="M86" s="650"/>
      <c r="N86" s="650"/>
      <c r="O86" s="650"/>
      <c r="P86" s="650"/>
      <c r="Q86" s="650"/>
      <c r="R86" s="662"/>
    </row>
    <row r="87" spans="1:18">
      <c r="A87" t="s">
        <v>351</v>
      </c>
      <c r="C87" s="310"/>
      <c r="D87" s="549"/>
      <c r="F87" s="77"/>
      <c r="G87" s="643"/>
      <c r="H87" s="642">
        <v>1.01</v>
      </c>
      <c r="I87" s="642">
        <v>1.01</v>
      </c>
      <c r="J87" s="642">
        <v>1.01</v>
      </c>
      <c r="K87" s="642">
        <v>1.01</v>
      </c>
      <c r="L87" s="642">
        <v>1.01</v>
      </c>
      <c r="M87" s="642">
        <v>1.01</v>
      </c>
      <c r="N87" s="642">
        <v>1.01</v>
      </c>
      <c r="O87" s="642">
        <v>1.01</v>
      </c>
      <c r="P87" s="642">
        <v>1.01</v>
      </c>
      <c r="Q87" s="642">
        <v>1.01</v>
      </c>
      <c r="R87" s="24"/>
    </row>
    <row r="88" spans="1:18">
      <c r="A88" t="s">
        <v>388</v>
      </c>
      <c r="C88" s="310"/>
      <c r="D88" s="549"/>
      <c r="F88" s="77"/>
      <c r="G88" s="643"/>
      <c r="H88" s="642">
        <v>1.02</v>
      </c>
      <c r="I88" s="642">
        <v>1.02</v>
      </c>
      <c r="J88" s="642">
        <v>1.02</v>
      </c>
      <c r="K88" s="642">
        <v>1.02</v>
      </c>
      <c r="L88" s="642">
        <v>1.02</v>
      </c>
      <c r="M88" s="642">
        <v>1.02</v>
      </c>
      <c r="N88" s="642">
        <v>1.02</v>
      </c>
      <c r="O88" s="642">
        <v>1.02</v>
      </c>
      <c r="P88" s="642">
        <v>1.02</v>
      </c>
      <c r="Q88" s="642">
        <v>1.02</v>
      </c>
      <c r="R88" s="24"/>
    </row>
    <row r="89" spans="1:18">
      <c r="A89" t="s">
        <v>58</v>
      </c>
      <c r="C89" s="310"/>
      <c r="D89" s="549"/>
      <c r="F89" s="77"/>
      <c r="G89" s="643"/>
      <c r="H89" s="642">
        <v>1.03</v>
      </c>
      <c r="I89" s="642">
        <v>1.03</v>
      </c>
      <c r="J89" s="642">
        <v>1.03</v>
      </c>
      <c r="K89" s="642">
        <v>1.03</v>
      </c>
      <c r="L89" s="642">
        <v>1.03</v>
      </c>
      <c r="M89" s="642">
        <v>1.03</v>
      </c>
      <c r="N89" s="642">
        <v>1.03</v>
      </c>
      <c r="O89" s="642">
        <v>1.03</v>
      </c>
      <c r="P89" s="642">
        <v>1.03</v>
      </c>
      <c r="Q89" s="642">
        <v>1.03</v>
      </c>
      <c r="R89" s="24"/>
    </row>
    <row r="90" spans="1:18">
      <c r="A90" t="s">
        <v>352</v>
      </c>
      <c r="C90" s="310"/>
      <c r="D90" s="549"/>
      <c r="F90" s="77"/>
      <c r="G90" s="643"/>
      <c r="H90" s="642">
        <v>1</v>
      </c>
      <c r="I90" s="642">
        <v>1</v>
      </c>
      <c r="J90" s="642">
        <v>1</v>
      </c>
      <c r="K90" s="642">
        <v>1</v>
      </c>
      <c r="L90" s="642">
        <v>1</v>
      </c>
      <c r="M90" s="642">
        <v>1</v>
      </c>
      <c r="N90" s="642">
        <v>1</v>
      </c>
      <c r="O90" s="642">
        <v>1</v>
      </c>
      <c r="P90" s="642">
        <v>1</v>
      </c>
      <c r="Q90" s="642">
        <v>1</v>
      </c>
      <c r="R90" s="24"/>
    </row>
    <row r="91" spans="1:18">
      <c r="A91" t="s">
        <v>353</v>
      </c>
      <c r="C91" s="310"/>
      <c r="D91" s="549"/>
      <c r="F91" s="77"/>
      <c r="G91" s="643"/>
      <c r="H91" s="642">
        <v>1</v>
      </c>
      <c r="I91" s="642">
        <v>1</v>
      </c>
      <c r="J91" s="642">
        <v>1</v>
      </c>
      <c r="K91" s="642">
        <v>1</v>
      </c>
      <c r="L91" s="642">
        <v>1</v>
      </c>
      <c r="M91" s="642">
        <v>1</v>
      </c>
      <c r="N91" s="642">
        <v>1</v>
      </c>
      <c r="O91" s="642">
        <v>1</v>
      </c>
      <c r="P91" s="642">
        <v>1</v>
      </c>
      <c r="Q91" s="642">
        <v>1</v>
      </c>
      <c r="R91" s="24"/>
    </row>
    <row r="92" spans="1:18">
      <c r="A92" t="s">
        <v>387</v>
      </c>
      <c r="C92" s="310"/>
      <c r="D92" s="549"/>
      <c r="F92" s="77"/>
      <c r="G92" s="643"/>
      <c r="H92" s="642">
        <v>1</v>
      </c>
      <c r="I92" s="642">
        <v>1</v>
      </c>
      <c r="J92" s="642">
        <v>1</v>
      </c>
      <c r="K92" s="642">
        <v>1</v>
      </c>
      <c r="L92" s="642">
        <v>1</v>
      </c>
      <c r="M92" s="642">
        <v>1</v>
      </c>
      <c r="N92" s="642">
        <v>1</v>
      </c>
      <c r="O92" s="642">
        <v>1</v>
      </c>
      <c r="P92" s="642">
        <v>1</v>
      </c>
      <c r="Q92" s="642">
        <v>1</v>
      </c>
      <c r="R92" s="24"/>
    </row>
    <row r="93" spans="1:18">
      <c r="R93" s="24"/>
    </row>
    <row r="94" spans="1:18">
      <c r="R94" s="24"/>
    </row>
    <row r="95" spans="1:18" ht="15.75">
      <c r="A95" s="483" t="s">
        <v>241</v>
      </c>
      <c r="B95" s="379"/>
      <c r="C95" s="379"/>
      <c r="D95" s="379"/>
      <c r="E95" s="379"/>
      <c r="F95" s="379"/>
      <c r="G95" s="379"/>
      <c r="H95" s="379"/>
      <c r="I95" s="379"/>
      <c r="J95" s="379"/>
      <c r="K95" s="379"/>
      <c r="L95" s="379"/>
      <c r="M95" s="379"/>
      <c r="N95" s="379"/>
      <c r="O95" s="379"/>
      <c r="P95" s="379"/>
      <c r="Q95" s="379"/>
      <c r="R95" s="24"/>
    </row>
    <row r="96" spans="1:18" s="24" customFormat="1" ht="14.25" customHeight="1">
      <c r="A96" s="488"/>
      <c r="D96" s="480"/>
      <c r="E96" s="480"/>
      <c r="F96" s="323"/>
      <c r="G96" s="309" t="s">
        <v>203</v>
      </c>
      <c r="H96" s="328"/>
      <c r="I96" s="323"/>
      <c r="J96" s="323"/>
      <c r="K96" s="246"/>
      <c r="L96" s="323"/>
      <c r="M96" s="246"/>
      <c r="N96" s="246"/>
      <c r="O96" s="246"/>
      <c r="P96" s="246"/>
      <c r="Q96" s="292"/>
    </row>
    <row r="97" spans="1:18" s="24" customFormat="1">
      <c r="D97" s="256">
        <v>1998</v>
      </c>
      <c r="E97" s="256">
        <v>1999</v>
      </c>
      <c r="F97" s="256">
        <v>2000</v>
      </c>
      <c r="G97" s="256">
        <v>2001</v>
      </c>
      <c r="H97" s="289">
        <v>2002</v>
      </c>
      <c r="I97" s="289">
        <v>2003</v>
      </c>
      <c r="J97" s="289">
        <v>2004</v>
      </c>
      <c r="K97" s="289">
        <v>2005</v>
      </c>
      <c r="L97" s="289">
        <v>2006</v>
      </c>
      <c r="M97" s="293">
        <v>2007</v>
      </c>
      <c r="N97" s="293">
        <v>2008</v>
      </c>
      <c r="O97" s="293">
        <v>2009</v>
      </c>
      <c r="P97" s="293">
        <v>2010</v>
      </c>
      <c r="Q97" s="654">
        <v>2011</v>
      </c>
    </row>
    <row r="98" spans="1:18">
      <c r="F98" s="348" t="s">
        <v>213</v>
      </c>
      <c r="G98" s="256">
        <v>1</v>
      </c>
      <c r="H98" s="289">
        <v>2</v>
      </c>
      <c r="I98" s="289">
        <v>3</v>
      </c>
      <c r="J98" s="289">
        <v>4</v>
      </c>
      <c r="K98" s="289">
        <v>5</v>
      </c>
      <c r="L98" s="289">
        <v>6</v>
      </c>
      <c r="M98" s="289">
        <v>7</v>
      </c>
      <c r="N98" s="289">
        <v>8</v>
      </c>
      <c r="O98" s="289">
        <v>9</v>
      </c>
      <c r="P98" s="289">
        <v>10</v>
      </c>
      <c r="Q98" s="389">
        <v>11</v>
      </c>
      <c r="R98" s="24"/>
    </row>
    <row r="99" spans="1:18">
      <c r="A99" s="6" t="s">
        <v>295</v>
      </c>
      <c r="B99" s="39" t="s">
        <v>57</v>
      </c>
      <c r="C99" s="34"/>
      <c r="R99" s="24"/>
    </row>
    <row r="100" spans="1:18">
      <c r="A100" s="716" t="s">
        <v>356</v>
      </c>
      <c r="B100" s="755">
        <v>1</v>
      </c>
      <c r="C100" s="34"/>
      <c r="D100" s="562">
        <v>213000</v>
      </c>
      <c r="E100" s="562">
        <v>191000</v>
      </c>
      <c r="F100" s="562">
        <v>211000</v>
      </c>
      <c r="G100" s="749">
        <f>105000*2</f>
        <v>210000</v>
      </c>
      <c r="H100" s="754">
        <f t="shared" ref="H100:Q100" si="32">G100*H108*$B$100</f>
        <v>215249.99999999997</v>
      </c>
      <c r="I100" s="754">
        <f t="shared" si="32"/>
        <v>220631.24999999994</v>
      </c>
      <c r="J100" s="754">
        <f t="shared" si="32"/>
        <v>226147.03124999991</v>
      </c>
      <c r="K100" s="754">
        <f t="shared" si="32"/>
        <v>231800.70703124988</v>
      </c>
      <c r="L100" s="754">
        <f t="shared" si="32"/>
        <v>237595.7247070311</v>
      </c>
      <c r="M100" s="754">
        <f t="shared" si="32"/>
        <v>243535.61782470686</v>
      </c>
      <c r="N100" s="754">
        <f t="shared" si="32"/>
        <v>249624.0082703245</v>
      </c>
      <c r="O100" s="754">
        <f t="shared" si="32"/>
        <v>255864.6084770826</v>
      </c>
      <c r="P100" s="754">
        <f t="shared" si="32"/>
        <v>262261.22368900967</v>
      </c>
      <c r="Q100" s="754">
        <f t="shared" si="32"/>
        <v>268817.75428123487</v>
      </c>
      <c r="R100" s="24"/>
    </row>
    <row r="101" spans="1:18">
      <c r="A101" s="716" t="s">
        <v>360</v>
      </c>
      <c r="B101" s="755">
        <v>0</v>
      </c>
      <c r="C101" s="34"/>
      <c r="D101" s="562">
        <v>0</v>
      </c>
      <c r="E101" s="562">
        <v>0</v>
      </c>
      <c r="F101" s="562">
        <v>0</v>
      </c>
      <c r="G101" s="749">
        <v>0</v>
      </c>
      <c r="H101" s="754">
        <f t="shared" ref="H101:Q101" si="33">G101*H109*$B$101</f>
        <v>0</v>
      </c>
      <c r="I101" s="754">
        <f t="shared" si="33"/>
        <v>0</v>
      </c>
      <c r="J101" s="754">
        <f t="shared" si="33"/>
        <v>0</v>
      </c>
      <c r="K101" s="754">
        <f t="shared" si="33"/>
        <v>0</v>
      </c>
      <c r="L101" s="754">
        <f t="shared" si="33"/>
        <v>0</v>
      </c>
      <c r="M101" s="754">
        <f t="shared" si="33"/>
        <v>0</v>
      </c>
      <c r="N101" s="754">
        <f t="shared" si="33"/>
        <v>0</v>
      </c>
      <c r="O101" s="754">
        <f t="shared" si="33"/>
        <v>0</v>
      </c>
      <c r="P101" s="754">
        <f t="shared" si="33"/>
        <v>0</v>
      </c>
      <c r="Q101" s="754">
        <f t="shared" si="33"/>
        <v>0</v>
      </c>
      <c r="R101" s="24"/>
    </row>
    <row r="102" spans="1:18">
      <c r="A102" s="716" t="s">
        <v>361</v>
      </c>
      <c r="B102" s="755">
        <v>0</v>
      </c>
      <c r="C102" s="34"/>
      <c r="D102" s="562">
        <v>0</v>
      </c>
      <c r="E102" s="562">
        <v>0</v>
      </c>
      <c r="F102" s="562">
        <v>0</v>
      </c>
      <c r="G102" s="749">
        <v>0</v>
      </c>
      <c r="H102" s="754">
        <f t="shared" ref="H102:Q102" si="34">G102*H110*$B$102</f>
        <v>0</v>
      </c>
      <c r="I102" s="754">
        <f t="shared" si="34"/>
        <v>0</v>
      </c>
      <c r="J102" s="754">
        <f t="shared" si="34"/>
        <v>0</v>
      </c>
      <c r="K102" s="754">
        <f t="shared" si="34"/>
        <v>0</v>
      </c>
      <c r="L102" s="754">
        <f t="shared" si="34"/>
        <v>0</v>
      </c>
      <c r="M102" s="754">
        <f t="shared" si="34"/>
        <v>0</v>
      </c>
      <c r="N102" s="754">
        <f t="shared" si="34"/>
        <v>0</v>
      </c>
      <c r="O102" s="754">
        <f t="shared" si="34"/>
        <v>0</v>
      </c>
      <c r="P102" s="754">
        <f t="shared" si="34"/>
        <v>0</v>
      </c>
      <c r="Q102" s="754">
        <f t="shared" si="34"/>
        <v>0</v>
      </c>
      <c r="R102" s="24"/>
    </row>
    <row r="103" spans="1:18">
      <c r="A103" s="716" t="s">
        <v>358</v>
      </c>
      <c r="B103" s="755">
        <v>0</v>
      </c>
      <c r="C103" s="34"/>
      <c r="D103" s="562">
        <v>0</v>
      </c>
      <c r="E103" s="562">
        <v>0</v>
      </c>
      <c r="F103" s="562">
        <v>0</v>
      </c>
      <c r="G103" s="749">
        <v>0</v>
      </c>
      <c r="H103" s="754">
        <f t="shared" ref="H103:Q103" si="35">G103*H111*$B$103</f>
        <v>0</v>
      </c>
      <c r="I103" s="754">
        <f t="shared" si="35"/>
        <v>0</v>
      </c>
      <c r="J103" s="754">
        <f t="shared" si="35"/>
        <v>0</v>
      </c>
      <c r="K103" s="754">
        <f t="shared" si="35"/>
        <v>0</v>
      </c>
      <c r="L103" s="754">
        <f t="shared" si="35"/>
        <v>0</v>
      </c>
      <c r="M103" s="754">
        <f t="shared" si="35"/>
        <v>0</v>
      </c>
      <c r="N103" s="754">
        <f t="shared" si="35"/>
        <v>0</v>
      </c>
      <c r="O103" s="754">
        <f t="shared" si="35"/>
        <v>0</v>
      </c>
      <c r="P103" s="754">
        <f t="shared" si="35"/>
        <v>0</v>
      </c>
      <c r="Q103" s="754">
        <f t="shared" si="35"/>
        <v>0</v>
      </c>
      <c r="R103" s="24"/>
    </row>
    <row r="104" spans="1:18">
      <c r="A104" s="716" t="s">
        <v>359</v>
      </c>
      <c r="B104" s="755">
        <v>0</v>
      </c>
      <c r="C104" s="310"/>
      <c r="D104" s="725">
        <v>0</v>
      </c>
      <c r="E104" s="725">
        <v>0</v>
      </c>
      <c r="F104" s="725">
        <v>0</v>
      </c>
      <c r="G104" s="750">
        <v>0</v>
      </c>
      <c r="H104" s="756">
        <f t="shared" ref="H104:Q104" si="36">G104*H112*$B$104</f>
        <v>0</v>
      </c>
      <c r="I104" s="756">
        <f t="shared" si="36"/>
        <v>0</v>
      </c>
      <c r="J104" s="756">
        <f t="shared" si="36"/>
        <v>0</v>
      </c>
      <c r="K104" s="756">
        <f t="shared" si="36"/>
        <v>0</v>
      </c>
      <c r="L104" s="756">
        <f t="shared" si="36"/>
        <v>0</v>
      </c>
      <c r="M104" s="756">
        <f t="shared" si="36"/>
        <v>0</v>
      </c>
      <c r="N104" s="756">
        <f t="shared" si="36"/>
        <v>0</v>
      </c>
      <c r="O104" s="756">
        <f t="shared" si="36"/>
        <v>0</v>
      </c>
      <c r="P104" s="756">
        <f t="shared" si="36"/>
        <v>0</v>
      </c>
      <c r="Q104" s="756">
        <f t="shared" si="36"/>
        <v>0</v>
      </c>
      <c r="R104" s="24"/>
    </row>
    <row r="105" spans="1:18">
      <c r="A105" s="106" t="s">
        <v>355</v>
      </c>
      <c r="B105" s="656"/>
      <c r="C105" s="310"/>
      <c r="D105" s="565">
        <f t="shared" ref="D105:Q105" si="37">SUM(D100:D104)</f>
        <v>213000</v>
      </c>
      <c r="E105" s="565">
        <f t="shared" si="37"/>
        <v>191000</v>
      </c>
      <c r="F105" s="565">
        <f t="shared" si="37"/>
        <v>211000</v>
      </c>
      <c r="G105" s="565">
        <f t="shared" si="37"/>
        <v>210000</v>
      </c>
      <c r="H105" s="566">
        <f t="shared" si="37"/>
        <v>215249.99999999997</v>
      </c>
      <c r="I105" s="566">
        <f t="shared" si="37"/>
        <v>220631.24999999994</v>
      </c>
      <c r="J105" s="566">
        <f t="shared" si="37"/>
        <v>226147.03124999991</v>
      </c>
      <c r="K105" s="566">
        <f t="shared" si="37"/>
        <v>231800.70703124988</v>
      </c>
      <c r="L105" s="566">
        <f t="shared" si="37"/>
        <v>237595.7247070311</v>
      </c>
      <c r="M105" s="566">
        <f t="shared" si="37"/>
        <v>243535.61782470686</v>
      </c>
      <c r="N105" s="566">
        <f t="shared" si="37"/>
        <v>249624.0082703245</v>
      </c>
      <c r="O105" s="566">
        <f t="shared" si="37"/>
        <v>255864.6084770826</v>
      </c>
      <c r="P105" s="566">
        <f t="shared" si="37"/>
        <v>262261.22368900967</v>
      </c>
      <c r="Q105" s="566">
        <f t="shared" si="37"/>
        <v>268817.75428123487</v>
      </c>
      <c r="R105" s="24"/>
    </row>
    <row r="106" spans="1:18">
      <c r="C106" s="34"/>
      <c r="F106" s="77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24"/>
    </row>
    <row r="107" spans="1:18" ht="15.75">
      <c r="A107" s="651" t="s">
        <v>327</v>
      </c>
      <c r="B107" s="412"/>
      <c r="C107" s="647"/>
      <c r="D107" s="648"/>
      <c r="E107" s="412"/>
      <c r="F107" s="649"/>
      <c r="G107" s="650"/>
      <c r="H107" s="650"/>
      <c r="I107" s="650"/>
      <c r="J107" s="650"/>
      <c r="K107" s="650"/>
      <c r="L107" s="650"/>
      <c r="M107" s="650"/>
      <c r="N107" s="650"/>
      <c r="O107" s="650"/>
      <c r="P107" s="650"/>
      <c r="Q107" s="650"/>
      <c r="R107" s="662"/>
    </row>
    <row r="108" spans="1:18">
      <c r="A108" t="s">
        <v>356</v>
      </c>
      <c r="C108" s="310"/>
      <c r="D108" s="549"/>
      <c r="F108" s="77"/>
      <c r="G108" s="643"/>
      <c r="H108" s="642">
        <v>1.0249999999999999</v>
      </c>
      <c r="I108" s="642">
        <v>1.0249999999999999</v>
      </c>
      <c r="J108" s="642">
        <v>1.0249999999999999</v>
      </c>
      <c r="K108" s="642">
        <v>1.0249999999999999</v>
      </c>
      <c r="L108" s="642">
        <v>1.0249999999999999</v>
      </c>
      <c r="M108" s="642">
        <v>1.0249999999999999</v>
      </c>
      <c r="N108" s="642">
        <v>1.0249999999999999</v>
      </c>
      <c r="O108" s="642">
        <v>1.0249999999999999</v>
      </c>
      <c r="P108" s="642">
        <v>1.0249999999999999</v>
      </c>
      <c r="Q108" s="642">
        <v>1.0249999999999999</v>
      </c>
      <c r="R108" s="24"/>
    </row>
    <row r="109" spans="1:18">
      <c r="A109" t="s">
        <v>360</v>
      </c>
      <c r="C109" s="310"/>
      <c r="D109" s="549"/>
      <c r="F109" s="77"/>
      <c r="G109" s="643"/>
      <c r="H109" s="642">
        <v>1</v>
      </c>
      <c r="I109" s="642">
        <v>1</v>
      </c>
      <c r="J109" s="642">
        <v>1</v>
      </c>
      <c r="K109" s="642">
        <v>1</v>
      </c>
      <c r="L109" s="642">
        <v>1</v>
      </c>
      <c r="M109" s="642">
        <v>1</v>
      </c>
      <c r="N109" s="642">
        <v>1</v>
      </c>
      <c r="O109" s="642">
        <v>1</v>
      </c>
      <c r="P109" s="642">
        <v>1</v>
      </c>
      <c r="Q109" s="642">
        <v>1</v>
      </c>
      <c r="R109" s="24"/>
    </row>
    <row r="110" spans="1:18">
      <c r="A110" t="s">
        <v>361</v>
      </c>
      <c r="C110" s="310"/>
      <c r="D110" s="549"/>
      <c r="F110" s="77"/>
      <c r="G110" s="643"/>
      <c r="H110" s="642">
        <v>1</v>
      </c>
      <c r="I110" s="642">
        <v>1</v>
      </c>
      <c r="J110" s="642">
        <v>1</v>
      </c>
      <c r="K110" s="642">
        <v>1</v>
      </c>
      <c r="L110" s="642">
        <v>1</v>
      </c>
      <c r="M110" s="642">
        <v>1</v>
      </c>
      <c r="N110" s="642">
        <v>1</v>
      </c>
      <c r="O110" s="642">
        <v>1</v>
      </c>
      <c r="P110" s="642">
        <v>1</v>
      </c>
      <c r="Q110" s="642">
        <v>1</v>
      </c>
      <c r="R110" s="24"/>
    </row>
    <row r="111" spans="1:18">
      <c r="A111" t="s">
        <v>358</v>
      </c>
      <c r="C111" s="310"/>
      <c r="D111" s="549"/>
      <c r="F111" s="77"/>
      <c r="G111" s="643"/>
      <c r="H111" s="642">
        <v>1</v>
      </c>
      <c r="I111" s="642">
        <v>1</v>
      </c>
      <c r="J111" s="642">
        <v>1</v>
      </c>
      <c r="K111" s="642">
        <v>1</v>
      </c>
      <c r="L111" s="642">
        <v>1</v>
      </c>
      <c r="M111" s="642">
        <v>1</v>
      </c>
      <c r="N111" s="642">
        <v>1</v>
      </c>
      <c r="O111" s="642">
        <v>1</v>
      </c>
      <c r="P111" s="642">
        <v>1</v>
      </c>
      <c r="Q111" s="642">
        <v>1</v>
      </c>
      <c r="R111" s="24"/>
    </row>
    <row r="112" spans="1:18">
      <c r="A112" t="s">
        <v>359</v>
      </c>
      <c r="C112" s="310"/>
      <c r="D112" s="549"/>
      <c r="F112" s="77"/>
      <c r="G112" s="643"/>
      <c r="H112" s="642">
        <v>1</v>
      </c>
      <c r="I112" s="642">
        <v>1</v>
      </c>
      <c r="J112" s="642">
        <v>1</v>
      </c>
      <c r="K112" s="642">
        <v>1</v>
      </c>
      <c r="L112" s="642">
        <v>1</v>
      </c>
      <c r="M112" s="642">
        <v>1</v>
      </c>
      <c r="N112" s="642">
        <v>1</v>
      </c>
      <c r="O112" s="642">
        <v>1</v>
      </c>
      <c r="P112" s="642">
        <v>1</v>
      </c>
      <c r="Q112" s="642">
        <v>1</v>
      </c>
      <c r="R112" s="24"/>
    </row>
    <row r="113" spans="1:18">
      <c r="C113" s="310"/>
      <c r="D113" s="549"/>
      <c r="F113" s="77"/>
      <c r="G113" s="643"/>
      <c r="H113" s="643"/>
      <c r="I113" s="643"/>
      <c r="J113" s="643"/>
      <c r="K113" s="643"/>
      <c r="L113" s="643"/>
      <c r="M113" s="643"/>
      <c r="N113" s="643"/>
      <c r="O113" s="643"/>
      <c r="P113" s="643"/>
      <c r="Q113" s="643"/>
      <c r="R113" s="24"/>
    </row>
    <row r="114" spans="1:18">
      <c r="R114" s="24"/>
    </row>
    <row r="115" spans="1:18" ht="15.75">
      <c r="A115" s="483" t="s">
        <v>389</v>
      </c>
      <c r="B115" s="379"/>
      <c r="C115" s="379"/>
      <c r="D115" s="379"/>
      <c r="E115" s="379"/>
      <c r="F115" s="379"/>
      <c r="G115" s="379"/>
      <c r="H115" s="379"/>
      <c r="I115" s="379"/>
      <c r="J115" s="379"/>
      <c r="K115" s="379"/>
      <c r="L115" s="379"/>
      <c r="M115" s="379"/>
      <c r="N115" s="379"/>
      <c r="O115" s="379"/>
      <c r="P115" s="379"/>
      <c r="Q115" s="379"/>
      <c r="R115" s="24"/>
    </row>
    <row r="116" spans="1:18" s="24" customFormat="1" ht="12.75" customHeight="1">
      <c r="A116" s="488"/>
      <c r="D116" s="480"/>
      <c r="E116" s="480"/>
      <c r="F116" s="323"/>
      <c r="G116" s="309" t="s">
        <v>203</v>
      </c>
      <c r="H116" s="328"/>
      <c r="I116" s="323"/>
      <c r="J116" s="323"/>
      <c r="K116" s="246"/>
      <c r="L116" s="323"/>
      <c r="M116" s="246"/>
      <c r="N116" s="246"/>
      <c r="O116" s="246"/>
      <c r="P116" s="246"/>
      <c r="Q116" s="292"/>
    </row>
    <row r="117" spans="1:18" s="24" customFormat="1" ht="12.75" customHeight="1">
      <c r="A117" s="488"/>
      <c r="D117" s="256">
        <v>1998</v>
      </c>
      <c r="E117" s="256">
        <v>1999</v>
      </c>
      <c r="F117" s="256">
        <v>2000</v>
      </c>
      <c r="G117" s="256">
        <v>2001</v>
      </c>
      <c r="H117" s="289">
        <v>2002</v>
      </c>
      <c r="I117" s="289">
        <v>2003</v>
      </c>
      <c r="J117" s="289">
        <v>2004</v>
      </c>
      <c r="K117" s="289">
        <v>2005</v>
      </c>
      <c r="L117" s="289">
        <v>2006</v>
      </c>
      <c r="M117" s="293">
        <v>2007</v>
      </c>
      <c r="N117" s="293">
        <v>2008</v>
      </c>
      <c r="O117" s="293">
        <v>2009</v>
      </c>
      <c r="P117" s="293">
        <v>2010</v>
      </c>
      <c r="Q117" s="465">
        <v>2011</v>
      </c>
    </row>
    <row r="118" spans="1:18" s="24" customFormat="1" ht="12.75" customHeight="1">
      <c r="F118" s="487" t="s">
        <v>213</v>
      </c>
      <c r="G118" s="256">
        <v>1</v>
      </c>
      <c r="H118" s="289">
        <v>2</v>
      </c>
      <c r="I118" s="289">
        <v>3</v>
      </c>
      <c r="J118" s="289">
        <v>4</v>
      </c>
      <c r="K118" s="289">
        <v>5</v>
      </c>
      <c r="L118" s="289">
        <v>6</v>
      </c>
      <c r="M118" s="289">
        <v>7</v>
      </c>
      <c r="N118" s="289">
        <v>8</v>
      </c>
      <c r="O118" s="289">
        <v>9</v>
      </c>
      <c r="P118" s="289">
        <v>10</v>
      </c>
      <c r="Q118" s="389">
        <v>11</v>
      </c>
    </row>
    <row r="119" spans="1:18">
      <c r="A119" s="6" t="s">
        <v>366</v>
      </c>
      <c r="B119" s="39" t="s">
        <v>57</v>
      </c>
      <c r="R119" s="24"/>
    </row>
    <row r="120" spans="1:18">
      <c r="A120" s="716" t="s">
        <v>363</v>
      </c>
      <c r="B120" s="755">
        <v>1</v>
      </c>
      <c r="D120" s="562">
        <v>24000</v>
      </c>
      <c r="E120" s="562">
        <v>6000</v>
      </c>
      <c r="F120" s="562">
        <v>8000</v>
      </c>
      <c r="G120" s="747">
        <f>4000*2</f>
        <v>8000</v>
      </c>
      <c r="H120" s="754">
        <f>$B$120*G120*H126</f>
        <v>8080</v>
      </c>
      <c r="I120" s="754">
        <f t="shared" ref="I120:Q120" si="38">$B$120*H120*I126</f>
        <v>8160.8</v>
      </c>
      <c r="J120" s="754">
        <f t="shared" si="38"/>
        <v>8242.4079999999994</v>
      </c>
      <c r="K120" s="754">
        <f t="shared" si="38"/>
        <v>8324.8320800000001</v>
      </c>
      <c r="L120" s="754">
        <f t="shared" si="38"/>
        <v>8408.0804007999996</v>
      </c>
      <c r="M120" s="754">
        <f t="shared" si="38"/>
        <v>8492.1612048079987</v>
      </c>
      <c r="N120" s="754">
        <f t="shared" si="38"/>
        <v>8577.0828168560784</v>
      </c>
      <c r="O120" s="754">
        <f t="shared" si="38"/>
        <v>8662.8536450246393</v>
      </c>
      <c r="P120" s="754">
        <f t="shared" si="38"/>
        <v>8749.4821814748866</v>
      </c>
      <c r="Q120" s="754">
        <f t="shared" si="38"/>
        <v>8836.9770032896358</v>
      </c>
      <c r="R120" s="24"/>
    </row>
    <row r="121" spans="1:18">
      <c r="A121" s="716" t="s">
        <v>367</v>
      </c>
      <c r="B121" s="755">
        <v>0</v>
      </c>
      <c r="D121" s="562">
        <v>0</v>
      </c>
      <c r="E121" s="562">
        <v>0</v>
      </c>
      <c r="F121" s="562">
        <v>0</v>
      </c>
      <c r="G121" s="747">
        <v>0</v>
      </c>
      <c r="H121" s="754">
        <f>$B$121*G121*H127</f>
        <v>0</v>
      </c>
      <c r="I121" s="754">
        <f t="shared" ref="I121:Q121" si="39">$B$121*H121*I127</f>
        <v>0</v>
      </c>
      <c r="J121" s="754">
        <f t="shared" si="39"/>
        <v>0</v>
      </c>
      <c r="K121" s="754">
        <f t="shared" si="39"/>
        <v>0</v>
      </c>
      <c r="L121" s="754">
        <f t="shared" si="39"/>
        <v>0</v>
      </c>
      <c r="M121" s="754">
        <f t="shared" si="39"/>
        <v>0</v>
      </c>
      <c r="N121" s="754">
        <f t="shared" si="39"/>
        <v>0</v>
      </c>
      <c r="O121" s="754">
        <f t="shared" si="39"/>
        <v>0</v>
      </c>
      <c r="P121" s="754">
        <f t="shared" si="39"/>
        <v>0</v>
      </c>
      <c r="Q121" s="754">
        <f t="shared" si="39"/>
        <v>0</v>
      </c>
      <c r="R121" s="24"/>
    </row>
    <row r="122" spans="1:18">
      <c r="A122" s="716" t="s">
        <v>368</v>
      </c>
      <c r="B122" s="755">
        <v>0</v>
      </c>
      <c r="D122" s="725">
        <v>0</v>
      </c>
      <c r="E122" s="725">
        <v>0</v>
      </c>
      <c r="F122" s="725">
        <v>0</v>
      </c>
      <c r="G122" s="752">
        <v>0</v>
      </c>
      <c r="H122" s="756">
        <f>$B$122*G122*H128</f>
        <v>0</v>
      </c>
      <c r="I122" s="756">
        <f t="shared" ref="I122:Q122" si="40">$B$122*H122*I128</f>
        <v>0</v>
      </c>
      <c r="J122" s="756">
        <f t="shared" si="40"/>
        <v>0</v>
      </c>
      <c r="K122" s="756">
        <f t="shared" si="40"/>
        <v>0</v>
      </c>
      <c r="L122" s="756">
        <f t="shared" si="40"/>
        <v>0</v>
      </c>
      <c r="M122" s="756">
        <f t="shared" si="40"/>
        <v>0</v>
      </c>
      <c r="N122" s="756">
        <f t="shared" si="40"/>
        <v>0</v>
      </c>
      <c r="O122" s="756">
        <f t="shared" si="40"/>
        <v>0</v>
      </c>
      <c r="P122" s="756">
        <f t="shared" si="40"/>
        <v>0</v>
      </c>
      <c r="Q122" s="756">
        <f t="shared" si="40"/>
        <v>0</v>
      </c>
      <c r="R122" s="24"/>
    </row>
    <row r="123" spans="1:18">
      <c r="A123" s="636" t="s">
        <v>369</v>
      </c>
      <c r="D123" s="565">
        <f t="shared" ref="D123:Q123" si="41">SUM(D120:D122)</f>
        <v>24000</v>
      </c>
      <c r="E123" s="565">
        <f t="shared" si="41"/>
        <v>6000</v>
      </c>
      <c r="F123" s="565">
        <f t="shared" si="41"/>
        <v>8000</v>
      </c>
      <c r="G123" s="565">
        <f t="shared" si="41"/>
        <v>8000</v>
      </c>
      <c r="H123" s="566">
        <f t="shared" si="41"/>
        <v>8080</v>
      </c>
      <c r="I123" s="566">
        <f t="shared" si="41"/>
        <v>8160.8</v>
      </c>
      <c r="J123" s="566">
        <f t="shared" si="41"/>
        <v>8242.4079999999994</v>
      </c>
      <c r="K123" s="566">
        <f t="shared" si="41"/>
        <v>8324.8320800000001</v>
      </c>
      <c r="L123" s="566">
        <f t="shared" si="41"/>
        <v>8408.0804007999996</v>
      </c>
      <c r="M123" s="566">
        <f t="shared" si="41"/>
        <v>8492.1612048079987</v>
      </c>
      <c r="N123" s="566">
        <f t="shared" si="41"/>
        <v>8577.0828168560784</v>
      </c>
      <c r="O123" s="566">
        <f t="shared" si="41"/>
        <v>8662.8536450246393</v>
      </c>
      <c r="P123" s="566">
        <f t="shared" si="41"/>
        <v>8749.4821814748866</v>
      </c>
      <c r="Q123" s="566">
        <f t="shared" si="41"/>
        <v>8836.9770032896358</v>
      </c>
      <c r="R123" s="24"/>
    </row>
    <row r="124" spans="1:18">
      <c r="A124" s="38"/>
      <c r="D124" s="658"/>
      <c r="E124" s="658"/>
      <c r="F124" s="658"/>
      <c r="G124" s="566"/>
      <c r="H124" s="566"/>
      <c r="I124" s="566"/>
      <c r="J124" s="566"/>
      <c r="K124" s="566"/>
      <c r="L124" s="566"/>
      <c r="M124" s="566"/>
      <c r="N124" s="566"/>
      <c r="O124" s="566"/>
      <c r="P124" s="566"/>
      <c r="Q124" s="566"/>
      <c r="R124" s="24"/>
    </row>
    <row r="125" spans="1:18" ht="15.75">
      <c r="A125" s="651" t="s">
        <v>327</v>
      </c>
      <c r="B125" s="412"/>
      <c r="C125" s="647"/>
      <c r="D125" s="648"/>
      <c r="E125" s="412"/>
      <c r="F125" s="649"/>
      <c r="G125" s="650"/>
      <c r="H125" s="650"/>
      <c r="I125" s="650"/>
      <c r="J125" s="650"/>
      <c r="K125" s="650"/>
      <c r="L125" s="650"/>
      <c r="M125" s="650"/>
      <c r="N125" s="650"/>
      <c r="O125" s="650"/>
      <c r="P125" s="650"/>
      <c r="Q125" s="650"/>
      <c r="R125" s="662"/>
    </row>
    <row r="126" spans="1:18">
      <c r="A126" s="759" t="s">
        <v>363</v>
      </c>
      <c r="C126" s="310"/>
      <c r="D126" s="549"/>
      <c r="F126" s="77"/>
      <c r="G126" s="643"/>
      <c r="H126" s="642">
        <v>1.01</v>
      </c>
      <c r="I126" s="642">
        <v>1.01</v>
      </c>
      <c r="J126" s="642">
        <v>1.01</v>
      </c>
      <c r="K126" s="642">
        <v>1.01</v>
      </c>
      <c r="L126" s="642">
        <v>1.01</v>
      </c>
      <c r="M126" s="642">
        <v>1.01</v>
      </c>
      <c r="N126" s="642">
        <v>1.01</v>
      </c>
      <c r="O126" s="642">
        <v>1.01</v>
      </c>
      <c r="P126" s="642">
        <v>1.01</v>
      </c>
      <c r="Q126" s="642">
        <v>1.01</v>
      </c>
      <c r="R126" s="24"/>
    </row>
    <row r="127" spans="1:18">
      <c r="A127" s="759" t="s">
        <v>367</v>
      </c>
      <c r="C127" s="310"/>
      <c r="D127" s="549"/>
      <c r="F127" s="77"/>
      <c r="G127" s="643"/>
      <c r="H127" s="642">
        <v>1</v>
      </c>
      <c r="I127" s="642">
        <v>1</v>
      </c>
      <c r="J127" s="642">
        <v>1</v>
      </c>
      <c r="K127" s="642">
        <v>1</v>
      </c>
      <c r="L127" s="642">
        <v>1</v>
      </c>
      <c r="M127" s="642">
        <v>1</v>
      </c>
      <c r="N127" s="642">
        <v>1</v>
      </c>
      <c r="O127" s="642">
        <v>1</v>
      </c>
      <c r="P127" s="642">
        <v>1</v>
      </c>
      <c r="Q127" s="642">
        <v>1</v>
      </c>
      <c r="R127" s="24"/>
    </row>
    <row r="128" spans="1:18">
      <c r="A128" s="759" t="s">
        <v>368</v>
      </c>
      <c r="C128" s="310"/>
      <c r="D128" s="549"/>
      <c r="F128" s="77"/>
      <c r="G128" s="643"/>
      <c r="H128" s="642">
        <v>1</v>
      </c>
      <c r="I128" s="642">
        <v>1</v>
      </c>
      <c r="J128" s="642">
        <v>1</v>
      </c>
      <c r="K128" s="642">
        <v>1</v>
      </c>
      <c r="L128" s="642">
        <v>1</v>
      </c>
      <c r="M128" s="642">
        <v>1</v>
      </c>
      <c r="N128" s="642">
        <v>1</v>
      </c>
      <c r="O128" s="642">
        <v>1</v>
      </c>
      <c r="P128" s="642">
        <v>1</v>
      </c>
      <c r="Q128" s="642">
        <v>1</v>
      </c>
      <c r="R128" s="24"/>
    </row>
    <row r="129" spans="1:18">
      <c r="A129" s="759"/>
      <c r="C129" s="310"/>
      <c r="D129" s="549"/>
      <c r="F129" s="77"/>
      <c r="G129" s="643"/>
      <c r="H129" s="643"/>
      <c r="I129" s="643"/>
      <c r="J129" s="643"/>
      <c r="K129" s="643"/>
      <c r="L129" s="643"/>
      <c r="M129" s="643"/>
      <c r="N129" s="643"/>
      <c r="O129" s="643"/>
      <c r="P129" s="643"/>
      <c r="Q129" s="643"/>
      <c r="R129" s="24"/>
    </row>
    <row r="130" spans="1:18">
      <c r="A130" s="6"/>
      <c r="C130" s="310"/>
      <c r="D130" s="549"/>
      <c r="F130" s="77"/>
      <c r="G130" s="643"/>
      <c r="H130" s="643"/>
      <c r="I130" s="643"/>
      <c r="J130" s="643"/>
      <c r="K130" s="643"/>
      <c r="L130" s="643"/>
      <c r="M130" s="643"/>
      <c r="N130" s="643"/>
      <c r="O130" s="643"/>
      <c r="P130" s="643"/>
      <c r="Q130" s="643"/>
      <c r="R130" s="24"/>
    </row>
    <row r="131" spans="1:18" ht="15.75">
      <c r="A131" s="483" t="s">
        <v>314</v>
      </c>
      <c r="B131" s="412"/>
      <c r="C131" s="412"/>
      <c r="D131" s="412"/>
      <c r="E131" s="412"/>
      <c r="F131" s="412"/>
      <c r="G131" s="412"/>
      <c r="H131" s="412"/>
      <c r="I131" s="412"/>
      <c r="J131" s="412"/>
      <c r="K131" s="412"/>
      <c r="L131" s="412"/>
      <c r="M131" s="412"/>
      <c r="N131" s="412"/>
      <c r="O131" s="412"/>
      <c r="P131" s="412"/>
      <c r="Q131" s="412"/>
      <c r="R131" s="24"/>
    </row>
    <row r="132" spans="1:18">
      <c r="D132" s="480"/>
      <c r="E132" s="480"/>
      <c r="F132" s="323"/>
      <c r="G132" s="309" t="s">
        <v>203</v>
      </c>
      <c r="H132" s="328"/>
      <c r="I132" s="323"/>
      <c r="J132" s="323"/>
      <c r="K132" s="246"/>
      <c r="L132" s="323"/>
      <c r="M132" s="246"/>
      <c r="N132" s="246"/>
      <c r="O132" s="246"/>
      <c r="P132" s="246"/>
      <c r="Q132" s="292"/>
    </row>
    <row r="133" spans="1:18">
      <c r="D133" s="256">
        <v>1998</v>
      </c>
      <c r="E133" s="256">
        <v>1999</v>
      </c>
      <c r="F133" s="256">
        <v>2000</v>
      </c>
      <c r="G133" s="256">
        <v>2001</v>
      </c>
      <c r="H133" s="289">
        <v>2002</v>
      </c>
      <c r="I133" s="289">
        <v>2003</v>
      </c>
      <c r="J133" s="289">
        <v>2004</v>
      </c>
      <c r="K133" s="289">
        <v>2005</v>
      </c>
      <c r="L133" s="289">
        <v>2006</v>
      </c>
      <c r="M133" s="293">
        <v>2007</v>
      </c>
      <c r="N133" s="293">
        <v>2008</v>
      </c>
      <c r="O133" s="293">
        <v>2009</v>
      </c>
      <c r="P133" s="293">
        <v>2010</v>
      </c>
      <c r="Q133" s="465">
        <v>2011</v>
      </c>
    </row>
    <row r="134" spans="1:18">
      <c r="F134" s="487" t="s">
        <v>213</v>
      </c>
      <c r="G134" s="256">
        <v>1</v>
      </c>
      <c r="H134" s="289">
        <v>2</v>
      </c>
      <c r="I134" s="289">
        <v>3</v>
      </c>
      <c r="J134" s="289">
        <v>4</v>
      </c>
      <c r="K134" s="289">
        <v>5</v>
      </c>
      <c r="L134" s="289">
        <v>6</v>
      </c>
      <c r="M134" s="289">
        <v>7</v>
      </c>
      <c r="N134" s="289">
        <v>8</v>
      </c>
      <c r="O134" s="289">
        <v>9</v>
      </c>
      <c r="P134" s="289">
        <v>10</v>
      </c>
      <c r="Q134" s="389">
        <v>11</v>
      </c>
    </row>
    <row r="135" spans="1:18">
      <c r="A135" s="67" t="s">
        <v>33</v>
      </c>
      <c r="B135" s="23" t="e">
        <f>Assumptions!#REF!</f>
        <v>#REF!</v>
      </c>
      <c r="D135" s="206"/>
      <c r="E135" s="206"/>
      <c r="F135" s="18"/>
      <c r="G135" s="16"/>
      <c r="H135" s="665" t="e">
        <f>1/B135</f>
        <v>#REF!</v>
      </c>
      <c r="I135" s="666" t="e">
        <f t="shared" ref="I135:R135" si="42">H135</f>
        <v>#REF!</v>
      </c>
      <c r="J135" s="666" t="e">
        <f t="shared" si="42"/>
        <v>#REF!</v>
      </c>
      <c r="K135" s="666" t="e">
        <f t="shared" si="42"/>
        <v>#REF!</v>
      </c>
      <c r="L135" s="666" t="e">
        <f t="shared" si="42"/>
        <v>#REF!</v>
      </c>
      <c r="M135" s="666" t="e">
        <f t="shared" si="42"/>
        <v>#REF!</v>
      </c>
      <c r="N135" s="666" t="e">
        <f t="shared" si="42"/>
        <v>#REF!</v>
      </c>
      <c r="O135" s="666" t="e">
        <f t="shared" si="42"/>
        <v>#REF!</v>
      </c>
      <c r="P135" s="666" t="e">
        <f t="shared" si="42"/>
        <v>#REF!</v>
      </c>
      <c r="Q135" s="666" t="e">
        <f t="shared" si="42"/>
        <v>#REF!</v>
      </c>
      <c r="R135" s="667" t="e">
        <f t="shared" si="42"/>
        <v>#REF!</v>
      </c>
    </row>
    <row r="136" spans="1:18">
      <c r="A136" s="2" t="s">
        <v>8</v>
      </c>
      <c r="B136" s="195" t="e">
        <f>Asset3PurPrice</f>
        <v>#REF!</v>
      </c>
      <c r="C136" s="659"/>
      <c r="D136" s="206"/>
      <c r="E136" s="206"/>
      <c r="F136" s="18"/>
      <c r="G136" s="16"/>
      <c r="H136" s="29" t="e">
        <f>B136/B135</f>
        <v>#REF!</v>
      </c>
      <c r="I136" s="29" t="e">
        <f t="shared" ref="I136:R136" si="43">+H136</f>
        <v>#REF!</v>
      </c>
      <c r="J136" s="29" t="e">
        <f t="shared" si="43"/>
        <v>#REF!</v>
      </c>
      <c r="K136" s="29" t="e">
        <f t="shared" si="43"/>
        <v>#REF!</v>
      </c>
      <c r="L136" s="29" t="e">
        <f t="shared" si="43"/>
        <v>#REF!</v>
      </c>
      <c r="M136" s="29" t="e">
        <f t="shared" si="43"/>
        <v>#REF!</v>
      </c>
      <c r="N136" s="29" t="e">
        <f t="shared" si="43"/>
        <v>#REF!</v>
      </c>
      <c r="O136" s="29" t="e">
        <f t="shared" si="43"/>
        <v>#REF!</v>
      </c>
      <c r="P136" s="29" t="e">
        <f t="shared" si="43"/>
        <v>#REF!</v>
      </c>
      <c r="Q136" s="29" t="e">
        <f t="shared" si="43"/>
        <v>#REF!</v>
      </c>
      <c r="R136" s="29" t="e">
        <f t="shared" si="43"/>
        <v>#REF!</v>
      </c>
    </row>
    <row r="137" spans="1:18">
      <c r="A137" s="2" t="s">
        <v>9</v>
      </c>
      <c r="D137" s="660"/>
      <c r="E137" s="660"/>
      <c r="F137" s="213"/>
      <c r="G137" s="16"/>
      <c r="H137" s="614" t="e">
        <f>(#REF!*H135)</f>
        <v>#REF!</v>
      </c>
      <c r="I137" s="614" t="e">
        <f>(#REF!*I135)+(#REF!*H135)</f>
        <v>#REF!</v>
      </c>
      <c r="J137" s="614" t="e">
        <f>(#REF!*J135)+(#REF!*I135)+(#REF!*H135)</f>
        <v>#REF!</v>
      </c>
      <c r="K137" s="614" t="e">
        <f>(#REF!*K135)+(#REF!*J135)+(#REF!*I135)+(#REF!*H135)</f>
        <v>#REF!</v>
      </c>
      <c r="L137" s="614" t="e">
        <f>(#REF!*L135)+(#REF!*K135)+(#REF!*J135)+(#REF!*I135)+(#REF!*H135)</f>
        <v>#REF!</v>
      </c>
      <c r="M137" s="614" t="e">
        <f>(#REF!*M135)+(#REF!*L135)+(#REF!*K135)+(#REF!*J135)+(#REF!*I135)+(#REF!*H135)</f>
        <v>#REF!</v>
      </c>
      <c r="N137" s="614" t="e">
        <f>(#REF!*N135)+(#REF!*M135)+(#REF!*L135)+(#REF!*K135)+(#REF!*J135)+(#REF!*I135)+(#REF!*H135)</f>
        <v>#REF!</v>
      </c>
      <c r="O137" s="614" t="e">
        <f>(#REF!*O135)+(#REF!*N135)+(#REF!*M135)+(#REF!*L135)+(#REF!*K135)+(#REF!*J135)+(#REF!*I135)+(#REF!*H135)</f>
        <v>#REF!</v>
      </c>
      <c r="P137" s="614" t="e">
        <f>(#REF!*P135)+(#REF!*O135)+(#REF!*N135)+(#REF!*M135)+(#REF!*L135)+(#REF!*K135)+(#REF!*J135)+(#REF!*I135)+(#REF!*H135)</f>
        <v>#REF!</v>
      </c>
      <c r="Q137" s="614" t="e">
        <f>(#REF!*Q135)+(#REF!*P135)+(#REF!*O135)+(#REF!*N135)+(#REF!*M135)+(#REF!*L135)+(#REF!*K135)+(#REF!*J135)+(#REF!*I135)+(#REF!*H135)</f>
        <v>#REF!</v>
      </c>
      <c r="R137" s="614" t="e">
        <f>(#REF!*R135)+(#REF!*Q135)+(#REF!*P135)+(#REF!*O135)+(#REF!*N135)+(#REF!*M135)+(#REF!*L135)+(#REF!*K135)+(#REF!*J135)+(#REF!*I135)+(#REF!*H135)</f>
        <v>#REF!</v>
      </c>
    </row>
    <row r="138" spans="1:18">
      <c r="A138" s="38" t="s">
        <v>221</v>
      </c>
      <c r="D138" s="206"/>
      <c r="E138" s="206"/>
      <c r="F138" s="18"/>
      <c r="G138" s="16"/>
      <c r="H138" s="615" t="e">
        <f t="shared" ref="H138:R138" si="44">SUM(H136:H137)</f>
        <v>#REF!</v>
      </c>
      <c r="I138" s="615" t="e">
        <f t="shared" si="44"/>
        <v>#REF!</v>
      </c>
      <c r="J138" s="615" t="e">
        <f t="shared" si="44"/>
        <v>#REF!</v>
      </c>
      <c r="K138" s="566" t="e">
        <f t="shared" si="44"/>
        <v>#REF!</v>
      </c>
      <c r="L138" s="566" t="e">
        <f t="shared" si="44"/>
        <v>#REF!</v>
      </c>
      <c r="M138" s="615" t="e">
        <f t="shared" si="44"/>
        <v>#REF!</v>
      </c>
      <c r="N138" s="615" t="e">
        <f t="shared" si="44"/>
        <v>#REF!</v>
      </c>
      <c r="O138" s="615" t="e">
        <f t="shared" si="44"/>
        <v>#REF!</v>
      </c>
      <c r="P138" s="615" t="e">
        <f t="shared" si="44"/>
        <v>#REF!</v>
      </c>
      <c r="Q138" s="615" t="e">
        <f t="shared" si="44"/>
        <v>#REF!</v>
      </c>
      <c r="R138" s="615" t="e">
        <f t="shared" si="44"/>
        <v>#REF!</v>
      </c>
    </row>
    <row r="139" spans="1:18">
      <c r="A139" s="1"/>
      <c r="D139" s="206"/>
      <c r="E139" s="206"/>
      <c r="F139" s="18"/>
      <c r="G139" s="18"/>
      <c r="H139" s="1"/>
      <c r="I139" s="1"/>
      <c r="J139" s="12"/>
      <c r="K139" s="12"/>
      <c r="L139" s="1"/>
      <c r="M139" s="1"/>
      <c r="N139" s="1"/>
      <c r="O139" s="1"/>
      <c r="P139" s="1"/>
      <c r="Q139" s="1"/>
    </row>
    <row r="140" spans="1:18">
      <c r="A140" s="69" t="s">
        <v>7</v>
      </c>
      <c r="D140" s="206"/>
      <c r="E140" s="206"/>
      <c r="F140" s="18"/>
      <c r="G140" s="16"/>
      <c r="H140" s="50">
        <v>0.05</v>
      </c>
      <c r="I140" s="51">
        <v>9.5000000000000001E-2</v>
      </c>
      <c r="J140" s="51">
        <v>8.5500000000000007E-2</v>
      </c>
      <c r="K140" s="51">
        <v>7.6999999999999999E-2</v>
      </c>
      <c r="L140" s="51">
        <v>6.93E-2</v>
      </c>
      <c r="M140" s="51">
        <v>6.2300000000000001E-2</v>
      </c>
      <c r="N140" s="51">
        <v>5.8999999999999997E-2</v>
      </c>
      <c r="O140" s="51">
        <v>5.8999999999999997E-2</v>
      </c>
      <c r="P140" s="51">
        <v>5.91E-2</v>
      </c>
      <c r="Q140" s="51">
        <v>5.8999999999999997E-2</v>
      </c>
      <c r="R140" s="52">
        <v>5.91E-2</v>
      </c>
    </row>
    <row r="141" spans="1:18">
      <c r="A141" s="2" t="s">
        <v>8</v>
      </c>
      <c r="B141" s="14"/>
      <c r="D141" s="206"/>
      <c r="E141" s="206"/>
      <c r="F141" s="18"/>
      <c r="G141" s="16"/>
      <c r="H141" s="1" t="e">
        <f t="shared" ref="H141:R141" si="45">H140*$B$136</f>
        <v>#REF!</v>
      </c>
      <c r="I141" s="1" t="e">
        <f t="shared" si="45"/>
        <v>#REF!</v>
      </c>
      <c r="J141" s="1" t="e">
        <f t="shared" si="45"/>
        <v>#REF!</v>
      </c>
      <c r="K141" s="1" t="e">
        <f t="shared" si="45"/>
        <v>#REF!</v>
      </c>
      <c r="L141" s="1" t="e">
        <f t="shared" si="45"/>
        <v>#REF!</v>
      </c>
      <c r="M141" s="1" t="e">
        <f t="shared" si="45"/>
        <v>#REF!</v>
      </c>
      <c r="N141" s="1" t="e">
        <f t="shared" si="45"/>
        <v>#REF!</v>
      </c>
      <c r="O141" s="1" t="e">
        <f t="shared" si="45"/>
        <v>#REF!</v>
      </c>
      <c r="P141" s="1" t="e">
        <f t="shared" si="45"/>
        <v>#REF!</v>
      </c>
      <c r="Q141" s="1" t="e">
        <f t="shared" si="45"/>
        <v>#REF!</v>
      </c>
      <c r="R141" s="1" t="e">
        <f t="shared" si="45"/>
        <v>#REF!</v>
      </c>
    </row>
    <row r="142" spans="1:18" ht="15">
      <c r="A142" s="2" t="s">
        <v>9</v>
      </c>
      <c r="B142" s="15"/>
      <c r="D142" s="208"/>
      <c r="E142" s="208"/>
      <c r="F142" s="18"/>
      <c r="G142" s="16"/>
      <c r="H142" s="5" t="e">
        <f>(#REF!*H$140)</f>
        <v>#REF!</v>
      </c>
      <c r="I142" s="5" t="e">
        <f>(#REF!*I140)+(#REF!*H140)</f>
        <v>#REF!</v>
      </c>
      <c r="J142" s="5" t="e">
        <f>(#REF!*J140)+(#REF!*I140)+(#REF!*H140)</f>
        <v>#REF!</v>
      </c>
      <c r="K142" s="5" t="e">
        <f>(#REF!*K140)+(#REF!*J140)+(#REF!*I140)+(#REF!*H140)</f>
        <v>#REF!</v>
      </c>
      <c r="L142" s="5" t="e">
        <f>(#REF!*L140)+(#REF!*K140)+(#REF!*J140)+(#REF!*I140)+(#REF!*H140)</f>
        <v>#REF!</v>
      </c>
      <c r="M142" s="5" t="e">
        <f>(#REF!*M140)+(#REF!*L140)+(#REF!*K140)+(#REF!*J140)+(#REF!*I140)+(#REF!*H140)</f>
        <v>#REF!</v>
      </c>
      <c r="N142" s="5" t="e">
        <f>(#REF!*N140)+(#REF!*M140)+(#REF!*L140)+(#REF!*K140)+(#REF!*J140)+(#REF!*I140)+(#REF!*H140)</f>
        <v>#REF!</v>
      </c>
      <c r="O142" s="5" t="e">
        <f>(#REF!*O140)+(#REF!*N140)+(#REF!*M140)+(#REF!*L140)+(#REF!*K140)+(#REF!*J140)+(#REF!*I140)+(#REF!*H140)</f>
        <v>#REF!</v>
      </c>
      <c r="P142" s="5" t="e">
        <f>(#REF!*P140)+(#REF!*O140)+(#REF!*N140)+(#REF!*M140)+(#REF!*L140)+(#REF!*K140)+(#REF!*J140)+(#REF!*I140)+(#REF!*H140)</f>
        <v>#REF!</v>
      </c>
      <c r="Q142" s="5" t="e">
        <f>(#REF!*Q140)+(#REF!*P140)+(#REF!*O140)+(#REF!*N140)+(#REF!*M140)+(#REF!*L140)+(#REF!*K140)+(#REF!*J140)+(#REF!*I140)+(#REF!*H140)</f>
        <v>#REF!</v>
      </c>
      <c r="R142" s="5" t="e">
        <f>(#REF!*R140)+(#REF!*Q140)+(#REF!*P140)+(#REF!*O140)+(#REF!*N140)+(#REF!*M140)+(#REF!*L140)+(#REF!*K140)+(#REF!*J140)+(#REF!*I140)+(#REF!*H140)</f>
        <v>#REF!</v>
      </c>
    </row>
    <row r="143" spans="1:18">
      <c r="A143" s="38" t="s">
        <v>220</v>
      </c>
      <c r="D143" s="206"/>
      <c r="E143" s="206"/>
      <c r="F143" s="18"/>
      <c r="G143" s="16"/>
      <c r="H143" s="1" t="e">
        <f t="shared" ref="H143:R143" si="46">SUM(H141:H142)</f>
        <v>#REF!</v>
      </c>
      <c r="I143" s="1" t="e">
        <f t="shared" si="46"/>
        <v>#REF!</v>
      </c>
      <c r="J143" s="1" t="e">
        <f t="shared" si="46"/>
        <v>#REF!</v>
      </c>
      <c r="K143" s="12" t="e">
        <f t="shared" si="46"/>
        <v>#REF!</v>
      </c>
      <c r="L143" s="12" t="e">
        <f t="shared" si="46"/>
        <v>#REF!</v>
      </c>
      <c r="M143" s="1" t="e">
        <f t="shared" si="46"/>
        <v>#REF!</v>
      </c>
      <c r="N143" s="1" t="e">
        <f t="shared" si="46"/>
        <v>#REF!</v>
      </c>
      <c r="O143" s="1" t="e">
        <f t="shared" si="46"/>
        <v>#REF!</v>
      </c>
      <c r="P143" s="1" t="e">
        <f t="shared" si="46"/>
        <v>#REF!</v>
      </c>
      <c r="Q143" s="1" t="e">
        <f t="shared" si="46"/>
        <v>#REF!</v>
      </c>
      <c r="R143" s="1" t="e">
        <f t="shared" si="46"/>
        <v>#REF!</v>
      </c>
    </row>
    <row r="146" spans="1:17" ht="15.75">
      <c r="A146" s="483" t="s">
        <v>390</v>
      </c>
      <c r="B146" s="412"/>
      <c r="C146" s="412"/>
      <c r="D146" s="412"/>
      <c r="E146" s="412"/>
      <c r="F146" s="412"/>
      <c r="G146" s="412"/>
      <c r="H146" s="412"/>
      <c r="I146" s="412"/>
      <c r="J146" s="412"/>
      <c r="K146" s="412"/>
      <c r="L146" s="412"/>
      <c r="M146" s="412"/>
      <c r="N146" s="412"/>
      <c r="O146" s="412"/>
      <c r="P146" s="412"/>
      <c r="Q146" s="412"/>
    </row>
  </sheetData>
  <phoneticPr fontId="0" type="noConversion"/>
  <conditionalFormatting sqref="C17">
    <cfRule type="cellIs" dxfId="0" priority="1" stopIfTrue="1" operator="notBetween">
      <formula>0.25</formula>
      <formula>-0.25</formula>
    </cfRule>
  </conditionalFormatting>
  <pageMargins left="0.31" right="0.17" top="0.62" bottom="0.3" header="0.23" footer="0.2"/>
  <pageSetup scale="55" orientation="landscape" r:id="rId1"/>
  <headerFooter alignWithMargins="0">
    <oddFooter>&amp;R&amp;F
&amp;A
&amp;D, &amp;T</oddFooter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T87"/>
  <sheetViews>
    <sheetView showGridLines="0" topLeftCell="A8" zoomScale="75" workbookViewId="0">
      <selection activeCell="H13" sqref="H13"/>
    </sheetView>
  </sheetViews>
  <sheetFormatPr defaultRowHeight="12.75" outlineLevelRow="1"/>
  <cols>
    <col min="1" max="1" width="35.42578125" customWidth="1"/>
    <col min="2" max="2" width="1.5703125" customWidth="1"/>
    <col min="3" max="3" width="1.42578125" customWidth="1"/>
    <col min="4" max="4" width="11.28515625" customWidth="1"/>
    <col min="5" max="5" width="13.85546875" bestFit="1" customWidth="1"/>
    <col min="6" max="6" width="16.85546875" bestFit="1" customWidth="1"/>
    <col min="7" max="7" width="14.5703125" customWidth="1"/>
    <col min="8" max="8" width="12.5703125" customWidth="1"/>
    <col min="9" max="9" width="13.5703125" customWidth="1"/>
    <col min="10" max="10" width="13.140625" customWidth="1"/>
    <col min="11" max="17" width="11.28515625" customWidth="1"/>
  </cols>
  <sheetData>
    <row r="1" spans="1:20" ht="20.25">
      <c r="A1" s="714" t="str">
        <f>"Project "&amp;Assumptions!D6</f>
        <v>Project ETS</v>
      </c>
      <c r="B1" s="114"/>
      <c r="C1" s="114"/>
      <c r="D1" s="115"/>
      <c r="F1" s="737" t="s">
        <v>148</v>
      </c>
      <c r="G1" s="481"/>
      <c r="H1" s="736"/>
      <c r="I1" s="736"/>
      <c r="J1" s="467"/>
    </row>
    <row r="2" spans="1:20" ht="15.75">
      <c r="A2" s="715" t="str">
        <f>'Org Chart'!B5</f>
        <v>Northern Natural</v>
      </c>
      <c r="B2" s="141"/>
      <c r="C2" s="34"/>
      <c r="D2" s="117"/>
      <c r="F2" s="482"/>
      <c r="G2" s="54"/>
      <c r="H2" s="54"/>
      <c r="I2" s="54"/>
      <c r="J2" s="117"/>
    </row>
    <row r="3" spans="1:20" ht="16.5" thickBot="1">
      <c r="A3" s="639" t="s">
        <v>348</v>
      </c>
      <c r="B3" s="640"/>
      <c r="C3" s="120"/>
      <c r="D3" s="121"/>
      <c r="F3" s="482"/>
      <c r="G3" s="34"/>
      <c r="H3" s="54"/>
      <c r="I3" s="54"/>
      <c r="J3" s="117"/>
    </row>
    <row r="4" spans="1:20" ht="13.5" thickBot="1">
      <c r="F4" s="157"/>
      <c r="G4" s="158"/>
      <c r="H4" s="158"/>
      <c r="I4" s="158"/>
      <c r="J4" s="121"/>
    </row>
    <row r="6" spans="1:20" ht="15.75">
      <c r="A6" s="483" t="s">
        <v>424</v>
      </c>
      <c r="B6" s="484"/>
      <c r="C6" s="412"/>
      <c r="D6" s="485"/>
      <c r="E6" s="485"/>
      <c r="F6" s="412"/>
      <c r="G6" s="486"/>
      <c r="H6" s="486"/>
      <c r="I6" s="486"/>
      <c r="J6" s="412"/>
      <c r="K6" s="412"/>
      <c r="L6" s="412"/>
      <c r="M6" s="412"/>
      <c r="N6" s="412"/>
      <c r="O6" s="412"/>
      <c r="P6" s="412"/>
      <c r="Q6" s="412"/>
      <c r="R6" s="412"/>
      <c r="S6" s="379"/>
      <c r="T6" s="379"/>
    </row>
    <row r="7" spans="1:20">
      <c r="D7" s="480"/>
      <c r="E7" s="480"/>
      <c r="F7" s="323"/>
      <c r="G7" s="309" t="s">
        <v>203</v>
      </c>
      <c r="H7" s="328"/>
      <c r="I7" s="323"/>
      <c r="J7" s="323"/>
      <c r="K7" s="246"/>
      <c r="L7" s="323"/>
      <c r="M7" s="246"/>
      <c r="N7" s="246"/>
      <c r="O7" s="246"/>
      <c r="P7" s="246"/>
      <c r="Q7" s="292"/>
      <c r="R7" s="292"/>
      <c r="S7" s="292"/>
      <c r="T7" s="292"/>
    </row>
    <row r="8" spans="1:20">
      <c r="D8" s="256">
        <v>1998</v>
      </c>
      <c r="E8" s="256">
        <v>1999</v>
      </c>
      <c r="F8" s="256">
        <v>2000</v>
      </c>
      <c r="G8" s="256">
        <v>2001</v>
      </c>
      <c r="H8" s="1034" t="s">
        <v>452</v>
      </c>
      <c r="I8" s="1031"/>
      <c r="J8" s="289" t="s">
        <v>459</v>
      </c>
      <c r="K8" s="289">
        <v>2002</v>
      </c>
      <c r="L8" s="289">
        <v>2003</v>
      </c>
      <c r="M8" s="289">
        <v>2004</v>
      </c>
      <c r="N8" s="289">
        <v>2005</v>
      </c>
      <c r="O8" s="289">
        <v>2006</v>
      </c>
      <c r="P8" s="293">
        <v>2007</v>
      </c>
      <c r="Q8" s="293">
        <v>2008</v>
      </c>
      <c r="R8" s="293">
        <v>2009</v>
      </c>
      <c r="S8" s="293">
        <v>2010</v>
      </c>
      <c r="T8" s="465">
        <v>2011</v>
      </c>
    </row>
    <row r="9" spans="1:20">
      <c r="D9" s="24"/>
      <c r="E9" s="24"/>
      <c r="F9" s="348" t="s">
        <v>213</v>
      </c>
      <c r="G9" s="256">
        <v>1</v>
      </c>
      <c r="H9" s="769" t="s">
        <v>453</v>
      </c>
      <c r="I9" s="770" t="s">
        <v>454</v>
      </c>
      <c r="J9" s="289">
        <v>1</v>
      </c>
      <c r="K9" s="289">
        <v>2</v>
      </c>
      <c r="L9" s="289">
        <v>3</v>
      </c>
      <c r="M9" s="289">
        <v>4</v>
      </c>
      <c r="N9" s="289">
        <v>5</v>
      </c>
      <c r="O9" s="289">
        <v>6</v>
      </c>
      <c r="P9" s="289">
        <v>7</v>
      </c>
      <c r="Q9" s="289">
        <v>8</v>
      </c>
      <c r="R9" s="289">
        <v>9</v>
      </c>
      <c r="S9" s="289">
        <v>10</v>
      </c>
      <c r="T9" s="389">
        <v>11</v>
      </c>
    </row>
    <row r="10" spans="1:20">
      <c r="A10" s="6" t="s">
        <v>399</v>
      </c>
      <c r="D10" s="16"/>
      <c r="E10" s="16"/>
      <c r="F10" s="764"/>
      <c r="G10" s="724"/>
      <c r="H10" s="496"/>
      <c r="I10" s="771"/>
      <c r="J10" s="396"/>
      <c r="K10" s="396"/>
      <c r="L10" s="396"/>
      <c r="M10" s="396"/>
      <c r="N10" s="396"/>
      <c r="O10" s="396"/>
      <c r="P10" s="396"/>
      <c r="Q10" s="396"/>
      <c r="R10" s="396"/>
      <c r="S10" s="396"/>
      <c r="T10" s="290"/>
    </row>
    <row r="11" spans="1:20">
      <c r="A11" s="760" t="s">
        <v>391</v>
      </c>
      <c r="D11" s="562"/>
      <c r="E11" s="562">
        <v>0</v>
      </c>
      <c r="F11" s="562">
        <v>0</v>
      </c>
      <c r="G11" s="562">
        <v>0</v>
      </c>
      <c r="H11" s="777">
        <v>0</v>
      </c>
      <c r="I11" s="777">
        <v>0</v>
      </c>
    </row>
    <row r="12" spans="1:20">
      <c r="A12" s="761" t="s">
        <v>392</v>
      </c>
      <c r="D12" s="562"/>
      <c r="E12" s="562">
        <v>112000</v>
      </c>
      <c r="F12" s="562">
        <v>140000</v>
      </c>
      <c r="G12" s="562">
        <v>171000</v>
      </c>
      <c r="H12" s="777">
        <v>0</v>
      </c>
      <c r="I12" s="777">
        <v>0</v>
      </c>
      <c r="J12" s="26">
        <f>G12+H12+I12</f>
        <v>171000</v>
      </c>
      <c r="K12" s="26">
        <f>('Pipeline Co IS'!H17/365)*'Pipeline Co BS'!K83</f>
        <v>179750.13698630137</v>
      </c>
      <c r="L12" s="26">
        <f>('Pipeline Co IS'!I17/365)*'Pipeline Co BS'!L83</f>
        <v>181998.18082191781</v>
      </c>
      <c r="M12" s="26">
        <f>('Pipeline Co IS'!J17/365)*'Pipeline Co BS'!M83</f>
        <v>184278.93501369865</v>
      </c>
      <c r="N12" s="26">
        <f>('Pipeline Co IS'!K17/365)*'Pipeline Co BS'!N83</f>
        <v>186592.96783561647</v>
      </c>
      <c r="O12" s="26">
        <f>('Pipeline Co IS'!L17/365)*'Pipeline Co BS'!O83</f>
        <v>188940.85916495341</v>
      </c>
      <c r="P12" s="26">
        <f>('Pipeline Co IS'!M17/365)*'Pipeline Co BS'!P83</f>
        <v>191323.2007496607</v>
      </c>
      <c r="Q12" s="26">
        <f>('Pipeline Co IS'!N17/365)*'Pipeline Co BS'!Q83</f>
        <v>193740.59648240526</v>
      </c>
      <c r="R12" s="26">
        <f>('Pipeline Co IS'!O17/365)*'Pipeline Co BS'!R83</f>
        <v>196193.66268148116</v>
      </c>
      <c r="S12" s="26">
        <f>('Pipeline Co IS'!P17/365)*'Pipeline Co BS'!S83</f>
        <v>198683.0283787667</v>
      </c>
      <c r="T12" s="26">
        <f>('Pipeline Co IS'!Q17/365)*'Pipeline Co BS'!T83</f>
        <v>201209.33561491431</v>
      </c>
    </row>
    <row r="13" spans="1:20">
      <c r="A13" t="s">
        <v>429</v>
      </c>
      <c r="D13" s="562"/>
      <c r="E13" s="562">
        <v>22000</v>
      </c>
      <c r="F13" s="562">
        <v>71000</v>
      </c>
      <c r="G13" s="562">
        <v>58000</v>
      </c>
      <c r="H13" s="777">
        <v>0</v>
      </c>
      <c r="I13" s="777">
        <v>0</v>
      </c>
      <c r="J13" s="26">
        <f t="shared" ref="J13:J20" si="0">G13+H13+I13</f>
        <v>58000</v>
      </c>
      <c r="K13">
        <f>('Pipeline Co IS'!H17*'Pipeline Co BS'!K84)</f>
        <v>27337</v>
      </c>
    </row>
    <row r="14" spans="1:20">
      <c r="A14" s="762" t="s">
        <v>393</v>
      </c>
      <c r="D14" s="562"/>
      <c r="E14" s="562">
        <v>34000</v>
      </c>
      <c r="F14" s="562">
        <v>21000</v>
      </c>
      <c r="G14" s="562">
        <v>20000</v>
      </c>
      <c r="H14" s="777">
        <v>0</v>
      </c>
      <c r="I14" s="777">
        <v>0</v>
      </c>
      <c r="J14" s="26">
        <f t="shared" si="0"/>
        <v>20000</v>
      </c>
    </row>
    <row r="15" spans="1:20">
      <c r="A15" t="s">
        <v>430</v>
      </c>
      <c r="D15" s="562"/>
      <c r="E15" s="562">
        <v>11000</v>
      </c>
      <c r="F15" s="562">
        <v>12000</v>
      </c>
      <c r="G15" s="562">
        <v>8000</v>
      </c>
      <c r="H15" s="777">
        <v>0</v>
      </c>
      <c r="I15" s="777">
        <v>0</v>
      </c>
      <c r="J15" s="26">
        <f t="shared" si="0"/>
        <v>8000</v>
      </c>
    </row>
    <row r="16" spans="1:20">
      <c r="A16" s="762" t="s">
        <v>431</v>
      </c>
      <c r="D16" s="562"/>
      <c r="E16" s="562">
        <v>85000</v>
      </c>
      <c r="F16" s="562">
        <v>162000</v>
      </c>
      <c r="G16" s="562">
        <v>310000</v>
      </c>
      <c r="H16" s="777">
        <v>0</v>
      </c>
      <c r="I16" s="777">
        <v>0</v>
      </c>
      <c r="J16" s="26">
        <f t="shared" si="0"/>
        <v>310000</v>
      </c>
    </row>
    <row r="17" spans="1:20">
      <c r="A17" s="762" t="s">
        <v>394</v>
      </c>
      <c r="D17" s="562"/>
      <c r="E17" s="562">
        <v>8000</v>
      </c>
      <c r="F17" s="562">
        <v>21000</v>
      </c>
      <c r="G17" s="562">
        <v>20000</v>
      </c>
      <c r="H17" s="777">
        <v>0</v>
      </c>
      <c r="I17" s="777">
        <v>0</v>
      </c>
      <c r="J17" s="26">
        <f t="shared" si="0"/>
        <v>20000</v>
      </c>
    </row>
    <row r="18" spans="1:20" outlineLevel="1">
      <c r="A18" s="762" t="s">
        <v>412</v>
      </c>
      <c r="D18" s="562"/>
      <c r="E18" s="562">
        <v>0</v>
      </c>
      <c r="F18" s="562">
        <v>0</v>
      </c>
      <c r="G18" s="562">
        <v>0</v>
      </c>
      <c r="H18" s="777">
        <v>0</v>
      </c>
      <c r="I18" s="777">
        <v>0</v>
      </c>
      <c r="J18" s="26">
        <f t="shared" si="0"/>
        <v>0</v>
      </c>
    </row>
    <row r="19" spans="1:20" outlineLevel="1">
      <c r="A19" s="762" t="s">
        <v>432</v>
      </c>
      <c r="D19" s="562"/>
      <c r="E19" s="562">
        <v>0</v>
      </c>
      <c r="F19" s="562">
        <v>0</v>
      </c>
      <c r="G19" s="562">
        <v>0</v>
      </c>
      <c r="H19" s="777">
        <v>0</v>
      </c>
      <c r="I19" s="777">
        <v>0</v>
      </c>
      <c r="J19" s="26">
        <f t="shared" si="0"/>
        <v>0</v>
      </c>
    </row>
    <row r="20" spans="1:20" outlineLevel="1">
      <c r="A20" s="762" t="s">
        <v>433</v>
      </c>
      <c r="D20" s="562"/>
      <c r="E20" s="562">
        <v>0</v>
      </c>
      <c r="F20" s="562">
        <v>0</v>
      </c>
      <c r="G20" s="562">
        <v>0</v>
      </c>
      <c r="H20" s="777">
        <v>0</v>
      </c>
      <c r="I20" s="777">
        <v>0</v>
      </c>
      <c r="J20" s="26">
        <f t="shared" si="0"/>
        <v>0</v>
      </c>
    </row>
    <row r="21" spans="1:20">
      <c r="A21" s="6" t="s">
        <v>400</v>
      </c>
      <c r="D21" s="767"/>
      <c r="E21" s="730">
        <f>SUM(E11:E20)</f>
        <v>272000</v>
      </c>
      <c r="F21" s="730">
        <f>SUM(F11:F20)</f>
        <v>427000</v>
      </c>
      <c r="G21" s="730">
        <f>SUM(G11:G20)</f>
        <v>587000</v>
      </c>
      <c r="H21" s="772"/>
      <c r="I21" s="773"/>
      <c r="J21" s="779">
        <f>SUM(J12:J20)</f>
        <v>587000</v>
      </c>
      <c r="K21" s="105"/>
      <c r="L21" s="105"/>
      <c r="M21" s="105"/>
      <c r="N21" s="105"/>
      <c r="O21" s="105"/>
      <c r="P21" s="105"/>
      <c r="Q21" s="105"/>
      <c r="R21" s="105"/>
      <c r="S21" s="105"/>
      <c r="T21" s="105"/>
    </row>
    <row r="22" spans="1:20">
      <c r="A22" s="6" t="s">
        <v>401</v>
      </c>
      <c r="D22" s="16"/>
      <c r="E22" s="16"/>
      <c r="F22" s="16"/>
      <c r="G22" s="16"/>
      <c r="H22" s="496"/>
      <c r="I22" s="593"/>
    </row>
    <row r="23" spans="1:20">
      <c r="A23" s="762" t="s">
        <v>465</v>
      </c>
      <c r="D23" s="562"/>
      <c r="E23" s="562">
        <v>1492000</v>
      </c>
      <c r="F23" s="562">
        <v>1679000</v>
      </c>
      <c r="G23" s="562">
        <v>1642000</v>
      </c>
      <c r="H23" s="496"/>
      <c r="I23" s="593"/>
    </row>
    <row r="24" spans="1:20">
      <c r="A24" s="765" t="s">
        <v>425</v>
      </c>
      <c r="D24" s="562"/>
      <c r="E24" s="562">
        <v>37000</v>
      </c>
      <c r="F24" s="562">
        <v>99000</v>
      </c>
      <c r="G24" s="562">
        <v>120000</v>
      </c>
      <c r="H24" s="496"/>
      <c r="I24" s="593"/>
    </row>
    <row r="25" spans="1:20">
      <c r="A25" s="765" t="s">
        <v>426</v>
      </c>
      <c r="D25" s="562"/>
      <c r="E25" s="562">
        <v>45000</v>
      </c>
      <c r="F25" s="562">
        <v>20000</v>
      </c>
      <c r="G25" s="562">
        <v>32000</v>
      </c>
      <c r="H25" s="496"/>
      <c r="I25" s="593"/>
    </row>
    <row r="26" spans="1:20">
      <c r="A26" s="765" t="s">
        <v>395</v>
      </c>
      <c r="D26" s="767"/>
      <c r="E26" s="730">
        <f>E23-E24+E25</f>
        <v>1500000</v>
      </c>
      <c r="F26" s="730">
        <f>F23-F24+F25</f>
        <v>1600000</v>
      </c>
      <c r="G26" s="730">
        <f>G23-G24+G25</f>
        <v>1554000</v>
      </c>
      <c r="H26" s="772"/>
      <c r="I26" s="773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</row>
    <row r="27" spans="1:20">
      <c r="A27" s="761" t="s">
        <v>396</v>
      </c>
      <c r="D27" s="562"/>
      <c r="E27" s="562">
        <v>774000</v>
      </c>
      <c r="F27" s="562">
        <v>753000</v>
      </c>
      <c r="G27" s="562">
        <v>723000</v>
      </c>
      <c r="H27" s="496"/>
      <c r="I27" s="593"/>
    </row>
    <row r="28" spans="1:20">
      <c r="A28" s="761" t="s">
        <v>427</v>
      </c>
      <c r="D28" s="562"/>
      <c r="E28" s="562">
        <v>11000</v>
      </c>
      <c r="F28" s="562">
        <v>11000</v>
      </c>
      <c r="G28" s="562">
        <v>10000</v>
      </c>
      <c r="H28" s="496"/>
      <c r="I28" s="593"/>
    </row>
    <row r="29" spans="1:20">
      <c r="A29" s="761" t="s">
        <v>428</v>
      </c>
      <c r="D29" s="562"/>
      <c r="E29" s="562">
        <v>1000</v>
      </c>
      <c r="F29" s="562">
        <v>8000</v>
      </c>
      <c r="G29" s="562">
        <v>73000</v>
      </c>
      <c r="H29" s="496"/>
      <c r="I29" s="593"/>
    </row>
    <row r="30" spans="1:20">
      <c r="A30" s="761" t="s">
        <v>436</v>
      </c>
      <c r="D30" s="562"/>
      <c r="E30" s="562">
        <v>2000</v>
      </c>
      <c r="F30" s="562">
        <v>7000</v>
      </c>
      <c r="G30" s="562">
        <v>63000</v>
      </c>
      <c r="H30" s="496"/>
      <c r="I30" s="593"/>
    </row>
    <row r="31" spans="1:20" outlineLevel="1">
      <c r="A31" s="761" t="s">
        <v>434</v>
      </c>
      <c r="D31" s="562"/>
      <c r="E31" s="562">
        <v>0</v>
      </c>
      <c r="F31" s="562">
        <v>0</v>
      </c>
      <c r="G31" s="562">
        <v>0</v>
      </c>
      <c r="H31" s="496"/>
      <c r="I31" s="593"/>
    </row>
    <row r="32" spans="1:20" outlineLevel="1">
      <c r="A32" s="761" t="s">
        <v>435</v>
      </c>
      <c r="D32" s="562"/>
      <c r="E32" s="562">
        <v>0</v>
      </c>
      <c r="F32" s="562">
        <v>0</v>
      </c>
      <c r="G32" s="562">
        <v>0</v>
      </c>
      <c r="H32" s="496"/>
      <c r="I32" s="593"/>
    </row>
    <row r="33" spans="1:20">
      <c r="A33" s="559" t="s">
        <v>402</v>
      </c>
      <c r="D33" s="766"/>
      <c r="E33" s="730">
        <f>E26+SUM(E27:E30)</f>
        <v>2288000</v>
      </c>
      <c r="F33" s="730">
        <f>F26+SUM(F27:F30)</f>
        <v>2379000</v>
      </c>
      <c r="G33" s="730">
        <f>G26+SUM(G27:G30)</f>
        <v>2423000</v>
      </c>
      <c r="H33" s="772"/>
      <c r="I33" s="773"/>
      <c r="J33" s="683"/>
      <c r="K33" s="683">
        <f>K26+SUM(K27:K29)</f>
        <v>0</v>
      </c>
      <c r="L33" s="683">
        <f>L26+SUM(L27:L29)</f>
        <v>0</v>
      </c>
      <c r="M33" s="33"/>
      <c r="N33" s="33"/>
      <c r="O33" s="33"/>
      <c r="P33" s="33"/>
      <c r="Q33" s="33"/>
      <c r="R33" s="33"/>
      <c r="S33" s="33"/>
      <c r="T33" s="33"/>
    </row>
    <row r="34" spans="1:20">
      <c r="A34" s="761"/>
      <c r="D34" s="16"/>
      <c r="E34" s="16"/>
      <c r="F34" s="16"/>
      <c r="G34" s="16"/>
      <c r="H34" s="496"/>
      <c r="I34" s="593"/>
    </row>
    <row r="35" spans="1:20" ht="13.5" thickBot="1">
      <c r="A35" s="763" t="s">
        <v>403</v>
      </c>
      <c r="D35" s="729"/>
      <c r="E35" s="726">
        <f>E21+E33</f>
        <v>2560000</v>
      </c>
      <c r="F35" s="726">
        <f>F21+F33</f>
        <v>2806000</v>
      </c>
      <c r="G35" s="776">
        <f>G21+G33</f>
        <v>3010000</v>
      </c>
      <c r="H35" s="774"/>
      <c r="I35" s="775"/>
      <c r="J35" s="768"/>
      <c r="K35" s="768"/>
      <c r="L35" s="768"/>
      <c r="M35" s="768"/>
      <c r="N35" s="768"/>
      <c r="O35" s="768"/>
      <c r="P35" s="768"/>
      <c r="Q35" s="768"/>
      <c r="R35" s="768"/>
      <c r="S35" s="768"/>
      <c r="T35" s="768"/>
    </row>
    <row r="36" spans="1:20" ht="13.5" thickTop="1">
      <c r="A36" s="763"/>
      <c r="D36" s="16"/>
      <c r="E36" s="16"/>
      <c r="F36" s="16"/>
      <c r="G36" s="16"/>
      <c r="H36" s="496"/>
      <c r="I36" s="593"/>
    </row>
    <row r="37" spans="1:20">
      <c r="A37" s="763" t="s">
        <v>404</v>
      </c>
      <c r="D37" s="16"/>
      <c r="E37" s="16"/>
      <c r="F37" s="16"/>
      <c r="G37" s="16"/>
      <c r="H37" s="496"/>
      <c r="I37" s="593"/>
    </row>
    <row r="38" spans="1:20">
      <c r="A38" s="760" t="s">
        <v>397</v>
      </c>
      <c r="D38" s="562"/>
      <c r="E38" s="562">
        <v>28000</v>
      </c>
      <c r="F38" s="562">
        <v>32000</v>
      </c>
      <c r="G38" s="562">
        <v>42000</v>
      </c>
      <c r="H38" s="496"/>
      <c r="I38" s="593"/>
    </row>
    <row r="39" spans="1:20">
      <c r="A39" s="762" t="s">
        <v>443</v>
      </c>
      <c r="D39" s="562"/>
      <c r="E39" s="562">
        <v>30000</v>
      </c>
      <c r="F39" s="562">
        <v>56000</v>
      </c>
      <c r="G39" s="562">
        <v>89000</v>
      </c>
      <c r="H39" s="496"/>
      <c r="I39" s="593"/>
    </row>
    <row r="40" spans="1:20">
      <c r="A40" s="762" t="s">
        <v>444</v>
      </c>
      <c r="D40" s="562"/>
      <c r="E40" s="562">
        <v>8000</v>
      </c>
      <c r="F40" s="562">
        <v>3000</v>
      </c>
      <c r="G40" s="562">
        <v>6000</v>
      </c>
      <c r="H40" s="496"/>
      <c r="I40" s="593"/>
    </row>
    <row r="41" spans="1:20">
      <c r="A41" s="762" t="s">
        <v>445</v>
      </c>
      <c r="D41" s="562"/>
      <c r="E41" s="562">
        <v>29000</v>
      </c>
      <c r="F41" s="562">
        <v>31000</v>
      </c>
      <c r="G41" s="562">
        <v>31000</v>
      </c>
      <c r="H41" s="496"/>
      <c r="I41" s="593"/>
    </row>
    <row r="42" spans="1:20">
      <c r="A42" s="762" t="s">
        <v>446</v>
      </c>
      <c r="D42" s="562"/>
      <c r="E42" s="562">
        <v>30000</v>
      </c>
      <c r="F42" s="562">
        <v>45000</v>
      </c>
      <c r="G42" s="562">
        <v>23000</v>
      </c>
      <c r="H42" s="496"/>
      <c r="I42" s="593"/>
    </row>
    <row r="43" spans="1:20">
      <c r="A43" s="762" t="s">
        <v>398</v>
      </c>
      <c r="D43" s="562"/>
      <c r="E43" s="562">
        <v>79000</v>
      </c>
      <c r="F43" s="562">
        <v>104000</v>
      </c>
      <c r="G43" s="562">
        <v>91000</v>
      </c>
      <c r="H43" s="496"/>
      <c r="I43" s="593"/>
    </row>
    <row r="44" spans="1:20" outlineLevel="1">
      <c r="A44" s="762" t="s">
        <v>413</v>
      </c>
      <c r="D44" s="562"/>
      <c r="E44" s="562">
        <v>0</v>
      </c>
      <c r="F44" s="562">
        <v>0</v>
      </c>
      <c r="G44" s="16"/>
      <c r="H44" s="496"/>
      <c r="I44" s="593"/>
    </row>
    <row r="45" spans="1:20" outlineLevel="1">
      <c r="A45" s="762" t="s">
        <v>414</v>
      </c>
      <c r="D45" s="562"/>
      <c r="E45" s="562">
        <v>0</v>
      </c>
      <c r="F45" s="562">
        <v>0</v>
      </c>
      <c r="G45" s="16"/>
      <c r="H45" s="496"/>
      <c r="I45" s="593"/>
    </row>
    <row r="46" spans="1:20" outlineLevel="1">
      <c r="A46" s="762" t="s">
        <v>437</v>
      </c>
      <c r="D46" s="562"/>
      <c r="E46" s="562">
        <v>0</v>
      </c>
      <c r="F46" s="562">
        <v>0</v>
      </c>
      <c r="G46" s="16"/>
      <c r="H46" s="496"/>
      <c r="I46" s="593"/>
    </row>
    <row r="47" spans="1:20" outlineLevel="1">
      <c r="A47" s="762" t="s">
        <v>438</v>
      </c>
      <c r="D47" s="562"/>
      <c r="E47" s="562">
        <v>0</v>
      </c>
      <c r="F47" s="562">
        <v>0</v>
      </c>
      <c r="G47" s="16"/>
      <c r="H47" s="496"/>
      <c r="I47" s="593"/>
    </row>
    <row r="48" spans="1:20">
      <c r="A48" s="326" t="s">
        <v>405</v>
      </c>
      <c r="D48" s="767"/>
      <c r="E48" s="682">
        <f>SUM(E38:E47)</f>
        <v>204000</v>
      </c>
      <c r="F48" s="682">
        <f>SUM(F38:F47)</f>
        <v>271000</v>
      </c>
      <c r="G48" s="682">
        <f>SUM(G38:G47)</f>
        <v>282000</v>
      </c>
      <c r="H48" s="772"/>
      <c r="I48" s="773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</row>
    <row r="49" spans="1:20">
      <c r="A49" s="326" t="s">
        <v>406</v>
      </c>
      <c r="D49" s="16"/>
      <c r="E49" s="16"/>
      <c r="F49" s="16"/>
      <c r="G49" s="16"/>
      <c r="H49" s="496"/>
      <c r="I49" s="593"/>
    </row>
    <row r="50" spans="1:20">
      <c r="A50" s="765" t="s">
        <v>447</v>
      </c>
      <c r="D50" s="16"/>
      <c r="E50" s="562">
        <v>1094000</v>
      </c>
      <c r="F50" s="562">
        <v>1193000</v>
      </c>
      <c r="G50" s="562">
        <v>1192000</v>
      </c>
      <c r="H50" s="496"/>
      <c r="I50" s="593"/>
    </row>
    <row r="51" spans="1:20">
      <c r="A51" s="330" t="s">
        <v>430</v>
      </c>
      <c r="D51" s="562"/>
      <c r="E51" s="562">
        <v>45000</v>
      </c>
      <c r="F51" s="562">
        <v>134000</v>
      </c>
      <c r="G51" s="562">
        <v>166000</v>
      </c>
      <c r="H51" s="496"/>
      <c r="I51" s="593"/>
    </row>
    <row r="52" spans="1:20">
      <c r="A52" s="762" t="s">
        <v>58</v>
      </c>
      <c r="D52" s="562"/>
      <c r="E52" s="562">
        <v>89000</v>
      </c>
      <c r="F52" s="562">
        <v>86000</v>
      </c>
      <c r="G52" s="562">
        <v>89000</v>
      </c>
      <c r="H52" s="496"/>
      <c r="I52" s="593"/>
    </row>
    <row r="53" spans="1:20" outlineLevel="1">
      <c r="A53" s="762" t="s">
        <v>407</v>
      </c>
      <c r="D53" s="562"/>
      <c r="E53" s="562">
        <v>0</v>
      </c>
      <c r="F53" s="562">
        <v>0</v>
      </c>
      <c r="G53" s="16"/>
      <c r="H53" s="496"/>
      <c r="I53" s="593"/>
    </row>
    <row r="54" spans="1:20" outlineLevel="1">
      <c r="A54" s="762" t="s">
        <v>408</v>
      </c>
      <c r="D54" s="562"/>
      <c r="E54" s="562">
        <v>0</v>
      </c>
      <c r="F54" s="562">
        <v>0</v>
      </c>
      <c r="G54" s="16"/>
      <c r="H54" s="496"/>
      <c r="I54" s="593"/>
    </row>
    <row r="55" spans="1:20" outlineLevel="1">
      <c r="A55" s="335" t="s">
        <v>409</v>
      </c>
      <c r="D55" s="562"/>
      <c r="E55" s="562">
        <v>0</v>
      </c>
      <c r="F55" s="562">
        <v>0</v>
      </c>
      <c r="G55" s="16"/>
      <c r="H55" s="496"/>
      <c r="I55" s="593"/>
    </row>
    <row r="56" spans="1:20" outlineLevel="1">
      <c r="A56" s="335" t="s">
        <v>410</v>
      </c>
      <c r="D56" s="562"/>
      <c r="E56" s="562">
        <v>0</v>
      </c>
      <c r="F56" s="562">
        <v>0</v>
      </c>
      <c r="G56" s="16"/>
      <c r="H56" s="496"/>
      <c r="I56" s="593"/>
    </row>
    <row r="57" spans="1:20" outlineLevel="1">
      <c r="A57" s="335" t="s">
        <v>411</v>
      </c>
      <c r="D57" s="562"/>
      <c r="E57" s="562">
        <v>0</v>
      </c>
      <c r="F57" s="562">
        <v>0</v>
      </c>
      <c r="G57" s="16"/>
      <c r="H57" s="496"/>
      <c r="I57" s="593"/>
    </row>
    <row r="58" spans="1:20" outlineLevel="1">
      <c r="A58" s="335" t="s">
        <v>439</v>
      </c>
      <c r="D58" s="562"/>
      <c r="E58" s="562">
        <v>0</v>
      </c>
      <c r="F58" s="562">
        <v>0</v>
      </c>
      <c r="G58" s="16"/>
      <c r="H58" s="496"/>
      <c r="I58" s="593"/>
    </row>
    <row r="59" spans="1:20" outlineLevel="1">
      <c r="A59" s="335" t="s">
        <v>440</v>
      </c>
      <c r="D59" s="562"/>
      <c r="E59" s="562">
        <v>0</v>
      </c>
      <c r="F59" s="562">
        <v>0</v>
      </c>
      <c r="G59" s="16"/>
      <c r="H59" s="496"/>
      <c r="I59" s="593"/>
    </row>
    <row r="60" spans="1:20">
      <c r="A60" s="763" t="s">
        <v>415</v>
      </c>
      <c r="D60" s="766"/>
      <c r="E60" s="682">
        <f>SUM(E50:E59)</f>
        <v>1228000</v>
      </c>
      <c r="F60" s="682">
        <f>SUM(F50:F59)</f>
        <v>1413000</v>
      </c>
      <c r="G60" s="682">
        <f>SUM(G50:G59)</f>
        <v>1447000</v>
      </c>
      <c r="H60" s="772"/>
      <c r="I60" s="77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</row>
    <row r="61" spans="1:20">
      <c r="A61" s="763" t="s">
        <v>416</v>
      </c>
      <c r="D61" s="16"/>
      <c r="E61" s="16"/>
      <c r="F61" s="16"/>
      <c r="G61" s="16"/>
      <c r="H61" s="496"/>
      <c r="I61" s="593"/>
    </row>
    <row r="62" spans="1:20">
      <c r="A62" s="762" t="s">
        <v>448</v>
      </c>
      <c r="D62" s="16"/>
      <c r="E62" s="562">
        <v>1000</v>
      </c>
      <c r="F62" s="562">
        <v>1000</v>
      </c>
      <c r="G62" s="562">
        <v>1000</v>
      </c>
      <c r="H62" s="496"/>
      <c r="I62" s="593"/>
    </row>
    <row r="63" spans="1:20">
      <c r="A63" s="762" t="s">
        <v>449</v>
      </c>
      <c r="D63" s="16"/>
      <c r="E63" s="562">
        <v>1127000</v>
      </c>
      <c r="F63" s="562">
        <v>1127000</v>
      </c>
      <c r="G63" s="562">
        <v>1277000</v>
      </c>
      <c r="H63" s="496"/>
      <c r="I63" s="593"/>
    </row>
    <row r="64" spans="1:20">
      <c r="A64" s="762" t="s">
        <v>450</v>
      </c>
      <c r="D64" s="16"/>
      <c r="E64" s="562">
        <v>0</v>
      </c>
      <c r="F64" s="562">
        <v>-6000</v>
      </c>
      <c r="G64" s="562">
        <v>3000</v>
      </c>
      <c r="H64" s="496"/>
      <c r="I64" s="593"/>
    </row>
    <row r="65" spans="1:20" outlineLevel="1">
      <c r="A65" s="762" t="s">
        <v>419</v>
      </c>
      <c r="D65" s="16"/>
      <c r="E65" s="562">
        <v>0</v>
      </c>
      <c r="F65" s="562">
        <v>0</v>
      </c>
      <c r="G65" s="16"/>
      <c r="H65" s="496"/>
      <c r="I65" s="593"/>
    </row>
    <row r="66" spans="1:20" outlineLevel="1">
      <c r="A66" s="762" t="s">
        <v>420</v>
      </c>
      <c r="D66" s="16"/>
      <c r="E66" s="562">
        <v>0</v>
      </c>
      <c r="F66" s="562">
        <v>0</v>
      </c>
      <c r="G66" s="16"/>
      <c r="H66" s="496"/>
      <c r="I66" s="593"/>
    </row>
    <row r="67" spans="1:20" outlineLevel="1">
      <c r="A67" s="762" t="s">
        <v>421</v>
      </c>
      <c r="D67" s="16"/>
      <c r="E67" s="562">
        <v>0</v>
      </c>
      <c r="F67" s="562">
        <v>0</v>
      </c>
      <c r="G67" s="16"/>
      <c r="H67" s="496"/>
      <c r="I67" s="593"/>
    </row>
    <row r="68" spans="1:20" outlineLevel="1">
      <c r="A68" s="762" t="s">
        <v>422</v>
      </c>
      <c r="D68" s="16"/>
      <c r="E68" s="562">
        <v>0</v>
      </c>
      <c r="F68" s="562">
        <v>0</v>
      </c>
      <c r="G68" s="16"/>
      <c r="H68" s="496"/>
      <c r="I68" s="593"/>
    </row>
    <row r="69" spans="1:20" outlineLevel="1">
      <c r="A69" s="762" t="s">
        <v>423</v>
      </c>
      <c r="D69" s="16"/>
      <c r="E69" s="562">
        <v>0</v>
      </c>
      <c r="F69" s="562">
        <v>0</v>
      </c>
      <c r="G69" s="16"/>
      <c r="H69" s="496"/>
      <c r="I69" s="593"/>
    </row>
    <row r="70" spans="1:20" outlineLevel="1">
      <c r="A70" s="762" t="s">
        <v>441</v>
      </c>
      <c r="D70" s="16"/>
      <c r="E70" s="562">
        <v>0</v>
      </c>
      <c r="F70" s="562">
        <v>0</v>
      </c>
      <c r="G70" s="16"/>
      <c r="H70" s="496"/>
      <c r="I70" s="593"/>
    </row>
    <row r="71" spans="1:20" outlineLevel="1">
      <c r="A71" s="762" t="s">
        <v>442</v>
      </c>
      <c r="D71" s="16"/>
      <c r="E71" s="562">
        <v>0</v>
      </c>
      <c r="F71" s="562">
        <v>0</v>
      </c>
      <c r="G71" s="16"/>
      <c r="H71" s="496"/>
      <c r="I71" s="593"/>
    </row>
    <row r="72" spans="1:20">
      <c r="A72" s="763" t="s">
        <v>417</v>
      </c>
      <c r="D72" s="767"/>
      <c r="E72" s="682">
        <f>SUM(E62:E71)</f>
        <v>1128000</v>
      </c>
      <c r="F72" s="682">
        <f>SUM(F62:F71)</f>
        <v>1122000</v>
      </c>
      <c r="G72" s="682">
        <f>SUM(G62:G71)</f>
        <v>1281000</v>
      </c>
      <c r="H72" s="772"/>
      <c r="I72" s="773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</row>
    <row r="73" spans="1:20">
      <c r="D73" s="16"/>
      <c r="E73" s="16"/>
      <c r="F73" s="16"/>
      <c r="G73" s="16"/>
      <c r="H73" s="496"/>
      <c r="I73" s="593"/>
    </row>
    <row r="74" spans="1:20" ht="13.5" thickBot="1">
      <c r="A74" s="6" t="s">
        <v>418</v>
      </c>
      <c r="D74" s="734"/>
      <c r="E74" s="735">
        <f>E60+E72+E48</f>
        <v>2560000</v>
      </c>
      <c r="F74" s="735">
        <f>F60+F72+F48</f>
        <v>2806000</v>
      </c>
      <c r="G74" s="735">
        <f>G60+G72+G48</f>
        <v>3010000</v>
      </c>
      <c r="H74" s="774"/>
      <c r="I74" s="775"/>
      <c r="J74" s="582"/>
      <c r="K74" s="582"/>
      <c r="L74" s="582"/>
      <c r="M74" s="582"/>
      <c r="N74" s="582"/>
      <c r="O74" s="582"/>
      <c r="P74" s="582"/>
      <c r="Q74" s="582"/>
      <c r="R74" s="582"/>
      <c r="S74" s="582"/>
      <c r="T74" s="582"/>
    </row>
    <row r="75" spans="1:20" ht="13.5" thickTop="1"/>
    <row r="76" spans="1:20" outlineLevel="1">
      <c r="A76" t="s">
        <v>451</v>
      </c>
      <c r="D76" s="26">
        <f>D35-D74</f>
        <v>0</v>
      </c>
      <c r="E76" s="26">
        <f>E35-E74</f>
        <v>0</v>
      </c>
      <c r="F76" s="26">
        <f>F35-F74</f>
        <v>0</v>
      </c>
      <c r="G76" s="26">
        <f>G35-G74</f>
        <v>0</v>
      </c>
      <c r="H76" s="26">
        <f t="shared" ref="H76:Q76" si="1">K35-K74</f>
        <v>0</v>
      </c>
      <c r="I76" s="26">
        <f t="shared" si="1"/>
        <v>0</v>
      </c>
      <c r="J76" s="26">
        <f t="shared" si="1"/>
        <v>0</v>
      </c>
      <c r="K76" s="26">
        <f t="shared" si="1"/>
        <v>0</v>
      </c>
      <c r="L76" s="26">
        <f t="shared" si="1"/>
        <v>0</v>
      </c>
      <c r="M76" s="26">
        <f t="shared" si="1"/>
        <v>0</v>
      </c>
      <c r="N76" s="26">
        <f t="shared" si="1"/>
        <v>0</v>
      </c>
      <c r="O76" s="26">
        <f t="shared" si="1"/>
        <v>0</v>
      </c>
      <c r="P76" s="26">
        <f t="shared" si="1"/>
        <v>0</v>
      </c>
      <c r="Q76" s="26">
        <f t="shared" si="1"/>
        <v>0</v>
      </c>
    </row>
    <row r="79" spans="1:20" ht="15.75">
      <c r="A79" s="483" t="s">
        <v>455</v>
      </c>
      <c r="B79" s="484"/>
      <c r="C79" s="412"/>
      <c r="D79" s="485"/>
      <c r="E79" s="485"/>
      <c r="F79" s="412"/>
      <c r="G79" s="486"/>
      <c r="H79" s="486"/>
      <c r="I79" s="486"/>
      <c r="J79" s="412"/>
      <c r="K79" s="412"/>
      <c r="L79" s="412"/>
      <c r="M79" s="412"/>
      <c r="N79" s="412"/>
      <c r="O79" s="412"/>
      <c r="P79" s="412"/>
      <c r="Q79" s="412"/>
      <c r="R79" s="412"/>
      <c r="S79" s="379"/>
      <c r="T79" s="379"/>
    </row>
    <row r="80" spans="1:20">
      <c r="D80" s="480"/>
      <c r="E80" s="480"/>
      <c r="F80" s="323"/>
      <c r="G80" s="309" t="s">
        <v>203</v>
      </c>
      <c r="H80" s="328"/>
      <c r="I80" s="323"/>
      <c r="J80" s="323"/>
      <c r="K80" s="246"/>
      <c r="L80" s="323"/>
      <c r="M80" s="246"/>
      <c r="N80" s="246"/>
      <c r="O80" s="246"/>
      <c r="P80" s="246"/>
      <c r="Q80" s="292"/>
    </row>
    <row r="81" spans="1:20">
      <c r="D81" s="256">
        <v>1998</v>
      </c>
      <c r="E81" s="256">
        <v>1999</v>
      </c>
      <c r="F81" s="256">
        <v>2000</v>
      </c>
      <c r="G81" s="256">
        <v>2001</v>
      </c>
      <c r="H81" s="1034"/>
      <c r="I81" s="1031"/>
      <c r="J81" s="289" t="s">
        <v>459</v>
      </c>
      <c r="K81" s="289">
        <v>2002</v>
      </c>
      <c r="L81" s="289">
        <v>2003</v>
      </c>
      <c r="M81" s="289">
        <v>2004</v>
      </c>
      <c r="N81" s="289">
        <v>2005</v>
      </c>
      <c r="O81" s="289">
        <v>2006</v>
      </c>
      <c r="P81" s="293">
        <v>2007</v>
      </c>
      <c r="Q81" s="293">
        <v>2008</v>
      </c>
      <c r="R81" s="293">
        <v>2009</v>
      </c>
      <c r="S81" s="293">
        <v>2010</v>
      </c>
      <c r="T81" s="465">
        <v>2011</v>
      </c>
    </row>
    <row r="82" spans="1:20">
      <c r="D82" s="24"/>
      <c r="E82" s="24"/>
      <c r="F82" s="348" t="s">
        <v>213</v>
      </c>
      <c r="G82" s="256">
        <v>1</v>
      </c>
      <c r="H82" s="769"/>
      <c r="I82" s="770"/>
      <c r="J82" s="289">
        <v>1</v>
      </c>
      <c r="K82" s="289">
        <v>2</v>
      </c>
      <c r="L82" s="289">
        <v>3</v>
      </c>
      <c r="M82" s="289">
        <v>4</v>
      </c>
      <c r="N82" s="289">
        <v>5</v>
      </c>
      <c r="O82" s="289">
        <v>6</v>
      </c>
      <c r="P82" s="289">
        <v>7</v>
      </c>
      <c r="Q82" s="289">
        <v>8</v>
      </c>
      <c r="R82" s="289">
        <v>9</v>
      </c>
      <c r="S82" s="289">
        <v>10</v>
      </c>
      <c r="T82" s="389">
        <v>11</v>
      </c>
    </row>
    <row r="83" spans="1:20">
      <c r="A83" t="s">
        <v>456</v>
      </c>
      <c r="J83" s="778"/>
      <c r="K83" s="755">
        <v>120</v>
      </c>
      <c r="L83" s="755">
        <v>120</v>
      </c>
      <c r="M83" s="755">
        <v>120</v>
      </c>
      <c r="N83" s="755">
        <v>120</v>
      </c>
      <c r="O83" s="755">
        <v>120</v>
      </c>
      <c r="P83" s="755">
        <v>120</v>
      </c>
      <c r="Q83" s="755">
        <v>120</v>
      </c>
      <c r="R83" s="755">
        <v>120</v>
      </c>
      <c r="S83" s="755">
        <v>120</v>
      </c>
      <c r="T83" s="755">
        <v>120</v>
      </c>
    </row>
    <row r="84" spans="1:20">
      <c r="A84" t="s">
        <v>460</v>
      </c>
      <c r="J84" s="778"/>
      <c r="K84" s="780">
        <v>0.05</v>
      </c>
      <c r="L84" s="780">
        <v>0.05</v>
      </c>
      <c r="M84" s="780">
        <v>0.05</v>
      </c>
      <c r="N84" s="780">
        <v>0.05</v>
      </c>
      <c r="O84" s="780">
        <v>0.05</v>
      </c>
      <c r="P84" s="780">
        <v>0.05</v>
      </c>
      <c r="Q84" s="780">
        <v>0.05</v>
      </c>
      <c r="R84" s="780">
        <v>0.05</v>
      </c>
      <c r="S84" s="780">
        <v>0.05</v>
      </c>
      <c r="T84" s="780">
        <v>0.05</v>
      </c>
    </row>
    <row r="85" spans="1:20">
      <c r="A85" t="s">
        <v>461</v>
      </c>
      <c r="J85" s="778"/>
      <c r="K85" s="755">
        <v>30</v>
      </c>
      <c r="L85" s="755">
        <v>30</v>
      </c>
      <c r="M85" s="755">
        <v>30</v>
      </c>
      <c r="N85" s="755">
        <v>30</v>
      </c>
      <c r="O85" s="755">
        <v>30</v>
      </c>
      <c r="P85" s="755">
        <v>30</v>
      </c>
      <c r="Q85" s="755">
        <v>30</v>
      </c>
      <c r="R85" s="755">
        <v>30</v>
      </c>
      <c r="S85" s="755">
        <v>30</v>
      </c>
      <c r="T85" s="755">
        <v>30</v>
      </c>
    </row>
    <row r="86" spans="1:20">
      <c r="A86" t="s">
        <v>457</v>
      </c>
      <c r="J86" s="778"/>
      <c r="K86" s="755">
        <v>60</v>
      </c>
      <c r="L86" s="755">
        <v>60</v>
      </c>
      <c r="M86" s="755">
        <v>60</v>
      </c>
      <c r="N86" s="755">
        <v>60</v>
      </c>
      <c r="O86" s="755">
        <v>60</v>
      </c>
      <c r="P86" s="755">
        <v>60</v>
      </c>
      <c r="Q86" s="755">
        <v>60</v>
      </c>
      <c r="R86" s="755">
        <v>60</v>
      </c>
      <c r="S86" s="755">
        <v>60</v>
      </c>
      <c r="T86" s="755">
        <v>60</v>
      </c>
    </row>
    <row r="87" spans="1:20">
      <c r="A87" t="s">
        <v>458</v>
      </c>
      <c r="J87" s="778"/>
      <c r="K87" s="755">
        <v>45</v>
      </c>
      <c r="L87" s="755">
        <v>45</v>
      </c>
      <c r="M87" s="755">
        <v>45</v>
      </c>
      <c r="N87" s="755">
        <v>45</v>
      </c>
      <c r="O87" s="755">
        <v>45</v>
      </c>
      <c r="P87" s="755">
        <v>45</v>
      </c>
      <c r="Q87" s="755">
        <v>45</v>
      </c>
      <c r="R87" s="755">
        <v>45</v>
      </c>
      <c r="S87" s="755">
        <v>45</v>
      </c>
      <c r="T87" s="755">
        <v>45</v>
      </c>
    </row>
  </sheetData>
  <mergeCells count="2">
    <mergeCell ref="H8:I8"/>
    <mergeCell ref="H81:I8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3"/>
  <sheetViews>
    <sheetView showGridLines="0" zoomScale="75" workbookViewId="0">
      <selection activeCell="H13" sqref="H13"/>
    </sheetView>
  </sheetViews>
  <sheetFormatPr defaultRowHeight="12.75"/>
  <sheetData>
    <row r="1" spans="1:4" ht="20.25">
      <c r="A1" s="714" t="str">
        <f>"Project "&amp;Assumptions!D6</f>
        <v>Project ETS</v>
      </c>
      <c r="B1" s="114"/>
      <c r="C1" s="114"/>
      <c r="D1" s="115"/>
    </row>
    <row r="2" spans="1:4" ht="15.75">
      <c r="A2" s="715" t="str">
        <f>'Org Chart'!B5</f>
        <v>Northern Natural</v>
      </c>
      <c r="B2" s="141"/>
      <c r="C2" s="34"/>
      <c r="D2" s="117"/>
    </row>
    <row r="3" spans="1:4" ht="16.5" thickBot="1">
      <c r="A3" s="639" t="s">
        <v>349</v>
      </c>
      <c r="B3" s="640"/>
      <c r="C3" s="120"/>
      <c r="D3" s="121"/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R29"/>
  <sheetViews>
    <sheetView showGridLines="0" zoomScale="75" workbookViewId="0">
      <selection activeCell="H24" sqref="H24"/>
    </sheetView>
  </sheetViews>
  <sheetFormatPr defaultRowHeight="12.75"/>
  <cols>
    <col min="1" max="1" width="2.28515625" customWidth="1"/>
    <col min="2" max="2" width="23" customWidth="1"/>
    <col min="3" max="3" width="14" customWidth="1"/>
    <col min="4" max="4" width="10.5703125" customWidth="1"/>
    <col min="5" max="18" width="11.7109375" customWidth="1"/>
  </cols>
  <sheetData>
    <row r="1" spans="1:18" ht="18">
      <c r="A1" s="478" t="str">
        <f>Assumptions!D6</f>
        <v>ETS</v>
      </c>
      <c r="B1" s="516"/>
      <c r="C1" s="114"/>
      <c r="D1" s="114"/>
      <c r="E1" s="115"/>
    </row>
    <row r="2" spans="1:18" ht="16.5" thickBot="1">
      <c r="A2" s="479" t="s">
        <v>242</v>
      </c>
      <c r="B2" s="517"/>
      <c r="C2" s="120"/>
      <c r="D2" s="120"/>
      <c r="E2" s="121"/>
    </row>
    <row r="4" spans="1:18" ht="18">
      <c r="A4" s="160" t="s">
        <v>224</v>
      </c>
    </row>
    <row r="6" spans="1:18">
      <c r="A6" t="s">
        <v>243</v>
      </c>
    </row>
    <row r="8" spans="1:18" ht="18">
      <c r="A8" s="160" t="s">
        <v>225</v>
      </c>
      <c r="B8" s="6"/>
    </row>
    <row r="9" spans="1:18" ht="15.75">
      <c r="A9" s="483" t="s">
        <v>242</v>
      </c>
      <c r="B9" s="402"/>
      <c r="C9" s="412"/>
      <c r="D9" s="412"/>
      <c r="E9" s="412"/>
      <c r="F9" s="412"/>
      <c r="G9" s="412"/>
      <c r="H9" s="412"/>
      <c r="I9" s="412"/>
      <c r="J9" s="412"/>
      <c r="K9" s="412"/>
      <c r="L9" s="412"/>
      <c r="M9" s="412"/>
      <c r="N9" s="412"/>
      <c r="O9" s="412"/>
      <c r="P9" s="412"/>
      <c r="Q9" s="412"/>
      <c r="R9" s="412"/>
    </row>
    <row r="10" spans="1:18">
      <c r="A10" t="s">
        <v>267</v>
      </c>
      <c r="E10" s="480"/>
      <c r="F10" s="480"/>
      <c r="G10" s="323"/>
      <c r="H10" s="309" t="s">
        <v>203</v>
      </c>
      <c r="I10" s="328"/>
      <c r="J10" s="323"/>
      <c r="K10" s="323"/>
      <c r="L10" s="246"/>
      <c r="M10" s="323"/>
      <c r="N10" s="246"/>
      <c r="O10" s="246"/>
      <c r="P10" s="246"/>
      <c r="Q10" s="246"/>
      <c r="R10" s="292"/>
    </row>
    <row r="11" spans="1:18">
      <c r="A11" t="s">
        <v>244</v>
      </c>
      <c r="E11" s="256">
        <v>1998</v>
      </c>
      <c r="F11" s="256">
        <v>1999</v>
      </c>
      <c r="G11" s="256">
        <v>2000</v>
      </c>
      <c r="H11" s="256">
        <v>2001</v>
      </c>
      <c r="I11" s="289">
        <v>2002</v>
      </c>
      <c r="J11" s="289">
        <v>2003</v>
      </c>
      <c r="K11" s="289">
        <v>2004</v>
      </c>
      <c r="L11" s="289">
        <v>2005</v>
      </c>
      <c r="M11" s="289">
        <v>2006</v>
      </c>
      <c r="N11" s="293">
        <v>2007</v>
      </c>
      <c r="O11" s="293">
        <v>2008</v>
      </c>
      <c r="P11" s="293">
        <v>2009</v>
      </c>
      <c r="Q11" s="293">
        <v>2010</v>
      </c>
      <c r="R11" s="465">
        <v>2011</v>
      </c>
    </row>
    <row r="12" spans="1:18">
      <c r="D12" s="6" t="s">
        <v>256</v>
      </c>
      <c r="E12" s="24"/>
      <c r="F12" s="24"/>
      <c r="G12" s="487" t="s">
        <v>213</v>
      </c>
      <c r="H12" s="256">
        <v>1</v>
      </c>
      <c r="I12" s="289">
        <v>2</v>
      </c>
      <c r="J12" s="289">
        <v>3</v>
      </c>
      <c r="K12" s="289">
        <v>4</v>
      </c>
      <c r="L12" s="289">
        <v>5</v>
      </c>
      <c r="M12" s="289">
        <v>6</v>
      </c>
      <c r="N12" s="289">
        <v>7</v>
      </c>
      <c r="O12" s="289">
        <v>8</v>
      </c>
      <c r="P12" s="289">
        <v>9</v>
      </c>
      <c r="Q12" s="289">
        <v>10</v>
      </c>
      <c r="R12" s="389">
        <v>11</v>
      </c>
    </row>
    <row r="13" spans="1:18">
      <c r="A13" s="6" t="s">
        <v>248</v>
      </c>
      <c r="E13" s="24"/>
      <c r="F13" s="24"/>
      <c r="G13" s="487"/>
      <c r="H13" s="395"/>
      <c r="I13" s="396"/>
      <c r="J13" s="396"/>
      <c r="K13" s="396"/>
      <c r="L13" s="396"/>
      <c r="M13" s="396"/>
      <c r="N13" s="396"/>
      <c r="O13" s="396"/>
      <c r="P13" s="396"/>
      <c r="Q13" s="396"/>
      <c r="R13" s="290"/>
    </row>
    <row r="14" spans="1:18">
      <c r="B14" t="s">
        <v>246</v>
      </c>
      <c r="D14" s="526">
        <v>1</v>
      </c>
      <c r="E14" s="206"/>
      <c r="F14" s="541">
        <v>117600</v>
      </c>
      <c r="G14" s="541">
        <v>116600</v>
      </c>
      <c r="H14" s="542">
        <f>IF($D$14=1,G14*Curves!D17,0)</f>
        <v>118932</v>
      </c>
      <c r="I14" s="542">
        <f>IF($D$14=1,H14*Curves!E17,0)</f>
        <v>121310.64</v>
      </c>
      <c r="J14" s="542">
        <f>IF($D$14=1,I14*Curves!F17,0)</f>
        <v>123736.85280000001</v>
      </c>
      <c r="K14" s="542">
        <f>IF($D$14=1,J14*Curves!G17,0)</f>
        <v>126211.58985600001</v>
      </c>
      <c r="L14" s="542">
        <f>IF($D$14=1,K14*Curves!H17,0)</f>
        <v>128735.82165312</v>
      </c>
      <c r="M14" s="542">
        <f>IF($D$14=1,L14*Curves!I17,0)</f>
        <v>131310.53808618241</v>
      </c>
      <c r="N14" s="542">
        <f>IF($D$14=1,M14*Curves!J17,0)</f>
        <v>133936.74884790607</v>
      </c>
      <c r="O14" s="542">
        <f>IF($D$14=1,N14*Curves!K17,0)</f>
        <v>136615.4838248642</v>
      </c>
      <c r="P14" s="542">
        <f>IF($D$14=1,O14*Curves!L17,0)</f>
        <v>139347.79350136148</v>
      </c>
      <c r="Q14" s="542">
        <f>IF($D$14=1,P14*Curves!M17,0)</f>
        <v>142134.74937138872</v>
      </c>
      <c r="R14" s="542">
        <f>IF($D$14=1,Q14*Curves!N17,0)</f>
        <v>144977.44435881649</v>
      </c>
    </row>
    <row r="15" spans="1:18">
      <c r="B15" t="s">
        <v>247</v>
      </c>
      <c r="D15" s="527">
        <v>1</v>
      </c>
      <c r="E15" s="533"/>
      <c r="F15" s="541">
        <v>135900</v>
      </c>
      <c r="G15" s="541">
        <v>158600</v>
      </c>
      <c r="H15" s="542">
        <f>IF($D$15=1,G15*Curves!D18,0)</f>
        <v>163358</v>
      </c>
      <c r="I15" s="542">
        <f>IF($D$15=1,H15*Curves!E18,0)</f>
        <v>168258.74</v>
      </c>
      <c r="J15" s="542">
        <f>IF($D$15=1,I15*Curves!F18,0)</f>
        <v>173306.50219999999</v>
      </c>
      <c r="K15" s="542">
        <f>IF($D$15=1,J15*Curves!G18,0)</f>
        <v>180238.762288</v>
      </c>
      <c r="L15" s="542">
        <f>IF($D$15=1,K15*Curves!H18,0)</f>
        <v>189250.70040240002</v>
      </c>
      <c r="M15" s="542">
        <f>IF($D$15=1,L15*Curves!I18,0)</f>
        <v>198713.23542252003</v>
      </c>
      <c r="N15" s="542">
        <f>IF($D$15=1,M15*Curves!J18,0)</f>
        <v>208648.89719364603</v>
      </c>
      <c r="O15" s="542">
        <f>IF($D$15=1,N15*Curves!K18,0)</f>
        <v>219081.34205332835</v>
      </c>
      <c r="P15" s="542">
        <f>IF($D$15=1,O15*Curves!L18,0)</f>
        <v>230035.40915599477</v>
      </c>
      <c r="Q15" s="542">
        <f>IF($D$15=1,P15*Curves!M18,0)</f>
        <v>236936.47143067463</v>
      </c>
      <c r="R15" s="542">
        <f>IF($D$15=1,Q15*Curves!N18,0)</f>
        <v>244044.56557359488</v>
      </c>
    </row>
    <row r="16" spans="1:18">
      <c r="A16" s="6" t="s">
        <v>253</v>
      </c>
      <c r="E16" s="209"/>
      <c r="F16" s="520"/>
      <c r="G16" s="520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 spans="1:18">
      <c r="B17" t="s">
        <v>249</v>
      </c>
      <c r="D17" s="526">
        <v>1</v>
      </c>
      <c r="E17" s="209"/>
      <c r="F17" s="520"/>
      <c r="G17" s="520"/>
      <c r="H17" s="543">
        <f>IF(D17=1,5700*Curves!D25,0)</f>
        <v>5700</v>
      </c>
      <c r="I17" s="543">
        <f>IF(D17=1,68200*Curves!E25,0)</f>
        <v>68200</v>
      </c>
      <c r="J17" s="542">
        <f>IF($D$17=1,I17*Curves!F19*Curves!F25,0)</f>
        <v>68882</v>
      </c>
      <c r="K17" s="542">
        <f>IF($D$17=1,J17*Curves!G19*Curves!G25,0)</f>
        <v>69570.820000000007</v>
      </c>
      <c r="L17" s="542">
        <f>IF($D$17=1,K17*Curves!H19*Curves!H25,0)</f>
        <v>70266.528200000001</v>
      </c>
      <c r="M17" s="542">
        <f>IF($D$17=1,L17*Curves!I19*Curves!I25,0)</f>
        <v>70969.193482000002</v>
      </c>
      <c r="N17" s="542">
        <f>IF($D$17=1,M17*Curves!J19*Curves!J25,0)</f>
        <v>71678.885416820005</v>
      </c>
      <c r="O17" s="542">
        <f>IF($D$17=1,N17*Curves!K19*Curves!K25,0)</f>
        <v>72395.674270988209</v>
      </c>
      <c r="P17" s="542">
        <f>IF($D$17=1,O17*Curves!L19*Curves!L25,0)</f>
        <v>73119.63101369809</v>
      </c>
      <c r="Q17" s="542">
        <f>IF($D$17=1,P17*Curves!M19*Curves!M25,0)</f>
        <v>73850.827323835067</v>
      </c>
      <c r="R17" s="542">
        <f>IF($D$17=1,Q17*Curves!N19*Curves!N25,0)</f>
        <v>74589.335597073412</v>
      </c>
    </row>
    <row r="18" spans="1:18">
      <c r="B18" t="s">
        <v>250</v>
      </c>
      <c r="D18" s="528">
        <v>0</v>
      </c>
      <c r="E18" s="209"/>
      <c r="F18" s="520"/>
      <c r="G18" s="520"/>
      <c r="H18" s="543">
        <v>0</v>
      </c>
      <c r="I18" s="543">
        <f>IF(D18=1,38300*Curves!E26,0)</f>
        <v>0</v>
      </c>
      <c r="J18" s="543">
        <f>IF(D18=1,76700*Curves!F26,0)</f>
        <v>0</v>
      </c>
      <c r="K18" s="542">
        <f>IF($D$18=1,J18*Curves!G20*Curves!G26,0)</f>
        <v>0</v>
      </c>
      <c r="L18" s="542">
        <f>IF($D$18=1,K18*Curves!H20*Curves!H26,0)</f>
        <v>0</v>
      </c>
      <c r="M18" s="542">
        <f>IF($D$18=1,L18*Curves!I20*Curves!I26,0)</f>
        <v>0</v>
      </c>
      <c r="N18" s="542">
        <f>IF($D$18=1,M18*Curves!J20*Curves!J26,0)</f>
        <v>0</v>
      </c>
      <c r="O18" s="542">
        <f>IF($D$18=1,N18*Curves!K20*Curves!K26,0)</f>
        <v>0</v>
      </c>
      <c r="P18" s="542">
        <f>IF($D$18=1,O18*Curves!L20*Curves!L26,0)</f>
        <v>0</v>
      </c>
      <c r="Q18" s="542">
        <f>IF($D$18=1,P18*Curves!M20*Curves!M26,0)</f>
        <v>0</v>
      </c>
      <c r="R18" s="542">
        <f>IF($D$18=1,Q18*Curves!N20*Curves!N26,0)</f>
        <v>0</v>
      </c>
    </row>
    <row r="19" spans="1:18">
      <c r="B19" t="s">
        <v>255</v>
      </c>
      <c r="D19" s="527">
        <v>1</v>
      </c>
      <c r="E19" s="518"/>
      <c r="F19" s="519"/>
      <c r="G19" s="519"/>
      <c r="H19" s="292"/>
      <c r="I19" s="292"/>
      <c r="J19" s="292"/>
      <c r="K19" s="292"/>
      <c r="L19" s="292"/>
      <c r="M19" s="292"/>
      <c r="N19" s="292"/>
      <c r="O19" s="292"/>
      <c r="P19" s="292"/>
      <c r="Q19" s="292"/>
      <c r="R19" s="292"/>
    </row>
    <row r="20" spans="1:18">
      <c r="A20" s="6" t="s">
        <v>245</v>
      </c>
      <c r="E20" s="204"/>
      <c r="F20" s="544">
        <f>SUM(F14:F19)</f>
        <v>253500</v>
      </c>
      <c r="G20" s="544">
        <f t="shared" ref="G20:M20" si="0">SUM(G14:G19)</f>
        <v>275200</v>
      </c>
      <c r="H20" s="545">
        <f t="shared" si="0"/>
        <v>287990</v>
      </c>
      <c r="I20" s="545">
        <f t="shared" si="0"/>
        <v>357769.38</v>
      </c>
      <c r="J20" s="545">
        <f t="shared" si="0"/>
        <v>365925.35499999998</v>
      </c>
      <c r="K20" s="545">
        <f t="shared" si="0"/>
        <v>376021.17214400001</v>
      </c>
      <c r="L20" s="545">
        <f t="shared" si="0"/>
        <v>388253.05025552004</v>
      </c>
      <c r="M20" s="545">
        <f t="shared" si="0"/>
        <v>400992.96699070244</v>
      </c>
      <c r="N20" s="545">
        <f>SUM(N14:N19)</f>
        <v>414264.53145837208</v>
      </c>
      <c r="O20" s="545">
        <f>SUM(O14:O19)</f>
        <v>428092.50014918076</v>
      </c>
      <c r="P20" s="545">
        <f>SUM(P14:P19)</f>
        <v>442502.83367105434</v>
      </c>
      <c r="Q20" s="545">
        <f>SUM(Q14:Q19)</f>
        <v>452922.04812589841</v>
      </c>
      <c r="R20" s="545">
        <f>SUM(R14:R19)</f>
        <v>463611.3455294848</v>
      </c>
    </row>
    <row r="21" spans="1:18">
      <c r="D21" s="292"/>
      <c r="E21" s="16"/>
      <c r="F21" s="16"/>
      <c r="G21" s="16"/>
    </row>
    <row r="22" spans="1:18">
      <c r="A22" s="6" t="s">
        <v>150</v>
      </c>
      <c r="D22" s="527">
        <v>1</v>
      </c>
      <c r="E22" s="16"/>
      <c r="F22" s="16"/>
      <c r="G22" s="562">
        <v>117500</v>
      </c>
      <c r="H22" s="10">
        <f>IF($D$22=1,G22*Curves!D22,0)</f>
        <v>123375</v>
      </c>
      <c r="I22" s="10">
        <f>IF($D$22=1,H22*Curves!E22,0)</f>
        <v>129543.75</v>
      </c>
      <c r="J22" s="10">
        <f>IF($D$22=1,I22*Curves!F22,0)</f>
        <v>136020.9375</v>
      </c>
      <c r="K22" s="10">
        <f>IF($D$22=1,J22*Curves!G22,0)</f>
        <v>142821.984375</v>
      </c>
      <c r="L22" s="10">
        <f>IF($D$22=1,K22*Curves!H22,0)</f>
        <v>149963.08359374999</v>
      </c>
      <c r="M22" s="10">
        <f>IF($D$22=1,L22*Curves!I22,0)</f>
        <v>157461.23777343749</v>
      </c>
      <c r="N22" s="10">
        <f>IF($D$22=1,M22*Curves!J22,0)</f>
        <v>162185.07490664063</v>
      </c>
      <c r="O22" s="10">
        <f>IF($D$22=1,N22*Curves!K22,0)</f>
        <v>167050.62715383986</v>
      </c>
      <c r="P22" s="10">
        <f>IF($D$22=1,O22*Curves!L22,0)</f>
        <v>172062.14596845506</v>
      </c>
      <c r="Q22" s="10">
        <f>IF($D$22=1,P22*Curves!M22,0)</f>
        <v>177224.01034750871</v>
      </c>
      <c r="R22" s="10">
        <f>IF($D$22=1,Q22*Curves!N22,0)</f>
        <v>182540.73065793398</v>
      </c>
    </row>
    <row r="23" spans="1:18">
      <c r="E23" s="24"/>
      <c r="F23" s="24"/>
      <c r="G23" s="24"/>
      <c r="H23" s="24"/>
    </row>
    <row r="24" spans="1:18">
      <c r="A24" s="56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>
      <c r="A25" s="24"/>
      <c r="B25" s="24"/>
      <c r="C25" s="24"/>
      <c r="D25" s="24"/>
      <c r="E25" s="24"/>
      <c r="F25" s="24"/>
      <c r="G25" s="24"/>
      <c r="H25" s="534"/>
      <c r="I25" s="113"/>
      <c r="J25" s="113"/>
      <c r="K25" s="113"/>
      <c r="L25" s="113"/>
      <c r="M25" s="113"/>
      <c r="N25" s="113"/>
      <c r="O25" s="113"/>
      <c r="P25" s="113"/>
      <c r="Q25" s="113"/>
      <c r="R25" s="113"/>
    </row>
    <row r="26" spans="1:18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>
      <c r="A27" s="24"/>
      <c r="B27" s="24"/>
      <c r="C27" s="24"/>
      <c r="D27" s="24"/>
      <c r="E27" s="24"/>
      <c r="F27" s="24"/>
      <c r="G27" s="24"/>
      <c r="H27" s="535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N55"/>
  <sheetViews>
    <sheetView showGridLines="0" zoomScale="75" workbookViewId="0">
      <selection activeCell="A34" sqref="A34"/>
    </sheetView>
  </sheetViews>
  <sheetFormatPr defaultRowHeight="12.75" outlineLevelRow="1"/>
  <cols>
    <col min="1" max="1" width="1.85546875" customWidth="1"/>
    <col min="2" max="2" width="19" customWidth="1"/>
    <col min="3" max="3" width="13.7109375" customWidth="1"/>
  </cols>
  <sheetData>
    <row r="1" spans="1:14" ht="18">
      <c r="A1" s="478" t="str">
        <f>Assumptions!D6</f>
        <v>ETS</v>
      </c>
      <c r="B1" s="516"/>
      <c r="C1" s="114"/>
      <c r="D1" s="114"/>
      <c r="E1" s="115"/>
    </row>
    <row r="2" spans="1:14" ht="15.75">
      <c r="A2" s="637" t="s">
        <v>242</v>
      </c>
      <c r="B2" s="638"/>
      <c r="C2" s="34"/>
      <c r="D2" s="34"/>
      <c r="E2" s="117"/>
    </row>
    <row r="3" spans="1:14" ht="16.5" thickBot="1">
      <c r="A3" s="479" t="s">
        <v>320</v>
      </c>
      <c r="B3" s="120"/>
      <c r="C3" s="120"/>
      <c r="D3" s="120"/>
      <c r="E3" s="121"/>
    </row>
    <row r="4" spans="1:14" hidden="1" outlineLevel="1">
      <c r="C4" s="323"/>
      <c r="D4" s="309" t="s">
        <v>203</v>
      </c>
      <c r="E4" s="328"/>
      <c r="F4" s="323"/>
      <c r="G4" s="323"/>
      <c r="H4" s="246"/>
      <c r="I4" s="323"/>
      <c r="J4" s="246"/>
      <c r="K4" s="246"/>
      <c r="L4" s="246"/>
      <c r="M4" s="246"/>
      <c r="N4" s="292"/>
    </row>
    <row r="5" spans="1:14" hidden="1" outlineLevel="1">
      <c r="C5" s="256"/>
      <c r="D5" s="256">
        <v>2001</v>
      </c>
      <c r="E5" s="289">
        <v>2002</v>
      </c>
      <c r="F5" s="289">
        <v>2003</v>
      </c>
      <c r="G5" s="289">
        <v>2004</v>
      </c>
      <c r="H5" s="289">
        <v>2005</v>
      </c>
      <c r="I5" s="289">
        <v>2006</v>
      </c>
      <c r="J5" s="293">
        <v>2007</v>
      </c>
      <c r="K5" s="293">
        <v>2008</v>
      </c>
      <c r="L5" s="293">
        <v>2009</v>
      </c>
      <c r="M5" s="293">
        <v>2010</v>
      </c>
      <c r="N5" s="465">
        <v>2011</v>
      </c>
    </row>
    <row r="6" spans="1:14" hidden="1" outlineLevel="1">
      <c r="C6" s="487" t="s">
        <v>213</v>
      </c>
      <c r="D6" s="256">
        <v>1</v>
      </c>
      <c r="E6" s="289">
        <v>2</v>
      </c>
      <c r="F6" s="289">
        <v>3</v>
      </c>
      <c r="G6" s="289">
        <v>4</v>
      </c>
      <c r="H6" s="289">
        <v>5</v>
      </c>
      <c r="I6" s="289">
        <v>6</v>
      </c>
      <c r="J6" s="289">
        <v>7</v>
      </c>
      <c r="K6" s="289">
        <v>8</v>
      </c>
      <c r="L6" s="289">
        <v>9</v>
      </c>
      <c r="M6" s="289">
        <v>10</v>
      </c>
      <c r="N6" s="389">
        <v>11</v>
      </c>
    </row>
    <row r="7" spans="1:14" hidden="1" outlineLevel="1">
      <c r="C7" s="487"/>
      <c r="D7" s="395"/>
      <c r="E7" s="396"/>
      <c r="F7" s="396"/>
      <c r="G7" s="396"/>
      <c r="H7" s="396"/>
      <c r="I7" s="396"/>
      <c r="J7" s="396"/>
      <c r="K7" s="396"/>
      <c r="L7" s="396"/>
      <c r="M7" s="396"/>
      <c r="N7" s="290"/>
    </row>
    <row r="8" spans="1:14" ht="18" hidden="1" outlineLevel="1">
      <c r="A8" s="160" t="s">
        <v>224</v>
      </c>
      <c r="C8" s="487"/>
      <c r="D8" s="395"/>
      <c r="E8" s="396"/>
      <c r="F8" s="396"/>
      <c r="G8" s="396"/>
      <c r="H8" s="396"/>
      <c r="I8" s="396"/>
      <c r="J8" s="396"/>
      <c r="K8" s="396"/>
      <c r="L8" s="396"/>
      <c r="M8" s="396"/>
      <c r="N8" s="290"/>
    </row>
    <row r="9" spans="1:14" hidden="1" outlineLevel="1">
      <c r="C9" s="487"/>
      <c r="D9" s="395"/>
      <c r="E9" s="396"/>
      <c r="F9" s="396"/>
      <c r="G9" s="396"/>
      <c r="H9" s="396"/>
      <c r="I9" s="396"/>
      <c r="J9" s="396"/>
      <c r="K9" s="396"/>
      <c r="L9" s="396"/>
      <c r="M9" s="396"/>
      <c r="N9" s="290"/>
    </row>
    <row r="10" spans="1:14" ht="18" hidden="1" outlineLevel="1">
      <c r="A10" s="160" t="s">
        <v>269</v>
      </c>
      <c r="C10" s="487"/>
      <c r="D10" s="395"/>
      <c r="E10" s="396"/>
      <c r="F10" s="396"/>
      <c r="G10" s="396"/>
      <c r="H10" s="396"/>
      <c r="I10" s="396"/>
      <c r="J10" s="396"/>
      <c r="K10" s="396"/>
      <c r="L10" s="396"/>
      <c r="M10" s="396"/>
      <c r="N10" s="290"/>
    </row>
    <row r="11" spans="1:14" hidden="1" outlineLevel="1">
      <c r="C11" s="487"/>
      <c r="D11" s="395"/>
      <c r="E11" s="396"/>
      <c r="F11" s="396"/>
      <c r="G11" s="396"/>
      <c r="H11" s="396"/>
      <c r="I11" s="396"/>
      <c r="J11" s="396"/>
      <c r="K11" s="396"/>
      <c r="L11" s="396"/>
      <c r="M11" s="396"/>
      <c r="N11" s="290"/>
    </row>
    <row r="12" spans="1:14" ht="18" collapsed="1">
      <c r="A12" s="160" t="s">
        <v>225</v>
      </c>
      <c r="C12" s="487"/>
      <c r="D12" s="395"/>
      <c r="E12" s="396"/>
      <c r="F12" s="396"/>
      <c r="G12" s="396"/>
      <c r="H12" s="396"/>
      <c r="I12" s="396"/>
      <c r="J12" s="396"/>
      <c r="K12" s="396"/>
      <c r="L12" s="396"/>
      <c r="M12" s="396"/>
      <c r="N12" s="290"/>
    </row>
    <row r="13" spans="1:14" ht="12.75" customHeight="1">
      <c r="A13" s="160"/>
      <c r="C13" s="323"/>
      <c r="D13" s="309" t="s">
        <v>203</v>
      </c>
      <c r="E13" s="328"/>
      <c r="F13" s="323"/>
      <c r="G13" s="323"/>
      <c r="H13" s="246"/>
      <c r="I13" s="323"/>
      <c r="J13" s="246"/>
      <c r="K13" s="246"/>
      <c r="L13" s="246"/>
      <c r="M13" s="246"/>
      <c r="N13" s="292"/>
    </row>
    <row r="14" spans="1:14" ht="12.75" customHeight="1">
      <c r="A14" s="160"/>
      <c r="C14" s="256"/>
      <c r="D14" s="256">
        <v>2001</v>
      </c>
      <c r="E14" s="289">
        <v>2002</v>
      </c>
      <c r="F14" s="289">
        <v>2003</v>
      </c>
      <c r="G14" s="289">
        <v>2004</v>
      </c>
      <c r="H14" s="289">
        <v>2005</v>
      </c>
      <c r="I14" s="289">
        <v>2006</v>
      </c>
      <c r="J14" s="293">
        <v>2007</v>
      </c>
      <c r="K14" s="293">
        <v>2008</v>
      </c>
      <c r="L14" s="293">
        <v>2009</v>
      </c>
      <c r="M14" s="293">
        <v>2010</v>
      </c>
      <c r="N14" s="465">
        <v>2011</v>
      </c>
    </row>
    <row r="15" spans="1:14" ht="12.75" customHeight="1">
      <c r="A15" s="160"/>
      <c r="C15" s="487" t="s">
        <v>213</v>
      </c>
      <c r="D15" s="256">
        <v>1</v>
      </c>
      <c r="E15" s="289">
        <v>2</v>
      </c>
      <c r="F15" s="289">
        <v>3</v>
      </c>
      <c r="G15" s="289">
        <v>4</v>
      </c>
      <c r="H15" s="289">
        <v>5</v>
      </c>
      <c r="I15" s="289">
        <v>6</v>
      </c>
      <c r="J15" s="289">
        <v>7</v>
      </c>
      <c r="K15" s="289">
        <v>8</v>
      </c>
      <c r="L15" s="289">
        <v>9</v>
      </c>
      <c r="M15" s="289">
        <v>10</v>
      </c>
      <c r="N15" s="389">
        <v>11</v>
      </c>
    </row>
    <row r="16" spans="1:14" ht="15.75">
      <c r="A16" s="483" t="s">
        <v>257</v>
      </c>
      <c r="B16" s="412"/>
      <c r="C16" s="412"/>
      <c r="D16" s="412"/>
      <c r="E16" s="412"/>
      <c r="F16" s="412"/>
      <c r="G16" s="412"/>
      <c r="H16" s="412"/>
      <c r="I16" s="412"/>
      <c r="J16" s="412"/>
      <c r="K16" s="412"/>
      <c r="L16" s="412"/>
      <c r="M16" s="412"/>
      <c r="N16" s="412"/>
    </row>
    <row r="17" spans="1:14">
      <c r="A17" s="494"/>
      <c r="B17" s="495" t="s">
        <v>246</v>
      </c>
      <c r="C17" s="495"/>
      <c r="D17" s="552">
        <v>1.02</v>
      </c>
      <c r="E17" s="552">
        <v>1.02</v>
      </c>
      <c r="F17" s="552">
        <v>1.02</v>
      </c>
      <c r="G17" s="552">
        <v>1.02</v>
      </c>
      <c r="H17" s="552">
        <v>1.02</v>
      </c>
      <c r="I17" s="552">
        <v>1.02</v>
      </c>
      <c r="J17" s="552">
        <v>1.02</v>
      </c>
      <c r="K17" s="552">
        <v>1.02</v>
      </c>
      <c r="L17" s="552">
        <v>1.02</v>
      </c>
      <c r="M17" s="552">
        <v>1.02</v>
      </c>
      <c r="N17" s="553">
        <v>1.02</v>
      </c>
    </row>
    <row r="18" spans="1:14">
      <c r="A18" s="496"/>
      <c r="B18" s="34" t="s">
        <v>247</v>
      </c>
      <c r="C18" s="34"/>
      <c r="D18" s="286">
        <v>1.03</v>
      </c>
      <c r="E18" s="286">
        <v>1.03</v>
      </c>
      <c r="F18" s="286">
        <v>1.03</v>
      </c>
      <c r="G18" s="286">
        <v>1.04</v>
      </c>
      <c r="H18" s="286">
        <v>1.05</v>
      </c>
      <c r="I18" s="286">
        <v>1.05</v>
      </c>
      <c r="J18" s="286">
        <v>1.05</v>
      </c>
      <c r="K18" s="286">
        <v>1.05</v>
      </c>
      <c r="L18" s="286">
        <v>1.05</v>
      </c>
      <c r="M18" s="286">
        <v>1.03</v>
      </c>
      <c r="N18" s="554">
        <v>1.03</v>
      </c>
    </row>
    <row r="19" spans="1:14">
      <c r="A19" s="496"/>
      <c r="B19" s="34" t="s">
        <v>249</v>
      </c>
      <c r="C19" s="34"/>
      <c r="D19" s="286" t="s">
        <v>193</v>
      </c>
      <c r="E19" s="286" t="s">
        <v>193</v>
      </c>
      <c r="F19" s="286">
        <v>1.01</v>
      </c>
      <c r="G19" s="286">
        <v>1.01</v>
      </c>
      <c r="H19" s="286">
        <v>1.01</v>
      </c>
      <c r="I19" s="286">
        <v>1.01</v>
      </c>
      <c r="J19" s="286">
        <v>1.01</v>
      </c>
      <c r="K19" s="286">
        <v>1.01</v>
      </c>
      <c r="L19" s="286">
        <v>1.01</v>
      </c>
      <c r="M19" s="286">
        <v>1.01</v>
      </c>
      <c r="N19" s="554">
        <v>1.01</v>
      </c>
    </row>
    <row r="20" spans="1:14">
      <c r="A20" s="496"/>
      <c r="B20" s="34" t="s">
        <v>250</v>
      </c>
      <c r="C20" s="34"/>
      <c r="D20" s="286" t="s">
        <v>193</v>
      </c>
      <c r="E20" s="286" t="s">
        <v>193</v>
      </c>
      <c r="F20" s="286" t="s">
        <v>193</v>
      </c>
      <c r="G20" s="286">
        <v>1.01</v>
      </c>
      <c r="H20" s="286">
        <v>1.01</v>
      </c>
      <c r="I20" s="286">
        <v>1.01</v>
      </c>
      <c r="J20" s="286">
        <v>1.01</v>
      </c>
      <c r="K20" s="286">
        <v>1.01</v>
      </c>
      <c r="L20" s="286">
        <v>1.01</v>
      </c>
      <c r="M20" s="286">
        <v>1.01</v>
      </c>
      <c r="N20" s="554">
        <v>1.01</v>
      </c>
    </row>
    <row r="21" spans="1:14">
      <c r="A21" s="496"/>
      <c r="B21" s="34" t="s">
        <v>255</v>
      </c>
      <c r="C21" s="34"/>
      <c r="D21" s="286">
        <v>1</v>
      </c>
      <c r="E21" s="286">
        <v>1</v>
      </c>
      <c r="F21" s="286">
        <v>1</v>
      </c>
      <c r="G21" s="286">
        <v>1</v>
      </c>
      <c r="H21" s="286">
        <v>1</v>
      </c>
      <c r="I21" s="286">
        <v>1</v>
      </c>
      <c r="J21" s="286">
        <v>1</v>
      </c>
      <c r="K21" s="286">
        <v>1</v>
      </c>
      <c r="L21" s="286">
        <v>1</v>
      </c>
      <c r="M21" s="286">
        <v>1</v>
      </c>
      <c r="N21" s="554">
        <v>1</v>
      </c>
    </row>
    <row r="22" spans="1:14">
      <c r="A22" s="497"/>
      <c r="B22" s="292" t="s">
        <v>150</v>
      </c>
      <c r="C22" s="292"/>
      <c r="D22" s="302">
        <v>1.05</v>
      </c>
      <c r="E22" s="302">
        <v>1.05</v>
      </c>
      <c r="F22" s="302">
        <v>1.05</v>
      </c>
      <c r="G22" s="302">
        <v>1.05</v>
      </c>
      <c r="H22" s="302">
        <v>1.05</v>
      </c>
      <c r="I22" s="302">
        <v>1.05</v>
      </c>
      <c r="J22" s="302">
        <v>1.03</v>
      </c>
      <c r="K22" s="302">
        <v>1.03</v>
      </c>
      <c r="L22" s="302">
        <v>1.03</v>
      </c>
      <c r="M22" s="302">
        <v>1.03</v>
      </c>
      <c r="N22" s="302">
        <v>1.03</v>
      </c>
    </row>
    <row r="24" spans="1:14" ht="15.75">
      <c r="A24" s="483" t="s">
        <v>254</v>
      </c>
      <c r="B24" s="379"/>
      <c r="C24" s="379"/>
      <c r="D24" s="379"/>
      <c r="E24" s="379"/>
      <c r="F24" s="379"/>
      <c r="G24" s="379"/>
      <c r="H24" s="379"/>
      <c r="I24" s="379"/>
      <c r="J24" s="379"/>
      <c r="K24" s="379"/>
      <c r="L24" s="379"/>
      <c r="M24" s="379"/>
      <c r="N24" s="379"/>
    </row>
    <row r="25" spans="1:14" ht="15.75">
      <c r="A25" s="560"/>
      <c r="B25" s="561" t="s">
        <v>249</v>
      </c>
      <c r="C25" s="561"/>
      <c r="D25" s="552">
        <v>1</v>
      </c>
      <c r="E25" s="552">
        <v>1</v>
      </c>
      <c r="F25" s="552">
        <v>1</v>
      </c>
      <c r="G25" s="552">
        <v>1</v>
      </c>
      <c r="H25" s="552">
        <v>1</v>
      </c>
      <c r="I25" s="552">
        <v>1</v>
      </c>
      <c r="J25" s="552">
        <v>1</v>
      </c>
      <c r="K25" s="552">
        <v>1</v>
      </c>
      <c r="L25" s="552">
        <v>1</v>
      </c>
      <c r="M25" s="552">
        <v>1</v>
      </c>
      <c r="N25" s="553">
        <v>1</v>
      </c>
    </row>
    <row r="26" spans="1:14">
      <c r="A26" s="497"/>
      <c r="B26" s="480" t="s">
        <v>250</v>
      </c>
      <c r="C26" s="292"/>
      <c r="D26" s="302">
        <v>1</v>
      </c>
      <c r="E26" s="302">
        <v>1</v>
      </c>
      <c r="F26" s="302">
        <v>1</v>
      </c>
      <c r="G26" s="302">
        <v>1</v>
      </c>
      <c r="H26" s="302">
        <v>1</v>
      </c>
      <c r="I26" s="302">
        <v>1</v>
      </c>
      <c r="J26" s="302">
        <v>1</v>
      </c>
      <c r="K26" s="302">
        <v>1</v>
      </c>
      <c r="L26" s="302">
        <v>1</v>
      </c>
      <c r="M26" s="302">
        <v>1</v>
      </c>
      <c r="N26" s="555">
        <v>1</v>
      </c>
    </row>
    <row r="28" spans="1:14" ht="15.75">
      <c r="A28" s="483" t="s">
        <v>258</v>
      </c>
      <c r="B28" s="412"/>
      <c r="C28" s="412"/>
      <c r="D28" s="412"/>
      <c r="E28" s="412"/>
      <c r="F28" s="412"/>
      <c r="G28" s="412"/>
      <c r="H28" s="412"/>
      <c r="I28" s="412"/>
      <c r="J28" s="412"/>
      <c r="K28" s="412"/>
      <c r="L28" s="412"/>
      <c r="M28" s="412"/>
      <c r="N28" s="412"/>
    </row>
    <row r="29" spans="1:14">
      <c r="A29" s="494"/>
      <c r="B29" s="495" t="s">
        <v>259</v>
      </c>
      <c r="C29" s="495"/>
      <c r="D29" s="556">
        <v>0.28000000000000003</v>
      </c>
      <c r="E29" s="556">
        <v>0.32</v>
      </c>
      <c r="F29" s="556">
        <v>0.32</v>
      </c>
      <c r="G29" s="556">
        <v>0.32</v>
      </c>
      <c r="H29" s="556">
        <v>0.28000000000000003</v>
      </c>
      <c r="I29" s="556">
        <v>0.28000000000000003</v>
      </c>
      <c r="J29" s="556">
        <v>0.28000000000000003</v>
      </c>
      <c r="K29" s="556">
        <v>0.27</v>
      </c>
      <c r="L29" s="556">
        <v>0.27</v>
      </c>
      <c r="M29" s="556">
        <v>0.27</v>
      </c>
      <c r="N29" s="633">
        <v>0.26</v>
      </c>
    </row>
    <row r="30" spans="1:14">
      <c r="A30" s="496"/>
      <c r="B30" s="34" t="s">
        <v>260</v>
      </c>
      <c r="C30" s="34"/>
      <c r="D30" s="557">
        <v>0.23</v>
      </c>
      <c r="E30" s="557">
        <v>0.23</v>
      </c>
      <c r="F30" s="557">
        <v>0.23</v>
      </c>
      <c r="G30" s="557">
        <v>0.23</v>
      </c>
      <c r="H30" s="557">
        <v>0.23</v>
      </c>
      <c r="I30" s="557">
        <v>0.23</v>
      </c>
      <c r="J30" s="557">
        <v>0.23</v>
      </c>
      <c r="K30" s="557">
        <v>0.23</v>
      </c>
      <c r="L30" s="557">
        <v>0.23</v>
      </c>
      <c r="M30" s="557">
        <v>0.23</v>
      </c>
      <c r="N30" s="634">
        <v>0.23</v>
      </c>
    </row>
    <row r="31" spans="1:14">
      <c r="A31" s="496"/>
      <c r="B31" s="34" t="s">
        <v>271</v>
      </c>
      <c r="C31" s="34"/>
      <c r="D31" s="286">
        <v>1.05</v>
      </c>
      <c r="E31" s="286">
        <v>1.05</v>
      </c>
      <c r="F31" s="286">
        <v>1.05</v>
      </c>
      <c r="G31" s="286">
        <v>1.05</v>
      </c>
      <c r="H31" s="286">
        <v>1.05</v>
      </c>
      <c r="I31" s="286">
        <v>1.05</v>
      </c>
      <c r="J31" s="286">
        <v>1.03</v>
      </c>
      <c r="K31" s="286">
        <v>1.03</v>
      </c>
      <c r="L31" s="286">
        <v>1.03</v>
      </c>
      <c r="M31" s="286">
        <v>1.03</v>
      </c>
      <c r="N31" s="286">
        <v>1.03</v>
      </c>
    </row>
    <row r="32" spans="1:14">
      <c r="A32" s="496"/>
      <c r="B32" s="34" t="s">
        <v>272</v>
      </c>
      <c r="C32" s="34"/>
      <c r="D32" s="286">
        <v>1.01</v>
      </c>
      <c r="E32" s="286">
        <v>1.01</v>
      </c>
      <c r="F32" s="286">
        <v>1.01</v>
      </c>
      <c r="G32" s="286">
        <v>1.01</v>
      </c>
      <c r="H32" s="286">
        <v>1.01</v>
      </c>
      <c r="I32" s="286">
        <v>1.01</v>
      </c>
      <c r="J32" s="286">
        <v>1.01</v>
      </c>
      <c r="K32" s="286">
        <v>1.01</v>
      </c>
      <c r="L32" s="286">
        <v>1.01</v>
      </c>
      <c r="M32" s="286">
        <v>1.01</v>
      </c>
      <c r="N32" s="554">
        <v>1.01</v>
      </c>
    </row>
    <row r="33" spans="1:14">
      <c r="A33" s="496"/>
      <c r="B33" s="34" t="s">
        <v>273</v>
      </c>
      <c r="C33" s="34"/>
      <c r="D33" s="286">
        <v>1.01</v>
      </c>
      <c r="E33" s="286">
        <v>1.01</v>
      </c>
      <c r="F33" s="286">
        <v>1.01</v>
      </c>
      <c r="G33" s="286">
        <v>1.01</v>
      </c>
      <c r="H33" s="286">
        <v>1.01</v>
      </c>
      <c r="I33" s="286">
        <v>1.01</v>
      </c>
      <c r="J33" s="286">
        <v>1.01</v>
      </c>
      <c r="K33" s="286">
        <v>1.01</v>
      </c>
      <c r="L33" s="286">
        <v>1.01</v>
      </c>
      <c r="M33" s="286">
        <v>1.01</v>
      </c>
      <c r="N33" s="554">
        <v>1.01</v>
      </c>
    </row>
    <row r="34" spans="1:14">
      <c r="A34" s="496"/>
      <c r="B34" s="43" t="s">
        <v>299</v>
      </c>
      <c r="C34" s="34"/>
      <c r="D34" s="286">
        <v>1.01</v>
      </c>
      <c r="E34" s="286">
        <v>1.01</v>
      </c>
      <c r="F34" s="286">
        <v>1.01</v>
      </c>
      <c r="G34" s="286">
        <v>1.01</v>
      </c>
      <c r="H34" s="286">
        <v>1.01</v>
      </c>
      <c r="I34" s="286">
        <v>1.01</v>
      </c>
      <c r="J34" s="286">
        <v>1.01</v>
      </c>
      <c r="K34" s="286">
        <v>1.01</v>
      </c>
      <c r="L34" s="286">
        <v>1.01</v>
      </c>
      <c r="M34" s="286">
        <v>1.01</v>
      </c>
      <c r="N34" s="554">
        <v>1.01</v>
      </c>
    </row>
    <row r="35" spans="1:14">
      <c r="A35" s="497"/>
      <c r="B35" s="292" t="s">
        <v>300</v>
      </c>
      <c r="C35" s="292"/>
      <c r="D35" s="302">
        <v>1.01</v>
      </c>
      <c r="E35" s="302">
        <v>1.01</v>
      </c>
      <c r="F35" s="302">
        <v>1.01</v>
      </c>
      <c r="G35" s="302">
        <v>1.01</v>
      </c>
      <c r="H35" s="302">
        <v>1.01</v>
      </c>
      <c r="I35" s="302">
        <v>1.01</v>
      </c>
      <c r="J35" s="302">
        <v>1.01</v>
      </c>
      <c r="K35" s="302">
        <v>1.01</v>
      </c>
      <c r="L35" s="302">
        <v>1.01</v>
      </c>
      <c r="M35" s="302">
        <v>1.01</v>
      </c>
      <c r="N35" s="555">
        <v>1.01</v>
      </c>
    </row>
    <row r="36" spans="1:14">
      <c r="A36" s="34"/>
      <c r="B36" s="34"/>
      <c r="C36" s="34"/>
      <c r="D36" s="558"/>
      <c r="E36" s="558"/>
      <c r="F36" s="558"/>
      <c r="G36" s="558"/>
      <c r="H36" s="558"/>
      <c r="I36" s="558"/>
      <c r="J36" s="558"/>
      <c r="K36" s="558"/>
      <c r="L36" s="558"/>
      <c r="M36" s="558"/>
      <c r="N36" s="558"/>
    </row>
    <row r="37" spans="1:14" ht="15.75">
      <c r="A37" s="564" t="s">
        <v>274</v>
      </c>
      <c r="B37" s="500"/>
      <c r="C37" s="500"/>
      <c r="D37" s="563"/>
      <c r="E37" s="563"/>
      <c r="F37" s="563"/>
      <c r="G37" s="563"/>
      <c r="H37" s="563"/>
      <c r="I37" s="563"/>
      <c r="J37" s="563"/>
      <c r="K37" s="563"/>
      <c r="L37" s="563"/>
      <c r="M37" s="563"/>
      <c r="N37" s="563"/>
    </row>
    <row r="38" spans="1:14">
      <c r="A38" s="494"/>
      <c r="B38" s="561" t="s">
        <v>275</v>
      </c>
      <c r="C38" s="495"/>
      <c r="D38" s="552">
        <v>0.68500000000000005</v>
      </c>
      <c r="E38" s="552">
        <v>1.0249999999999999</v>
      </c>
      <c r="F38" s="552">
        <v>1.0249999999999999</v>
      </c>
      <c r="G38" s="552">
        <v>1.0249999999999999</v>
      </c>
      <c r="H38" s="552">
        <v>1.0249999999999999</v>
      </c>
      <c r="I38" s="552">
        <v>1.0249999999999999</v>
      </c>
      <c r="J38" s="552">
        <v>1.0249999999999999</v>
      </c>
      <c r="K38" s="552">
        <v>1.0249999999999999</v>
      </c>
      <c r="L38" s="552">
        <v>1.0249999999999999</v>
      </c>
      <c r="M38" s="552">
        <v>1.0249999999999999</v>
      </c>
      <c r="N38" s="552">
        <v>1.0249999999999999</v>
      </c>
    </row>
    <row r="39" spans="1:14">
      <c r="A39" s="496"/>
      <c r="B39" s="43" t="s">
        <v>276</v>
      </c>
      <c r="C39" s="34"/>
      <c r="D39" s="286">
        <v>0.4</v>
      </c>
      <c r="E39" s="286">
        <v>0.39500000000000002</v>
      </c>
      <c r="F39" s="286">
        <v>0.39500000000000002</v>
      </c>
      <c r="G39" s="286">
        <v>0.39500000000000002</v>
      </c>
      <c r="H39" s="286">
        <v>0.38</v>
      </c>
      <c r="I39" s="286">
        <v>0.38</v>
      </c>
      <c r="J39" s="286">
        <v>0.38</v>
      </c>
      <c r="K39" s="286">
        <v>0.38500000000000001</v>
      </c>
      <c r="L39" s="286">
        <v>0.38500000000000001</v>
      </c>
      <c r="M39" s="286">
        <v>0.38</v>
      </c>
      <c r="N39" s="554">
        <v>0.38</v>
      </c>
    </row>
    <row r="40" spans="1:14">
      <c r="A40" s="496"/>
      <c r="B40" s="43" t="s">
        <v>277</v>
      </c>
      <c r="C40" s="34"/>
      <c r="D40" s="286">
        <v>0.4</v>
      </c>
      <c r="E40" s="286">
        <v>0.39500000000000002</v>
      </c>
      <c r="F40" s="286">
        <v>0.39500000000000002</v>
      </c>
      <c r="G40" s="286">
        <v>0.39500000000000002</v>
      </c>
      <c r="H40" s="286">
        <v>0.38</v>
      </c>
      <c r="I40" s="286">
        <v>0.38</v>
      </c>
      <c r="J40" s="286">
        <v>0.38</v>
      </c>
      <c r="K40" s="286">
        <v>0.38500000000000001</v>
      </c>
      <c r="L40" s="286">
        <v>0.38500000000000001</v>
      </c>
      <c r="M40" s="286">
        <v>0.38</v>
      </c>
      <c r="N40" s="554">
        <v>0.38</v>
      </c>
    </row>
    <row r="41" spans="1:14">
      <c r="A41" s="497"/>
      <c r="B41" s="480" t="s">
        <v>278</v>
      </c>
      <c r="C41" s="292"/>
      <c r="D41" s="302">
        <v>0.99</v>
      </c>
      <c r="E41" s="302">
        <v>0.99</v>
      </c>
      <c r="F41" s="302">
        <v>0.99</v>
      </c>
      <c r="G41" s="302">
        <v>0.99</v>
      </c>
      <c r="H41" s="302">
        <v>0.99</v>
      </c>
      <c r="I41" s="302">
        <v>0.99</v>
      </c>
      <c r="J41" s="302">
        <v>0.99</v>
      </c>
      <c r="K41" s="302">
        <v>0.99</v>
      </c>
      <c r="L41" s="302">
        <v>0.99</v>
      </c>
      <c r="M41" s="302">
        <v>0.99</v>
      </c>
      <c r="N41" s="555">
        <v>0.99</v>
      </c>
    </row>
    <row r="42" spans="1:14">
      <c r="A42" s="34"/>
      <c r="B42" s="34"/>
      <c r="C42" s="34"/>
      <c r="D42" s="558"/>
      <c r="E42" s="558"/>
      <c r="F42" s="558"/>
      <c r="G42" s="558"/>
      <c r="H42" s="558"/>
      <c r="I42" s="558"/>
      <c r="J42" s="558"/>
      <c r="K42" s="558"/>
      <c r="L42" s="558"/>
      <c r="M42" s="558"/>
      <c r="N42" s="558"/>
    </row>
    <row r="43" spans="1:14" ht="15.75">
      <c r="A43" s="564" t="s">
        <v>284</v>
      </c>
      <c r="B43" s="570"/>
      <c r="C43" s="570"/>
      <c r="D43" s="571"/>
      <c r="E43" s="571"/>
      <c r="F43" s="571"/>
      <c r="G43" s="571"/>
      <c r="H43" s="571"/>
      <c r="I43" s="571"/>
      <c r="J43" s="571"/>
      <c r="K43" s="571"/>
      <c r="L43" s="571"/>
      <c r="M43" s="571"/>
      <c r="N43" s="571"/>
    </row>
    <row r="44" spans="1:14">
      <c r="A44" s="494"/>
      <c r="B44" s="245" t="s">
        <v>285</v>
      </c>
      <c r="C44" s="495"/>
      <c r="D44" s="552" t="s">
        <v>193</v>
      </c>
      <c r="E44" s="552">
        <v>0.75</v>
      </c>
      <c r="F44" s="552">
        <v>1.01</v>
      </c>
      <c r="G44" s="552">
        <v>1.01</v>
      </c>
      <c r="H44" s="552">
        <v>1.01</v>
      </c>
      <c r="I44" s="552">
        <v>1.01</v>
      </c>
      <c r="J44" s="552">
        <v>1.01</v>
      </c>
      <c r="K44" s="552">
        <v>1.01</v>
      </c>
      <c r="L44" s="552">
        <v>1.01</v>
      </c>
      <c r="M44" s="552">
        <v>1.01</v>
      </c>
      <c r="N44" s="553">
        <v>1.01</v>
      </c>
    </row>
    <row r="45" spans="1:14">
      <c r="A45" s="496"/>
      <c r="B45" s="227" t="s">
        <v>286</v>
      </c>
      <c r="C45" s="34"/>
      <c r="D45" s="286" t="s">
        <v>193</v>
      </c>
      <c r="E45" s="286">
        <v>0</v>
      </c>
      <c r="F45" s="286">
        <v>0</v>
      </c>
      <c r="G45" s="286">
        <v>0</v>
      </c>
      <c r="H45" s="286">
        <v>0</v>
      </c>
      <c r="I45" s="286">
        <v>0</v>
      </c>
      <c r="J45" s="286">
        <v>0</v>
      </c>
      <c r="K45" s="286">
        <v>0</v>
      </c>
      <c r="L45" s="286">
        <v>0</v>
      </c>
      <c r="M45" s="286">
        <v>0</v>
      </c>
      <c r="N45" s="554">
        <v>0</v>
      </c>
    </row>
    <row r="46" spans="1:14">
      <c r="A46" s="496"/>
      <c r="B46" s="34" t="s">
        <v>287</v>
      </c>
      <c r="C46" s="34"/>
      <c r="D46" s="286" t="s">
        <v>193</v>
      </c>
      <c r="E46" s="286" t="s">
        <v>193</v>
      </c>
      <c r="F46" s="286">
        <v>0</v>
      </c>
      <c r="G46" s="286">
        <v>0</v>
      </c>
      <c r="H46" s="286">
        <v>0</v>
      </c>
      <c r="I46" s="286">
        <v>0</v>
      </c>
      <c r="J46" s="286">
        <v>0</v>
      </c>
      <c r="K46" s="286">
        <v>0</v>
      </c>
      <c r="L46" s="286">
        <v>0</v>
      </c>
      <c r="M46" s="286">
        <v>0</v>
      </c>
      <c r="N46" s="554">
        <v>0</v>
      </c>
    </row>
    <row r="47" spans="1:14">
      <c r="A47" s="496"/>
      <c r="B47" s="34" t="s">
        <v>288</v>
      </c>
      <c r="C47" s="34"/>
      <c r="D47" s="286" t="s">
        <v>193</v>
      </c>
      <c r="E47" s="286">
        <v>1</v>
      </c>
      <c r="F47" s="286">
        <v>1</v>
      </c>
      <c r="G47" s="286">
        <v>1</v>
      </c>
      <c r="H47" s="286">
        <v>1</v>
      </c>
      <c r="I47" s="286">
        <v>1</v>
      </c>
      <c r="J47" s="286">
        <v>1</v>
      </c>
      <c r="K47" s="286">
        <v>1</v>
      </c>
      <c r="L47" s="286">
        <v>1</v>
      </c>
      <c r="M47" s="286">
        <v>1</v>
      </c>
      <c r="N47" s="554">
        <v>1</v>
      </c>
    </row>
    <row r="48" spans="1:14">
      <c r="A48" s="496"/>
      <c r="B48" s="227" t="s">
        <v>289</v>
      </c>
      <c r="C48" s="34"/>
      <c r="D48" s="286" t="s">
        <v>193</v>
      </c>
      <c r="E48" s="286">
        <v>0.1</v>
      </c>
      <c r="F48" s="286">
        <v>1.01</v>
      </c>
      <c r="G48" s="286">
        <v>1.01</v>
      </c>
      <c r="H48" s="286">
        <v>1.01</v>
      </c>
      <c r="I48" s="286">
        <v>1.01</v>
      </c>
      <c r="J48" s="286">
        <v>1.01</v>
      </c>
      <c r="K48" s="286">
        <v>1.01</v>
      </c>
      <c r="L48" s="286">
        <v>1.01</v>
      </c>
      <c r="M48" s="286">
        <v>1.01</v>
      </c>
      <c r="N48" s="554">
        <v>1.01</v>
      </c>
    </row>
    <row r="49" spans="1:14">
      <c r="A49" s="496"/>
      <c r="B49" s="227" t="s">
        <v>290</v>
      </c>
      <c r="C49" s="34"/>
      <c r="D49" s="286" t="s">
        <v>193</v>
      </c>
      <c r="E49" s="286">
        <v>1.01</v>
      </c>
      <c r="F49" s="286">
        <v>1.01</v>
      </c>
      <c r="G49" s="286">
        <v>1.01</v>
      </c>
      <c r="H49" s="286">
        <v>1.01</v>
      </c>
      <c r="I49" s="286">
        <v>1.01</v>
      </c>
      <c r="J49" s="286">
        <v>1.01</v>
      </c>
      <c r="K49" s="286">
        <v>1.01</v>
      </c>
      <c r="L49" s="286">
        <v>1.01</v>
      </c>
      <c r="M49" s="286">
        <v>1.01</v>
      </c>
      <c r="N49" s="554">
        <v>1.01</v>
      </c>
    </row>
    <row r="50" spans="1:14">
      <c r="A50" s="496"/>
      <c r="B50" s="227" t="s">
        <v>291</v>
      </c>
      <c r="C50" s="34"/>
      <c r="D50" s="286" t="s">
        <v>193</v>
      </c>
      <c r="E50" s="286">
        <v>1.01</v>
      </c>
      <c r="F50" s="286">
        <v>1.01</v>
      </c>
      <c r="G50" s="286">
        <v>1.01</v>
      </c>
      <c r="H50" s="286">
        <v>1.01</v>
      </c>
      <c r="I50" s="286">
        <v>1.01</v>
      </c>
      <c r="J50" s="286">
        <v>0.95</v>
      </c>
      <c r="K50" s="286">
        <v>0.95</v>
      </c>
      <c r="L50" s="286">
        <v>0.95</v>
      </c>
      <c r="M50" s="286">
        <v>0.95</v>
      </c>
      <c r="N50" s="554">
        <v>0.95</v>
      </c>
    </row>
    <row r="51" spans="1:14">
      <c r="A51" s="497"/>
      <c r="B51" s="246" t="s">
        <v>292</v>
      </c>
      <c r="C51" s="292"/>
      <c r="D51" s="302" t="s">
        <v>193</v>
      </c>
      <c r="E51" s="302">
        <v>0.98</v>
      </c>
      <c r="F51" s="302">
        <v>0.98</v>
      </c>
      <c r="G51" s="302">
        <v>0.98</v>
      </c>
      <c r="H51" s="302">
        <v>0.98</v>
      </c>
      <c r="I51" s="302">
        <v>0.98</v>
      </c>
      <c r="J51" s="302">
        <v>0.98</v>
      </c>
      <c r="K51" s="302">
        <v>0.98</v>
      </c>
      <c r="L51" s="302">
        <v>0.95</v>
      </c>
      <c r="M51" s="302">
        <v>0.95</v>
      </c>
      <c r="N51" s="555">
        <v>0.95</v>
      </c>
    </row>
    <row r="55" spans="1:14" ht="18">
      <c r="A55" s="160" t="s">
        <v>270</v>
      </c>
    </row>
  </sheetData>
  <phoneticPr fontId="0" type="noConversion"/>
  <pageMargins left="0.17" right="0.27" top="0.31" bottom="0.25" header="0.2" footer="0.17"/>
  <pageSetup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E51"/>
  <sheetViews>
    <sheetView zoomScale="75" zoomScaleNormal="100" workbookViewId="0">
      <selection activeCell="I13" sqref="I13"/>
    </sheetView>
  </sheetViews>
  <sheetFormatPr defaultRowHeight="12.75"/>
  <cols>
    <col min="1" max="1" width="36.42578125" bestFit="1" customWidth="1"/>
    <col min="2" max="3" width="12.85546875" customWidth="1"/>
    <col min="4" max="4" width="12.7109375" customWidth="1"/>
    <col min="5" max="5" width="9.85546875" customWidth="1"/>
  </cols>
  <sheetData>
    <row r="1" spans="1:5" ht="18">
      <c r="A1" s="161" t="str">
        <f>Assumptions!D6</f>
        <v>ETS</v>
      </c>
      <c r="B1" s="7"/>
    </row>
    <row r="2" spans="1:5" ht="15.75">
      <c r="A2" s="185" t="s">
        <v>32</v>
      </c>
      <c r="B2" s="7"/>
    </row>
    <row r="3" spans="1:5">
      <c r="B3" s="63"/>
    </row>
    <row r="4" spans="1:5">
      <c r="A4" s="20"/>
      <c r="B4" s="99">
        <v>36708</v>
      </c>
      <c r="C4" s="41" t="s">
        <v>28</v>
      </c>
      <c r="D4" s="41" t="s">
        <v>29</v>
      </c>
    </row>
    <row r="5" spans="1:5">
      <c r="A5" s="6"/>
      <c r="B5" s="60"/>
      <c r="C5" s="41"/>
      <c r="D5" s="41"/>
    </row>
    <row r="6" spans="1:5">
      <c r="A6" t="s">
        <v>5</v>
      </c>
    </row>
    <row r="7" spans="1:5">
      <c r="A7" t="s">
        <v>64</v>
      </c>
    </row>
    <row r="8" spans="1:5">
      <c r="A8" s="53" t="s">
        <v>62</v>
      </c>
      <c r="B8" s="26"/>
      <c r="C8" s="10"/>
      <c r="D8" s="10"/>
      <c r="E8" s="10"/>
    </row>
    <row r="9" spans="1:5">
      <c r="A9" s="53" t="s">
        <v>65</v>
      </c>
      <c r="B9" s="26">
        <v>-1535</v>
      </c>
      <c r="C9" s="10">
        <v>0</v>
      </c>
      <c r="D9" s="4">
        <f t="shared" ref="D9:D15" si="0">SUM(B9:C9)</f>
        <v>-1535</v>
      </c>
      <c r="E9" s="10"/>
    </row>
    <row r="10" spans="1:5">
      <c r="A10" s="53" t="s">
        <v>66</v>
      </c>
      <c r="B10" s="26">
        <v>2763</v>
      </c>
      <c r="C10" s="10">
        <v>0</v>
      </c>
      <c r="D10" s="4">
        <f t="shared" si="0"/>
        <v>2763</v>
      </c>
      <c r="E10" s="10"/>
    </row>
    <row r="11" spans="1:5">
      <c r="A11" t="s">
        <v>63</v>
      </c>
      <c r="B11" s="97">
        <v>7</v>
      </c>
      <c r="C11" s="4">
        <v>0</v>
      </c>
      <c r="D11" s="4">
        <f t="shared" si="0"/>
        <v>7</v>
      </c>
      <c r="E11" s="10"/>
    </row>
    <row r="12" spans="1:5">
      <c r="A12" s="53" t="s">
        <v>59</v>
      </c>
      <c r="B12" s="26">
        <v>27020</v>
      </c>
      <c r="C12" s="4">
        <v>0</v>
      </c>
      <c r="D12" s="4">
        <f t="shared" si="0"/>
        <v>27020</v>
      </c>
      <c r="E12" s="10"/>
    </row>
    <row r="13" spans="1:5">
      <c r="A13" s="53" t="s">
        <v>60</v>
      </c>
      <c r="B13" s="26">
        <v>9110</v>
      </c>
      <c r="C13" s="4">
        <v>0</v>
      </c>
      <c r="D13" s="4">
        <f t="shared" si="0"/>
        <v>9110</v>
      </c>
      <c r="E13" s="10"/>
    </row>
    <row r="14" spans="1:5">
      <c r="A14" s="53" t="s">
        <v>61</v>
      </c>
      <c r="B14" s="26">
        <v>0</v>
      </c>
      <c r="C14" s="4">
        <v>0</v>
      </c>
      <c r="D14" s="4">
        <f t="shared" si="0"/>
        <v>0</v>
      </c>
      <c r="E14" s="10"/>
    </row>
    <row r="15" spans="1:5" ht="15">
      <c r="A15" s="53" t="s">
        <v>67</v>
      </c>
      <c r="B15" s="32">
        <v>10850</v>
      </c>
      <c r="C15" s="3">
        <v>0</v>
      </c>
      <c r="D15" s="3">
        <f t="shared" si="0"/>
        <v>10850</v>
      </c>
      <c r="E15" s="10"/>
    </row>
    <row r="16" spans="1:5">
      <c r="A16" s="54" t="s">
        <v>31</v>
      </c>
      <c r="B16" s="61">
        <f>SUM(B9:B15)</f>
        <v>48215</v>
      </c>
      <c r="C16" s="61">
        <f>SUM(C9:C15)</f>
        <v>0</v>
      </c>
      <c r="D16" s="61">
        <f>SUM(D9:D15)</f>
        <v>48215</v>
      </c>
      <c r="E16" s="10"/>
    </row>
    <row r="17" spans="1:5">
      <c r="A17" s="74" t="s">
        <v>68</v>
      </c>
      <c r="B17" s="61"/>
      <c r="C17" s="61"/>
      <c r="D17" s="61"/>
      <c r="E17" s="10"/>
    </row>
    <row r="18" spans="1:5">
      <c r="A18" s="74" t="s">
        <v>69</v>
      </c>
      <c r="B18" s="61">
        <v>102263</v>
      </c>
      <c r="C18" s="4">
        <v>0</v>
      </c>
      <c r="D18" s="4">
        <f>SUM(B18:C18)</f>
        <v>102263</v>
      </c>
      <c r="E18" s="10"/>
    </row>
    <row r="19" spans="1:5" ht="15">
      <c r="A19" s="74" t="s">
        <v>70</v>
      </c>
      <c r="B19" s="62">
        <v>-19169</v>
      </c>
      <c r="C19" s="3">
        <v>0</v>
      </c>
      <c r="D19" s="3">
        <f>SUM(B19:C19)</f>
        <v>-19169</v>
      </c>
      <c r="E19" s="10"/>
    </row>
    <row r="20" spans="1:5">
      <c r="A20" s="54" t="s">
        <v>31</v>
      </c>
      <c r="B20" s="61">
        <f>B19+B18</f>
        <v>83094</v>
      </c>
      <c r="C20" s="61">
        <f>C19+C18</f>
        <v>0</v>
      </c>
      <c r="D20" s="61">
        <f>D19+D18</f>
        <v>83094</v>
      </c>
      <c r="E20" s="10"/>
    </row>
    <row r="21" spans="1:5">
      <c r="A21" s="74" t="s">
        <v>71</v>
      </c>
      <c r="B21" s="61">
        <v>4875</v>
      </c>
      <c r="C21" s="4">
        <v>0</v>
      </c>
      <c r="D21" s="4">
        <f>SUM(B21:C21)</f>
        <v>4875</v>
      </c>
      <c r="E21" s="10"/>
    </row>
    <row r="22" spans="1:5" ht="13.5" thickBot="1">
      <c r="A22" s="54"/>
      <c r="B22" s="61"/>
      <c r="C22" s="49"/>
      <c r="D22" s="49"/>
      <c r="E22" s="10"/>
    </row>
    <row r="23" spans="1:5" s="10" customFormat="1" ht="13.5" thickBot="1">
      <c r="A23" s="85" t="s">
        <v>48</v>
      </c>
      <c r="B23" s="86">
        <f>B21+B20+B16</f>
        <v>136184</v>
      </c>
      <c r="C23" s="86">
        <f>C21+C20+C16</f>
        <v>0</v>
      </c>
      <c r="D23" s="98">
        <f>D21+D20+D16</f>
        <v>136184</v>
      </c>
    </row>
    <row r="24" spans="1:5" s="10" customFormat="1" ht="15">
      <c r="A24" s="55"/>
      <c r="C24" s="40"/>
    </row>
    <row r="25" spans="1:5">
      <c r="A25" t="s">
        <v>82</v>
      </c>
      <c r="C25" s="10"/>
      <c r="D25" s="10"/>
      <c r="E25" s="10"/>
    </row>
    <row r="26" spans="1:5">
      <c r="A26" s="8"/>
      <c r="C26" s="10"/>
      <c r="D26" s="10"/>
      <c r="E26" s="10"/>
    </row>
    <row r="27" spans="1:5">
      <c r="A27" s="53" t="s">
        <v>72</v>
      </c>
      <c r="C27" s="10"/>
      <c r="D27" s="10"/>
      <c r="E27" s="10"/>
    </row>
    <row r="28" spans="1:5">
      <c r="A28" s="53" t="s">
        <v>73</v>
      </c>
      <c r="B28" s="88">
        <v>0</v>
      </c>
      <c r="C28" s="88">
        <v>0</v>
      </c>
      <c r="D28" s="4">
        <f t="shared" ref="D28:D33" si="1">SUM(B28:C28)</f>
        <v>0</v>
      </c>
      <c r="E28" s="10"/>
    </row>
    <row r="29" spans="1:5">
      <c r="A29" s="53" t="s">
        <v>74</v>
      </c>
      <c r="B29" s="88">
        <v>6773</v>
      </c>
      <c r="C29" s="88">
        <v>0</v>
      </c>
      <c r="D29" s="4">
        <f t="shared" si="1"/>
        <v>6773</v>
      </c>
      <c r="E29" s="10"/>
    </row>
    <row r="30" spans="1:5">
      <c r="A30" s="53" t="s">
        <v>75</v>
      </c>
      <c r="B30" s="88">
        <v>43</v>
      </c>
      <c r="C30" s="88">
        <v>0</v>
      </c>
      <c r="D30" s="4">
        <f t="shared" si="1"/>
        <v>43</v>
      </c>
      <c r="E30" s="10"/>
    </row>
    <row r="31" spans="1:5">
      <c r="A31" s="53" t="s">
        <v>76</v>
      </c>
      <c r="B31" s="88">
        <v>2191</v>
      </c>
      <c r="C31" s="88">
        <v>0</v>
      </c>
      <c r="D31" s="4">
        <f t="shared" si="1"/>
        <v>2191</v>
      </c>
      <c r="E31" s="10"/>
    </row>
    <row r="32" spans="1:5">
      <c r="A32" s="53" t="s">
        <v>77</v>
      </c>
      <c r="B32" s="88">
        <v>-11832</v>
      </c>
      <c r="C32" s="88">
        <v>0</v>
      </c>
      <c r="D32" s="4">
        <f t="shared" si="1"/>
        <v>-11832</v>
      </c>
      <c r="E32" s="10"/>
    </row>
    <row r="33" spans="1:5" ht="15">
      <c r="A33" s="71" t="s">
        <v>78</v>
      </c>
      <c r="B33" s="62">
        <v>0</v>
      </c>
      <c r="C33" s="3">
        <v>0</v>
      </c>
      <c r="D33" s="3">
        <f t="shared" si="1"/>
        <v>0</v>
      </c>
      <c r="E33" s="10"/>
    </row>
    <row r="34" spans="1:5">
      <c r="A34" s="8" t="s">
        <v>31</v>
      </c>
      <c r="B34" s="61">
        <f>SUM(B28:B33)</f>
        <v>-2825</v>
      </c>
      <c r="C34" s="61">
        <f>SUM(C28:C33)</f>
        <v>0</v>
      </c>
      <c r="D34" s="61">
        <f>SUM(D28:D33)</f>
        <v>-2825</v>
      </c>
      <c r="E34" s="10"/>
    </row>
    <row r="35" spans="1:5">
      <c r="A35" s="71" t="s">
        <v>79</v>
      </c>
      <c r="B35" s="61"/>
      <c r="C35" s="10"/>
      <c r="D35" s="10"/>
      <c r="E35" s="10"/>
    </row>
    <row r="36" spans="1:5">
      <c r="A36" s="71" t="s">
        <v>80</v>
      </c>
      <c r="B36" s="26">
        <v>0</v>
      </c>
      <c r="C36" s="10">
        <f>-B36</f>
        <v>0</v>
      </c>
      <c r="D36" s="10">
        <f>SUM(B36:C36)</f>
        <v>0</v>
      </c>
      <c r="E36" s="10"/>
    </row>
    <row r="37" spans="1:5" ht="15">
      <c r="A37" s="71" t="s">
        <v>81</v>
      </c>
      <c r="B37" s="62">
        <v>-52378</v>
      </c>
      <c r="C37" s="3">
        <v>0</v>
      </c>
      <c r="D37" s="3">
        <f>SUM(B37:C37)</f>
        <v>-52378</v>
      </c>
      <c r="E37" s="10"/>
    </row>
    <row r="38" spans="1:5">
      <c r="A38" s="8" t="s">
        <v>31</v>
      </c>
      <c r="B38" s="61">
        <f>SUM(B36:B37)</f>
        <v>-52378</v>
      </c>
      <c r="C38" s="10">
        <f>SUM(C36:C37)</f>
        <v>0</v>
      </c>
      <c r="D38" s="10">
        <f>SUM(D36:D37)</f>
        <v>-52378</v>
      </c>
      <c r="E38" s="10"/>
    </row>
    <row r="39" spans="1:5">
      <c r="A39" s="71" t="s">
        <v>83</v>
      </c>
      <c r="B39" s="26"/>
      <c r="C39" s="10"/>
      <c r="D39" s="10"/>
      <c r="E39" s="10"/>
    </row>
    <row r="40" spans="1:5">
      <c r="A40" s="71" t="s">
        <v>84</v>
      </c>
      <c r="B40" s="26">
        <v>0</v>
      </c>
      <c r="C40" s="10">
        <v>0</v>
      </c>
      <c r="D40" s="10">
        <f>SUM(B40:C40)</f>
        <v>0</v>
      </c>
      <c r="E40" s="10"/>
    </row>
    <row r="41" spans="1:5">
      <c r="A41" s="71" t="s">
        <v>85</v>
      </c>
      <c r="B41" s="100">
        <v>575987</v>
      </c>
      <c r="C41" s="4">
        <v>0</v>
      </c>
      <c r="D41" s="4">
        <f>SUM(B41:C41)</f>
        <v>575987</v>
      </c>
      <c r="E41" s="10"/>
    </row>
    <row r="42" spans="1:5" ht="15">
      <c r="A42" t="s">
        <v>86</v>
      </c>
      <c r="B42" s="62">
        <v>-384600</v>
      </c>
      <c r="C42" s="3">
        <v>0</v>
      </c>
      <c r="D42" s="3">
        <f>SUM(B42:C42)</f>
        <v>-384600</v>
      </c>
      <c r="E42" s="10"/>
    </row>
    <row r="43" spans="1:5">
      <c r="A43" s="8" t="s">
        <v>31</v>
      </c>
      <c r="B43" s="61">
        <f>SUM(B40:B42)</f>
        <v>191387</v>
      </c>
      <c r="C43" s="61">
        <f>SUM(C40:C42)</f>
        <v>0</v>
      </c>
      <c r="D43" s="61">
        <f>SUM(D40:D42)</f>
        <v>191387</v>
      </c>
      <c r="E43" s="10"/>
    </row>
    <row r="44" spans="1:5" ht="13.5" thickBot="1">
      <c r="C44" s="10"/>
      <c r="D44" s="10"/>
      <c r="E44" s="10"/>
    </row>
    <row r="45" spans="1:5" s="10" customFormat="1" ht="13.5" thickBot="1">
      <c r="A45" s="85" t="s">
        <v>6</v>
      </c>
      <c r="B45" s="86">
        <f>B43+B38+B34</f>
        <v>136184</v>
      </c>
      <c r="C45" s="86">
        <f>C43+C38+C34</f>
        <v>0</v>
      </c>
      <c r="D45" s="98">
        <f>D43+D38+D34</f>
        <v>136184</v>
      </c>
    </row>
    <row r="46" spans="1:5" s="10" customFormat="1">
      <c r="B46" s="10">
        <f>B23-B45</f>
        <v>0</v>
      </c>
      <c r="C46" s="10">
        <f>C23-C45</f>
        <v>0</v>
      </c>
      <c r="D46" s="10">
        <f>D23-D45</f>
        <v>0</v>
      </c>
    </row>
    <row r="47" spans="1:5" s="23" customFormat="1">
      <c r="C47" s="4"/>
      <c r="D47" s="4"/>
      <c r="E47" s="4"/>
    </row>
    <row r="48" spans="1:5">
      <c r="C48" s="10"/>
      <c r="D48" s="10"/>
      <c r="E48" s="10"/>
    </row>
    <row r="49" spans="3:5">
      <c r="C49" s="10"/>
      <c r="D49" s="10"/>
      <c r="E49" s="10"/>
    </row>
    <row r="50" spans="3:5">
      <c r="D50" s="10"/>
      <c r="E50" s="10"/>
    </row>
    <row r="51" spans="3:5">
      <c r="C51" s="10"/>
      <c r="D51" s="10"/>
      <c r="E51" s="10"/>
    </row>
  </sheetData>
  <phoneticPr fontId="0" type="noConversion"/>
  <pageMargins left="0.75" right="0.75" top="1" bottom="1" header="0.5" footer="0.5"/>
  <pageSetup scale="78" orientation="landscape" horizontalDpi="4294967292" r:id="rId1"/>
  <headerFooter alignWithMargins="0">
    <oddFooter>&amp;R&amp;F
&amp;A
&amp;D,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38</vt:i4>
      </vt:variant>
    </vt:vector>
  </HeadingPairs>
  <TitlesOfParts>
    <vt:vector size="58" baseType="lpstr">
      <vt:lpstr>Explaination about this model</vt:lpstr>
      <vt:lpstr>Org Chart</vt:lpstr>
      <vt:lpstr>Summary</vt:lpstr>
      <vt:lpstr>Assumptions</vt:lpstr>
      <vt:lpstr>Valuation Summary</vt:lpstr>
      <vt:lpstr>Unlev. Consolid</vt:lpstr>
      <vt:lpstr>Lev. Consolid</vt:lpstr>
      <vt:lpstr>Northern Natural DCF</vt:lpstr>
      <vt:lpstr>Transwestern DCF</vt:lpstr>
      <vt:lpstr>NBP DCF</vt:lpstr>
      <vt:lpstr>Citrus DCF</vt:lpstr>
      <vt:lpstr>Trailblazer DCF</vt:lpstr>
      <vt:lpstr>Scenarios</vt:lpstr>
      <vt:lpstr>Debt</vt:lpstr>
      <vt:lpstr>Pipeline Co IS</vt:lpstr>
      <vt:lpstr>Pipeline Co BS</vt:lpstr>
      <vt:lpstr>Pipeline Co CF</vt:lpstr>
      <vt:lpstr>Pipeline Vols</vt:lpstr>
      <vt:lpstr>Curves</vt:lpstr>
      <vt:lpstr>Cons. BS</vt:lpstr>
      <vt:lpstr>'NBP DCF'!Asset1Drate</vt:lpstr>
      <vt:lpstr>'Trailblazer DCF'!Asset3Drate</vt:lpstr>
      <vt:lpstr>'Transwestern DCF'!Asset3Drate</vt:lpstr>
      <vt:lpstr>Asset3Drate</vt:lpstr>
      <vt:lpstr>CDRate</vt:lpstr>
      <vt:lpstr>CitrusLoop</vt:lpstr>
      <vt:lpstr>CitrusNPVPrice</vt:lpstr>
      <vt:lpstr>CitrusPurPrice</vt:lpstr>
      <vt:lpstr>CLoop</vt:lpstr>
      <vt:lpstr>CNPVPrice</vt:lpstr>
      <vt:lpstr>ConsDRate</vt:lpstr>
      <vt:lpstr>CPurPrice</vt:lpstr>
      <vt:lpstr>NBP_Loop</vt:lpstr>
      <vt:lpstr>NBP_NPVPrice</vt:lpstr>
      <vt:lpstr>NBP_PurPrice</vt:lpstr>
      <vt:lpstr>NN_Loop</vt:lpstr>
      <vt:lpstr>NN_NPVPrice</vt:lpstr>
      <vt:lpstr>NN_PurPrice</vt:lpstr>
      <vt:lpstr>Assumptions!Print_Area</vt:lpstr>
      <vt:lpstr>'Citrus DCF'!Print_Area</vt:lpstr>
      <vt:lpstr>Curves!Print_Area</vt:lpstr>
      <vt:lpstr>Debt!Print_Area</vt:lpstr>
      <vt:lpstr>'Lev. Consolid'!Print_Area</vt:lpstr>
      <vt:lpstr>'NBP DCF'!Print_Area</vt:lpstr>
      <vt:lpstr>'Northern Natural DCF'!Print_Area</vt:lpstr>
      <vt:lpstr>'Pipeline Co IS'!Print_Area</vt:lpstr>
      <vt:lpstr>Scenarios!Print_Area</vt:lpstr>
      <vt:lpstr>'Trailblazer DCF'!Print_Area</vt:lpstr>
      <vt:lpstr>'Transwestern DCF'!Print_Area</vt:lpstr>
      <vt:lpstr>'Unlev. Consolid'!Print_Area</vt:lpstr>
      <vt:lpstr>Salvage_Multiple</vt:lpstr>
      <vt:lpstr>TB_Loop</vt:lpstr>
      <vt:lpstr>TB_NPVPrice</vt:lpstr>
      <vt:lpstr>TB_PurPrice</vt:lpstr>
      <vt:lpstr>TW_Loop</vt:lpstr>
      <vt:lpstr>TW_NPV</vt:lpstr>
      <vt:lpstr>TW_NPVPrice</vt:lpstr>
      <vt:lpstr>TW_PurPrice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MLR</dc:creator>
  <cp:lastModifiedBy>Jan Havlíček</cp:lastModifiedBy>
  <cp:lastPrinted>2001-11-16T22:03:09Z</cp:lastPrinted>
  <dcterms:created xsi:type="dcterms:W3CDTF">2000-03-09T01:43:06Z</dcterms:created>
  <dcterms:modified xsi:type="dcterms:W3CDTF">2023-09-14T18:19:40Z</dcterms:modified>
</cp:coreProperties>
</file>