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FCEB5D-FC58-43E1-B20E-EF8688E9F025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A10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20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A27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A32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A37" i="8"/>
  <c r="AA38" i="8"/>
  <c r="AA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8" i="8"/>
  <c r="AA59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A61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A67" i="8"/>
  <c r="AA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A72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A77" i="8"/>
  <c r="AA78" i="8"/>
  <c r="AA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8" i="8"/>
  <c r="AA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A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07" i="8"/>
  <c r="D107" i="8"/>
  <c r="E107" i="8"/>
  <c r="F107" i="8"/>
  <c r="AA107" i="8"/>
  <c r="AA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A112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C117" i="8"/>
  <c r="D117" i="8"/>
  <c r="E117" i="8"/>
  <c r="F117" i="8"/>
  <c r="AA117" i="8"/>
  <c r="AA118" i="8"/>
  <c r="AA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8" i="8"/>
  <c r="AA139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A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A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5" i="7"/>
  <c r="AA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A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<sst xmlns="http://schemas.openxmlformats.org/spreadsheetml/2006/main" count="1366" uniqueCount="214">
  <si>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</si>
  <si>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</si>
  <si>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</si>
  <si>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</si>
  <si>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</si>
  <si>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</si>
  <si>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</si>
  <si>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</si>
  <si>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</si>
  <si>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</si>
  <si>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</si>
  <si>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</si>
  <si>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</si>
  <si>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</si>
  <si>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</si>
  <si>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</si>
  <si>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</si>
  <si>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</si>
  <si>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</si>
  <si>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</si>
  <si>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</si>
  <si>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</si>
  <si>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</si>
  <si>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</si>
  <si>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</si>
  <si>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</si>
  <si>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</si>
  <si>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</si>
  <si>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</si>
  <si>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</si>
  <si>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</si>
  <si>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</si>
  <si>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</si>
  <si>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</si>
  <si>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</si>
  <si>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</si>
  <si>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</si>
  <si>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</si>
  <si>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</si>
  <si>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</si>
  <si>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</si>
  <si>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</si>
  <si>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</si>
  <si>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</si>
  <si>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</si>
  <si>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</si>
  <si>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</si>
  <si>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</si>
  <si>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</si>
  <si>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</si>
  <si>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</si>
  <si>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</si>
  <si>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</si>
  <si>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</si>
  <si>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</si>
  <si>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</si>
  <si>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</si>
  <si>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</si>
  <si>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</si>
  <si>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</si>
  <si>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</si>
  <si>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</si>
  <si>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</si>
  <si>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</si>
  <si>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</si>
  <si>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</si>
  <si>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</si>
  <si>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</si>
  <si>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</si>
  <si>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</si>
  <si>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</si>
  <si>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</si>
  <si>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</si>
  <si>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</si>
  <si>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</si>
  <si>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</si>
  <si>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</si>
  <si>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</si>
  <si>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</si>
  <si>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</si>
  <si>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</si>
  <si>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</si>
  <si>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</si>
  <si>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</si>
  <si>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</si>
  <si>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</si>
  <si>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</si>
  <si>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</si>
  <si>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</si>
  <si>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</si>
  <si>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</si>
  <si>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</si>
  <si>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</si>
  <si>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</si>
  <si>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</si>
  <si>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</si>
  <si>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</si>
  <si>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</si>
  <si>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</si>
  <si>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</si>
  <si>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</si>
  <si>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</si>
  <si>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</si>
  <si>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</si>
  <si>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</si>
  <si>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</si>
  <si>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</si>
  <si>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</si>
  <si>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</si>
  <si>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</si>
  <si>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</si>
  <si>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</si>
  <si>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</si>
  <si>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</si>
  <si>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</si>
  <si>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</si>
  <si>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</si>
  <si>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</si>
  <si>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</si>
  <si>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</si>
  <si>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</si>
  <si>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</si>
  <si>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</si>
  <si>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</si>
  <si>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</si>
  <si>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</si>
  <si>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</si>
  <si>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</si>
  <si>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</si>
  <si>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</si>
  <si>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</si>
  <si>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</si>
  <si>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</si>
  <si>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</si>
  <si>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</si>
  <si>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</si>
  <si>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</si>
  <si>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</si>
  <si>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</si>
  <si>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</si>
  <si>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</si>
  <si>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</si>
  <si>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</si>
  <si>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</si>
  <si>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L</t>
  </si>
  <si>
    <t>S</t>
  </si>
  <si>
    <t>MMBTU</t>
  </si>
  <si>
    <t>USD</t>
  </si>
  <si>
    <t>Yildirok</t>
  </si>
  <si>
    <t>As of November 21, 2001</t>
  </si>
  <si>
    <t>Speculative vs Hedge Books</t>
  </si>
  <si>
    <t>Valuation Date:  11/21/2001</t>
  </si>
  <si>
    <t>As of:                11/21/2001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</si>
  <si>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</si>
  <si>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</si>
  <si>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</si>
  <si>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</si>
  <si>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</si>
  <si>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</si>
  <si>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</si>
  <si>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</si>
  <si>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</si>
  <si>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</si>
  <si>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</si>
  <si>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</si>
  <si>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</si>
  <si>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</si>
  <si>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</si>
  <si>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</si>
  <si>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</si>
  <si>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</si>
  <si>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</si>
  <si>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</si>
  <si>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</si>
  <si>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</si>
  <si>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</si>
  <si>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</si>
  <si>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</si>
  <si>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</si>
  <si>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</si>
  <si>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</si>
  <si>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</si>
  <si>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Summary</t>
  </si>
  <si>
    <t>Prior Date:          11/20/2001</t>
  </si>
  <si>
    <t>As of:                  11/21/2001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</si>
  <si>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</si>
  <si>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</si>
  <si>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</si>
  <si>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</si>
  <si>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</si>
  <si>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</si>
  <si>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</si>
  <si>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</si>
  <si>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</si>
  <si>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</si>
  <si>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</si>
  <si>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</si>
  <si>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</si>
  <si>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</si>
  <si>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</si>
  <si>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</si>
  <si>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</si>
  <si>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</si>
  <si>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</si>
  <si>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</si>
  <si>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</si>
  <si>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Summary</t>
  </si>
  <si>
    <t>TERM - Fuel SPEC Book Details</t>
  </si>
  <si>
    <t>BASISSWAP</t>
  </si>
  <si>
    <t>Owen</t>
  </si>
  <si>
    <t>Entergy-Koch Trading, LP</t>
  </si>
  <si>
    <t>Morgan Stanley Capital Group, Inc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</si>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</sst>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3" fontId="37" fillId="0" borderId="0" xfId="0" applyNumberFormat="1" applyFont="1" applyAlignment="1">
      <alignment horizontal="right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3" xfId="0" applyBorder="1"/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9278350515463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REG!$O$8:$O$86</c:f>
              <c:numCache>
                <c:formatCode>#,##0</c:formatCode>
                <c:ptCount val="79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1-46B3-A5CF-274DF9EF08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4401359"/>
        <c:axId val="1"/>
      </c:barChart>
      <c:catAx>
        <c:axId val="187440135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4401359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885446601596077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REG!$P$8:$P$86</c:f>
              <c:numCache>
                <c:formatCode>#,##0</c:formatCode>
                <c:ptCount val="79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1-4ADA-A884-1FF14D9516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4402751"/>
        <c:axId val="1"/>
      </c:barChart>
      <c:catAx>
        <c:axId val="187440275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4402751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REG!$N$9:$N$86</c:f>
              <c:numCache>
                <c:formatCode>0</c:formatCode>
                <c:ptCount val="7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</c:numCache>
            </c:numRef>
          </c:cat>
          <c:val>
            <c:numRef>
              <c:f>REG!$Q$9:$Q$86</c:f>
              <c:numCache>
                <c:formatCode>#,##0</c:formatCode>
                <c:ptCount val="78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9-435D-A3F9-CB93CA1345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120047"/>
        <c:axId val="1"/>
      </c:barChart>
      <c:catAx>
        <c:axId val="187712004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120047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SPEC!$O$8:$O$86</c:f>
              <c:numCache>
                <c:formatCode>#,##0</c:formatCode>
                <c:ptCount val="79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F-4B81-B5F4-B470976364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122367"/>
        <c:axId val="1"/>
      </c:barChart>
      <c:catAx>
        <c:axId val="187712236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122367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SPEC!$P$8:$P$86</c:f>
              <c:numCache>
                <c:formatCode>#,##0</c:formatCode>
                <c:ptCount val="79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1-4426-8673-FF595A74B3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741871"/>
        <c:axId val="1"/>
      </c:barChart>
      <c:catAx>
        <c:axId val="187774187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741871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0-4655-9DA0-A2E2C825DA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739087"/>
        <c:axId val="1"/>
      </c:barChart>
      <c:catAx>
        <c:axId val="187773908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739087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SPEC!$N$49:$N$86</c:f>
              <c:numCache>
                <c:formatCode>0</c:formatCode>
                <c:ptCount val="38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</c:numCache>
            </c:numRef>
          </c:cat>
          <c:val>
            <c:numRef>
              <c:f>SPEC!$R$49:$R$86</c:f>
              <c:numCache>
                <c:formatCode>#,##0</c:formatCode>
                <c:ptCount val="38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D-4508-B0CD-03267B0E7A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740015"/>
        <c:axId val="1"/>
      </c:barChart>
      <c:catAx>
        <c:axId val="187774001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74001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SPEC!$N$8:$N$86</c:f>
              <c:numCache>
                <c:formatCode>0</c:formatCode>
                <c:ptCount val="79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</c:numCache>
            </c:numRef>
          </c:cat>
          <c:val>
            <c:numRef>
              <c:f>SPEC!$S$8:$S$86</c:f>
              <c:numCache>
                <c:formatCode>#,##0</c:formatCode>
                <c:ptCount val="79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2-4AE1-911A-3652B18262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738623"/>
        <c:axId val="1"/>
      </c:barChart>
      <c:catAx>
        <c:axId val="187773862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738623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SPEC!$N$9:$N$86</c:f>
              <c:numCache>
                <c:formatCode>0</c:formatCode>
                <c:ptCount val="78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</c:numCache>
            </c:numRef>
          </c:cat>
          <c:val>
            <c:numRef>
              <c:f>SPEC!$T$9:$T$86</c:f>
              <c:numCache>
                <c:formatCode>#,##0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C-40AF-834E-A7808465E2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740479"/>
        <c:axId val="1"/>
      </c:barChart>
      <c:catAx>
        <c:axId val="1877740479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877740479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C8573CBF-5E62-6DD9-2CB7-C8079CFC3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2F363B99-A7EA-00C9-9491-1AA7E8C0D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13B7CB5E-F06B-261C-37EA-235E987DA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D67D2308-E129-9F38-95C9-6BA37C122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224FE6F5-DDBE-5B43-0EB4-83C486361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660DADAE-58FB-136E-28B6-9C41F08EB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A8CB2CC5-0C9E-2059-DB00-972141942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908AD74F-4CEA-E016-3123-26338B73B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73E2E44C-247F-2804-24EB-AF622834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7E8B74A7-6E56-8DD3-D5F5-A56552C30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0.8327486419906166</v>
          </cell>
          <cell r="F59">
            <v>0.69569674775381496</v>
          </cell>
          <cell r="G59">
            <v>0.69569337432076417</v>
          </cell>
          <cell r="H59">
            <v>0.24805125430127761</v>
          </cell>
          <cell r="I59">
            <v>0.20844117807887416</v>
          </cell>
          <cell r="J59">
            <v>0.46187289113608965</v>
          </cell>
          <cell r="K59">
            <v>0.60419430734146251</v>
          </cell>
          <cell r="L59">
            <v>0.93435281670609815</v>
          </cell>
          <cell r="M59">
            <v>0.97476843408532809</v>
          </cell>
          <cell r="N59">
            <v>0.88742679688544024</v>
          </cell>
          <cell r="O59">
            <v>0.75790525561868927</v>
          </cell>
          <cell r="P59">
            <v>0.66756381340029303</v>
          </cell>
          <cell r="Q59">
            <v>0.68319136748827314</v>
          </cell>
          <cell r="R59">
            <v>0.70002808918838577</v>
          </cell>
          <cell r="S59">
            <v>0.64567209520058688</v>
          </cell>
          <cell r="T59">
            <v>0.56308506756102528</v>
          </cell>
          <cell r="U59">
            <v>0.61934345141941838</v>
          </cell>
          <cell r="V59">
            <v>0.53618135739625927</v>
          </cell>
          <cell r="W59">
            <v>0.58626703550474457</v>
          </cell>
          <cell r="X59">
            <v>0.84231495652433752</v>
          </cell>
          <cell r="Y59">
            <v>0.88428024281744111</v>
          </cell>
          <cell r="Z59">
            <v>0.8256069100485609</v>
          </cell>
          <cell r="AA59">
            <v>0.71053749562336754</v>
          </cell>
          <cell r="AB59">
            <v>0.66317975905855608</v>
          </cell>
        </row>
        <row r="60">
          <cell r="E60">
            <v>2.7069742237641581E-2</v>
          </cell>
          <cell r="F60">
            <v>0.17257852680825481</v>
          </cell>
          <cell r="G60">
            <v>0.26947143638312598</v>
          </cell>
          <cell r="H60">
            <v>4.2915007099668334E-2</v>
          </cell>
          <cell r="I60">
            <v>2.6453160826676699E-2</v>
          </cell>
          <cell r="J60">
            <v>0.14104096807839261</v>
          </cell>
          <cell r="K60">
            <v>0.26511780011117225</v>
          </cell>
          <cell r="L60">
            <v>0.43155557305872899</v>
          </cell>
          <cell r="M60">
            <v>0.57734532706541031</v>
          </cell>
          <cell r="N60">
            <v>0.46075602577903202</v>
          </cell>
          <cell r="O60">
            <v>0.3058406271726804</v>
          </cell>
          <cell r="P60">
            <v>0.17401175074285447</v>
          </cell>
          <cell r="Q60">
            <v>0.49836533666184019</v>
          </cell>
          <cell r="R60">
            <v>0.25317173666685411</v>
          </cell>
          <cell r="S60">
            <v>0.17352315499884485</v>
          </cell>
          <cell r="T60">
            <v>0.41917996327362844</v>
          </cell>
          <cell r="U60">
            <v>0.31272140566878925</v>
          </cell>
          <cell r="V60">
            <v>0.2993008206187745</v>
          </cell>
          <cell r="W60">
            <v>0.20625515153471968</v>
          </cell>
          <cell r="X60">
            <v>0.53963872107411315</v>
          </cell>
          <cell r="Y60">
            <v>0.57973075808478347</v>
          </cell>
          <cell r="Z60">
            <v>0.55147588045624629</v>
          </cell>
          <cell r="AA60">
            <v>0.43312415029419182</v>
          </cell>
          <cell r="AB60">
            <v>0.25339950972991637</v>
          </cell>
        </row>
        <row r="62">
          <cell r="E62">
            <v>0.99890094224517934</v>
          </cell>
          <cell r="F62">
            <v>0.98248166708112139</v>
          </cell>
          <cell r="G62">
            <v>0.93176468602731832</v>
          </cell>
          <cell r="H62">
            <v>0.91380450107721478</v>
          </cell>
          <cell r="I62">
            <v>0.79229843311799808</v>
          </cell>
          <cell r="J62">
            <v>0.79333964560942694</v>
          </cell>
          <cell r="K62">
            <v>0.75180668477707335</v>
          </cell>
          <cell r="L62">
            <v>0.98378977107984966</v>
          </cell>
          <cell r="M62">
            <v>0.99485241802065416</v>
          </cell>
          <cell r="N62">
            <v>0.96028423125543072</v>
          </cell>
          <cell r="O62">
            <v>0.87977052519289511</v>
          </cell>
          <cell r="P62">
            <v>0.88791182546343217</v>
          </cell>
          <cell r="Q62">
            <v>0.90304656852762044</v>
          </cell>
          <cell r="R62">
            <v>0.91724304890036346</v>
          </cell>
          <cell r="S62">
            <v>0.88540492016688932</v>
          </cell>
          <cell r="T62">
            <v>0.83338651365923522</v>
          </cell>
          <cell r="U62">
            <v>0.80348983025054155</v>
          </cell>
          <cell r="V62">
            <v>0.72837618970568219</v>
          </cell>
          <cell r="W62">
            <v>0.76689376231247064</v>
          </cell>
          <cell r="X62">
            <v>0.91579833959259427</v>
          </cell>
          <cell r="Y62">
            <v>0.95065368430615327</v>
          </cell>
          <cell r="Z62">
            <v>0.91366859568133751</v>
          </cell>
          <cell r="AA62">
            <v>0.85243335729583591</v>
          </cell>
          <cell r="AB62">
            <v>0.86770611875998049</v>
          </cell>
        </row>
        <row r="63">
          <cell r="E63">
            <v>0.66789250900715924</v>
          </cell>
          <cell r="F63">
            <v>0.74226260087456586</v>
          </cell>
          <cell r="G63">
            <v>0.65931350964212199</v>
          </cell>
          <cell r="H63">
            <v>0.5465773180909278</v>
          </cell>
          <cell r="I63">
            <v>0.3479664162012468</v>
          </cell>
          <cell r="J63">
            <v>0.32445825875484069</v>
          </cell>
          <cell r="K63">
            <v>0.41368159661532244</v>
          </cell>
          <cell r="L63">
            <v>0.68788297643939822</v>
          </cell>
          <cell r="M63">
            <v>0.80076773827199299</v>
          </cell>
          <cell r="N63">
            <v>0.67099171658555723</v>
          </cell>
          <cell r="O63">
            <v>0.52804964632846918</v>
          </cell>
          <cell r="P63">
            <v>0.52495803719982193</v>
          </cell>
          <cell r="Q63">
            <v>0.66102176786114086</v>
          </cell>
          <cell r="R63">
            <v>0.57085774789683941</v>
          </cell>
          <cell r="S63">
            <v>0.48012928233859625</v>
          </cell>
          <cell r="T63">
            <v>0.58950558008869225</v>
          </cell>
          <cell r="U63">
            <v>0.48479691884792064</v>
          </cell>
          <cell r="V63">
            <v>0.45838518164512715</v>
          </cell>
          <cell r="W63">
            <v>0.36620175448542247</v>
          </cell>
          <cell r="X63">
            <v>0.73311374620482161</v>
          </cell>
          <cell r="Y63">
            <v>0.80439312551257747</v>
          </cell>
          <cell r="Z63">
            <v>0.74806525349074227</v>
          </cell>
          <cell r="AA63">
            <v>0.60014371492602681</v>
          </cell>
          <cell r="AB63">
            <v>0.57503771123677483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401.69592716207802</v>
          </cell>
          <cell r="I29">
            <v>456</v>
          </cell>
          <cell r="L29">
            <v>315.70496643870331</v>
          </cell>
          <cell r="M29">
            <v>446</v>
          </cell>
          <cell r="P29">
            <v>290.47711280513124</v>
          </cell>
          <cell r="Q29">
            <v>410</v>
          </cell>
        </row>
        <row r="30">
          <cell r="H30">
            <v>19.012555244044723</v>
          </cell>
          <cell r="I30">
            <v>456</v>
          </cell>
          <cell r="L30">
            <v>72.550627046274457</v>
          </cell>
          <cell r="M30">
            <v>446</v>
          </cell>
          <cell r="P30">
            <v>111.90775670918006</v>
          </cell>
          <cell r="Q30">
            <v>410</v>
          </cell>
        </row>
        <row r="33">
          <cell r="H33">
            <v>230.58609823017702</v>
          </cell>
          <cell r="I33">
            <v>231</v>
          </cell>
          <cell r="L33">
            <v>228.05191448119345</v>
          </cell>
          <cell r="M33">
            <v>233</v>
          </cell>
          <cell r="P33">
            <v>211.61530954369323</v>
          </cell>
          <cell r="Q33">
            <v>228</v>
          </cell>
        </row>
        <row r="34">
          <cell r="H34">
            <v>139.08802391268708</v>
          </cell>
          <cell r="I34">
            <v>231</v>
          </cell>
          <cell r="L34">
            <v>163.77943592640386</v>
          </cell>
          <cell r="M34">
            <v>233</v>
          </cell>
          <cell r="P34">
            <v>143.58802271950418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0357" refreshedDate="37216.687290972222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8" maxValue="3.415" count="27">
        <n v="2.61"/>
        <n v="2.72"/>
        <n v="2.76"/>
        <n v="2.78"/>
        <n v="2.75"/>
        <n v="2.68"/>
        <n v="2.64"/>
        <n v="3.1850000000000001"/>
        <n v="3.3849999999999998"/>
        <n v="3.415"/>
        <n v="3.3650000000000002"/>
        <n v="2.7130000000000001"/>
        <n v="2.806"/>
        <n v="2.7749999999999999"/>
        <n v="2.9359999999999999"/>
        <n v="2.58"/>
        <n v="2.6179999999999999"/>
        <n v="2.6579999999999999"/>
        <n v="2.6949999999999998"/>
        <n v="2.7280000000000002"/>
        <n v="2.73"/>
        <n v="2.7519999999999998"/>
        <n v="3.08"/>
        <n v="3.11"/>
        <n v="3.06"/>
        <n v="2.88"/>
        <m/>
      </sharedItems>
    </cacheField>
    <cacheField name="CP PAYS" numFmtId="0">
      <sharedItems containsString="0" containsBlank="1" containsNumber="1" minValue="2.58" maxValue="3.46" count="27">
        <n v="2.58"/>
        <n v="2.6949999999999998"/>
        <n v="2.73"/>
        <n v="2.7519999999999998"/>
        <n v="2.7280000000000002"/>
        <n v="2.6579999999999999"/>
        <n v="2.6179999999999999"/>
        <n v="2.7130000000000001"/>
        <n v="2.7749999999999999"/>
        <n v="2.806"/>
        <n v="2.9359999999999999"/>
        <n v="2.7349999999999999"/>
        <n v="2.9649999999999999"/>
        <n v="2.9350000000000001"/>
        <n v="2.915"/>
        <n v="2.6749999999999998"/>
        <n v="2.7050000000000001"/>
        <n v="2.7450000000000001"/>
        <n v="2.7850000000000001"/>
        <n v="2.8149999999999999"/>
        <n v="2.8250000000000002"/>
        <n v="2.8450000000000002"/>
        <n v="3.23"/>
        <n v="3.41"/>
        <n v="3.46"/>
        <n v="3.43"/>
        <m/>
      </sharedItems>
    </cacheField>
    <cacheField name="NET" numFmtId="0">
      <sharedItems containsString="0" containsBlank="1" containsNumber="1" containsInteger="1" minValue="-94550" maxValue="101525" count="27">
        <n v="-4500"/>
        <n v="-3875"/>
        <n v="-4340"/>
        <n v="-3410"/>
        <n v="-3300"/>
        <n v="-73160"/>
        <n v="-94550"/>
        <n v="-85260"/>
        <n v="-66495"/>
        <n v="3410"/>
        <n v="22260"/>
        <n v="24800"/>
        <n v="-3255"/>
        <n v="14250"/>
        <n v="13485"/>
        <n v="13050"/>
        <n v="13950"/>
        <n v="14415"/>
        <n v="80135"/>
        <n v="73470"/>
        <n v="91560"/>
        <n v="101525"/>
        <n v="-47275"/>
        <n v="-42560"/>
        <n v="-19220"/>
        <n v="-2588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2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x v="3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x v="4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x v="3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x v="5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x v="6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x v="7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10"/>
    <x v="10"/>
    <x v="8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1"/>
    <x v="11"/>
    <x v="9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2"/>
    <x v="12"/>
    <x v="1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3"/>
    <x v="13"/>
    <x v="11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4"/>
    <x v="14"/>
    <x v="12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5"/>
    <x v="15"/>
    <x v="13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6"/>
    <x v="16"/>
    <x v="14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7"/>
    <x v="17"/>
    <x v="15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8"/>
    <x v="18"/>
    <x v="16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9"/>
    <x v="19"/>
    <x v="14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20"/>
    <x v="20"/>
    <x v="13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1"/>
    <x v="21"/>
    <x v="17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1"/>
    <x v="22"/>
    <x v="18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4"/>
    <x v="23"/>
    <x v="19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2"/>
    <x v="24"/>
    <x v="2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3"/>
    <x v="25"/>
    <x v="21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2"/>
    <x v="8"/>
    <x v="22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3"/>
    <x v="9"/>
    <x v="23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4"/>
    <x v="10"/>
    <x v="24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5"/>
    <x v="7"/>
    <x v="2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6"/>
    <x v="26"/>
    <x v="2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5" x14ac:dyDescent="0.15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75" x14ac:dyDescent="0.2">
      <c r="A1" s="86" t="s">
        <v>10</v>
      </c>
    </row>
    <row r="2" spans="1:5" ht="12.75" x14ac:dyDescent="0.2">
      <c r="A2" s="86" t="s">
        <v>56</v>
      </c>
    </row>
    <row r="3" spans="1:5" ht="12.75" x14ac:dyDescent="0.2">
      <c r="A3" s="86" t="s">
        <v>149</v>
      </c>
    </row>
    <row r="4" spans="1:5" ht="12.75" x14ac:dyDescent="0.2">
      <c r="A4" s="86" t="s">
        <v>12</v>
      </c>
    </row>
    <row r="7" spans="1:5" x14ac:dyDescent="0.15">
      <c r="A7" s="96"/>
      <c r="C7" s="123" t="s">
        <v>42</v>
      </c>
      <c r="D7" s="52"/>
      <c r="E7" s="52"/>
    </row>
    <row r="8" spans="1:5" x14ac:dyDescent="0.15">
      <c r="A8" s="87" t="s">
        <v>41</v>
      </c>
      <c r="C8" s="140">
        <v>731807</v>
      </c>
      <c r="D8" s="115"/>
      <c r="E8" s="115"/>
    </row>
    <row r="9" spans="1:5" x14ac:dyDescent="0.15">
      <c r="A9" s="87" t="s">
        <v>15</v>
      </c>
      <c r="C9" s="88">
        <f>C16+C26</f>
        <v>1316455</v>
      </c>
      <c r="D9" s="102"/>
      <c r="E9" s="102"/>
    </row>
    <row r="10" spans="1:5" x14ac:dyDescent="0.15">
      <c r="A10" s="87" t="s">
        <v>17</v>
      </c>
      <c r="C10" s="88">
        <f>C17+C27</f>
        <v>984083</v>
      </c>
      <c r="D10" s="102"/>
      <c r="E10" s="102"/>
    </row>
    <row r="14" spans="1:5" x14ac:dyDescent="0.15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15">
      <c r="A15" s="87" t="s">
        <v>41</v>
      </c>
      <c r="B15" s="102"/>
      <c r="C15" s="139">
        <v>681358</v>
      </c>
      <c r="D15" s="124">
        <v>2500000</v>
      </c>
      <c r="E15" s="125">
        <f>IF(ABS(C15)&gt;D15,ABS(C15)-D15,0)</f>
        <v>0</v>
      </c>
    </row>
    <row r="16" spans="1:5" x14ac:dyDescent="0.15">
      <c r="A16" s="87" t="s">
        <v>88</v>
      </c>
      <c r="C16" s="88">
        <f>'PLR SUM'!AA29</f>
        <v>1206935</v>
      </c>
      <c r="D16" s="88">
        <v>-2500000</v>
      </c>
      <c r="E16" s="126">
        <f>IF(C16&lt;D16,ABS(C16)-D16,0)</f>
        <v>0</v>
      </c>
    </row>
    <row r="17" spans="1:5" x14ac:dyDescent="0.15">
      <c r="A17" s="87" t="s">
        <v>89</v>
      </c>
      <c r="C17" s="88">
        <f>'5-DAY'!C1</f>
        <v>786660</v>
      </c>
      <c r="D17" s="88">
        <v>-5625000</v>
      </c>
      <c r="E17" s="126">
        <f>IF(C17&lt;D17,C17-D17,0)</f>
        <v>0</v>
      </c>
    </row>
    <row r="18" spans="1:5" x14ac:dyDescent="0.15">
      <c r="A18" s="87" t="s">
        <v>47</v>
      </c>
      <c r="C18" s="99">
        <f>'Gap Risk'!B26</f>
        <v>-6831363.6963999998</v>
      </c>
      <c r="D18" s="128">
        <v>17000000</v>
      </c>
      <c r="E18" s="127">
        <f>IF(ABS(C18)&gt;D18,ABS(C18)-D18,0)</f>
        <v>0</v>
      </c>
    </row>
    <row r="19" spans="1:5" x14ac:dyDescent="0.15">
      <c r="A19" s="87" t="s">
        <v>117</v>
      </c>
      <c r="C19" s="99">
        <f>'Gap Risk'!B17</f>
        <v>-9392957.5381000005</v>
      </c>
      <c r="D19" s="128">
        <v>17000000</v>
      </c>
      <c r="E19" s="127">
        <f>IF(ABS(C19)&gt;D19,ABS(C19)-D19,0)</f>
        <v>0</v>
      </c>
    </row>
    <row r="22" spans="1:5" x14ac:dyDescent="0.15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15">
      <c r="A23" s="87" t="s">
        <v>41</v>
      </c>
      <c r="B23" s="102"/>
      <c r="C23" s="139">
        <v>73108</v>
      </c>
      <c r="D23" s="124">
        <v>1000000</v>
      </c>
      <c r="E23" s="125">
        <f>'SPEC REPORT'!K8</f>
        <v>0</v>
      </c>
    </row>
    <row r="24" spans="1:5" x14ac:dyDescent="0.15">
      <c r="A24" s="87" t="s">
        <v>47</v>
      </c>
      <c r="C24" s="99">
        <f>'SPEC REPORT'!I11</f>
        <v>-399999.99979999999</v>
      </c>
      <c r="D24" s="128">
        <v>5000000</v>
      </c>
      <c r="E24" s="127">
        <f>'SPEC REPORT'!K11</f>
        <v>0</v>
      </c>
    </row>
    <row r="25" spans="1:5" x14ac:dyDescent="0.15">
      <c r="A25" s="87" t="s">
        <v>117</v>
      </c>
      <c r="C25" s="99">
        <f>'SPEC REPORT'!I12</f>
        <v>-399999.99979999999</v>
      </c>
      <c r="D25" s="128">
        <v>5000000</v>
      </c>
      <c r="E25" s="127"/>
    </row>
    <row r="26" spans="1:5" x14ac:dyDescent="0.15">
      <c r="A26" s="87" t="s">
        <v>88</v>
      </c>
      <c r="C26" s="88">
        <f>'SPEC REPORT'!I9</f>
        <v>109520</v>
      </c>
      <c r="D26" s="88">
        <v>-1000000</v>
      </c>
      <c r="E26" s="126">
        <f>IF(C26&lt;D26,ABS(C26)-D26,0)</f>
        <v>0</v>
      </c>
    </row>
    <row r="27" spans="1:5" x14ac:dyDescent="0.15">
      <c r="A27" s="87" t="s">
        <v>89</v>
      </c>
      <c r="C27" s="88">
        <f>'SPEC REPORT'!I10</f>
        <v>197423</v>
      </c>
      <c r="D27" s="88">
        <v>-2250000</v>
      </c>
      <c r="E27" s="126">
        <f>IF(C27&lt;D27,C27-D27,0)</f>
        <v>0</v>
      </c>
    </row>
    <row r="28" spans="1:5" x14ac:dyDescent="0.15">
      <c r="A28" s="87" t="s">
        <v>86</v>
      </c>
      <c r="C28" s="181">
        <f>'5-DAY'!F2</f>
        <v>77212.939999999944</v>
      </c>
    </row>
    <row r="29" spans="1:5" x14ac:dyDescent="0.15">
      <c r="A29" s="87" t="s">
        <v>87</v>
      </c>
      <c r="C29" s="181">
        <f>SUM('5-DAY'!C80:C217)</f>
        <v>-655453.06000000006</v>
      </c>
    </row>
    <row r="30" spans="1:5" x14ac:dyDescent="0.15">
      <c r="A30" s="87" t="s">
        <v>18</v>
      </c>
      <c r="C30" s="88">
        <f>'SPEC REPORT'!D12</f>
        <v>4266572.5432664901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19" ht="10.5" x14ac:dyDescent="0.15">
      <c r="A1" s="160" t="s">
        <v>96</v>
      </c>
      <c r="C1" s="162"/>
    </row>
    <row r="2" spans="1:19" ht="10.5" x14ac:dyDescent="0.15">
      <c r="A2" s="160" t="str">
        <f>'GAS SUM'!A3</f>
        <v>As of November 21, 2001</v>
      </c>
      <c r="C2" s="162"/>
    </row>
    <row r="4" spans="1:19" x14ac:dyDescent="0.15">
      <c r="N4" s="166"/>
      <c r="O4" s="161"/>
    </row>
    <row r="5" spans="1:19" x14ac:dyDescent="0.15">
      <c r="N5" s="166"/>
      <c r="O5" s="161"/>
    </row>
    <row r="6" spans="1:19" x14ac:dyDescent="0.15">
      <c r="N6" s="163" t="s">
        <v>135</v>
      </c>
      <c r="O6" s="161"/>
    </row>
    <row r="7" spans="1:19" x14ac:dyDescent="0.15">
      <c r="N7" s="167" t="s">
        <v>90</v>
      </c>
      <c r="O7" s="168" t="s">
        <v>91</v>
      </c>
      <c r="P7" s="169" t="s">
        <v>92</v>
      </c>
      <c r="Q7" s="169" t="s">
        <v>99</v>
      </c>
      <c r="R7" s="63"/>
      <c r="S7" s="63"/>
    </row>
    <row r="8" spans="1:19" x14ac:dyDescent="0.15">
      <c r="N8" s="166">
        <f>'5-DAY'!A39</f>
        <v>37104</v>
      </c>
      <c r="O8" s="161">
        <f>'5-DAY'!B39/1000</f>
        <v>3258.4079999999999</v>
      </c>
      <c r="P8" s="161">
        <v>3894</v>
      </c>
      <c r="Q8" s="161"/>
      <c r="R8" s="161"/>
      <c r="S8" s="161"/>
    </row>
    <row r="9" spans="1:19" x14ac:dyDescent="0.15">
      <c r="N9" s="166">
        <f>'5-DAY'!A40</f>
        <v>37105</v>
      </c>
      <c r="O9" s="161">
        <f>'5-DAY'!B40/1000</f>
        <v>-1196.0889999999999</v>
      </c>
      <c r="P9" s="161">
        <v>1865</v>
      </c>
      <c r="Q9" s="161">
        <f>VAR!B4/1000</f>
        <v>2346.3690000000001</v>
      </c>
      <c r="R9" s="161"/>
      <c r="S9" s="161"/>
    </row>
    <row r="10" spans="1:19" x14ac:dyDescent="0.15">
      <c r="N10" s="166">
        <f>'5-DAY'!A41</f>
        <v>37106</v>
      </c>
      <c r="O10" s="161">
        <f>'5-DAY'!B41/1000</f>
        <v>1275.855</v>
      </c>
      <c r="P10" s="161">
        <v>2117</v>
      </c>
      <c r="Q10" s="161">
        <f>VAR!B5/1000</f>
        <v>2188.87</v>
      </c>
      <c r="R10" s="161"/>
      <c r="S10" s="161"/>
    </row>
    <row r="11" spans="1:19" x14ac:dyDescent="0.15">
      <c r="N11" s="166">
        <f>'5-DAY'!A42</f>
        <v>37109</v>
      </c>
      <c r="O11" s="161">
        <f>'5-DAY'!B42/1000</f>
        <v>-2323.857</v>
      </c>
      <c r="P11" s="161">
        <v>922</v>
      </c>
      <c r="Q11" s="161">
        <f>VAR!B6/1000</f>
        <v>2225.3249999999998</v>
      </c>
      <c r="R11" s="161"/>
      <c r="S11" s="161"/>
    </row>
    <row r="12" spans="1:19" x14ac:dyDescent="0.15">
      <c r="N12" s="166">
        <f>'5-DAY'!A43</f>
        <v>37110</v>
      </c>
      <c r="O12" s="161">
        <f>'5-DAY'!B43/1000</f>
        <v>308.44799999999998</v>
      </c>
      <c r="P12" s="161">
        <f t="shared" ref="P12:P21" si="0">SUM(O8:O12)</f>
        <v>1322.7649999999999</v>
      </c>
      <c r="Q12" s="161">
        <f>VAR!B7/1000</f>
        <v>2124.9850000000001</v>
      </c>
      <c r="R12" s="161"/>
      <c r="S12" s="161"/>
    </row>
    <row r="13" spans="1:19" x14ac:dyDescent="0.15">
      <c r="N13" s="166">
        <f>'5-DAY'!A44</f>
        <v>37111</v>
      </c>
      <c r="O13" s="161">
        <f>'5-DAY'!B44/1000</f>
        <v>1183.4349999999999</v>
      </c>
      <c r="P13" s="161">
        <f t="shared" si="0"/>
        <v>-752.20800000000008</v>
      </c>
      <c r="Q13" s="161">
        <f>VAR!B8/1000</f>
        <v>2145.674</v>
      </c>
      <c r="R13" s="161"/>
      <c r="S13" s="161"/>
    </row>
    <row r="14" spans="1:19" x14ac:dyDescent="0.15">
      <c r="N14" s="166">
        <f>'5-DAY'!A45</f>
        <v>37112</v>
      </c>
      <c r="O14" s="161">
        <f>'5-DAY'!B45/1000</f>
        <v>1159.5350000000001</v>
      </c>
      <c r="P14" s="161">
        <f t="shared" si="0"/>
        <v>1603.4160000000002</v>
      </c>
      <c r="Q14" s="161">
        <f>VAR!B9/1000</f>
        <v>2094.9850000000001</v>
      </c>
      <c r="R14" s="161"/>
      <c r="S14" s="161"/>
    </row>
    <row r="15" spans="1:19" x14ac:dyDescent="0.15">
      <c r="N15" s="166">
        <f>'5-DAY'!A46</f>
        <v>37113</v>
      </c>
      <c r="O15" s="161">
        <f>'5-DAY'!B46/1000</f>
        <v>-595.70600000000002</v>
      </c>
      <c r="P15" s="161">
        <f t="shared" si="0"/>
        <v>-268.1450000000001</v>
      </c>
      <c r="Q15" s="161">
        <f>VAR!B10/1000</f>
        <v>2079.2869999999998</v>
      </c>
      <c r="R15" s="161"/>
      <c r="S15" s="161"/>
    </row>
    <row r="16" spans="1:19" x14ac:dyDescent="0.15">
      <c r="N16" s="166">
        <f>'5-DAY'!A47</f>
        <v>37116</v>
      </c>
      <c r="O16" s="161">
        <f>'5-DAY'!B47/1000</f>
        <v>-6281.8689999999997</v>
      </c>
      <c r="P16" s="161">
        <f t="shared" si="0"/>
        <v>-4226.1570000000002</v>
      </c>
      <c r="Q16" s="161">
        <f>VAR!B11/1000</f>
        <v>1611.819</v>
      </c>
      <c r="R16" s="161"/>
      <c r="S16" s="161"/>
    </row>
    <row r="17" spans="14:17" x14ac:dyDescent="0.15">
      <c r="N17" s="166">
        <f>'5-DAY'!A48</f>
        <v>37117</v>
      </c>
      <c r="O17" s="161">
        <f>'5-DAY'!B48/1000</f>
        <v>-44.610999999999997</v>
      </c>
      <c r="P17" s="161">
        <f t="shared" si="0"/>
        <v>-4579.2159999999994</v>
      </c>
      <c r="Q17" s="161">
        <f>VAR!B12/1000</f>
        <v>1644.596</v>
      </c>
    </row>
    <row r="18" spans="14:17" x14ac:dyDescent="0.15">
      <c r="N18" s="166">
        <f>'5-DAY'!A49</f>
        <v>37118</v>
      </c>
      <c r="O18" s="161">
        <f>'5-DAY'!B49/1000</f>
        <v>-1707.2070000000001</v>
      </c>
      <c r="P18" s="161">
        <f t="shared" si="0"/>
        <v>-7469.8580000000002</v>
      </c>
      <c r="Q18" s="161">
        <f>VAR!B13/1000</f>
        <v>1777.097</v>
      </c>
    </row>
    <row r="19" spans="14:17" x14ac:dyDescent="0.15">
      <c r="N19" s="166">
        <f>'5-DAY'!A50</f>
        <v>37119</v>
      </c>
      <c r="O19" s="161">
        <f>'5-DAY'!B50/1000</f>
        <v>27.548999999999999</v>
      </c>
      <c r="P19" s="161">
        <f t="shared" si="0"/>
        <v>-8601.8439999999991</v>
      </c>
      <c r="Q19" s="161">
        <f>VAR!B14/1000</f>
        <v>1743.7950000000001</v>
      </c>
    </row>
    <row r="20" spans="14:17" x14ac:dyDescent="0.15">
      <c r="N20" s="166">
        <f>'5-DAY'!A51</f>
        <v>37120</v>
      </c>
      <c r="O20" s="161">
        <f>'5-DAY'!B51/1000</f>
        <v>634.74599999999998</v>
      </c>
      <c r="P20" s="161">
        <f t="shared" si="0"/>
        <v>-7371.3919999999998</v>
      </c>
      <c r="Q20" s="161">
        <f>VAR!B15/1000</f>
        <v>1716.027</v>
      </c>
    </row>
    <row r="21" spans="14:17" x14ac:dyDescent="0.15">
      <c r="N21" s="166">
        <f>'5-DAY'!A52</f>
        <v>37123</v>
      </c>
      <c r="O21" s="161">
        <f>'5-DAY'!B52/1000</f>
        <v>1044.671</v>
      </c>
      <c r="P21" s="161">
        <f t="shared" si="0"/>
        <v>-44.852000000000089</v>
      </c>
      <c r="Q21" s="161">
        <f>VAR!B16/1000</f>
        <v>1664.3050000000001</v>
      </c>
    </row>
    <row r="22" spans="14:17" x14ac:dyDescent="0.15">
      <c r="N22" s="166">
        <f>'5-DAY'!A53</f>
        <v>37124</v>
      </c>
      <c r="O22" s="161">
        <f>'5-DAY'!B53/1000</f>
        <v>-546.79200000000003</v>
      </c>
      <c r="P22" s="161">
        <f t="shared" ref="P22:P27" si="1">SUM(O18:O22)</f>
        <v>-547.03300000000024</v>
      </c>
      <c r="Q22" s="161">
        <f>VAR!B17/1000</f>
        <v>1874.5219999999999</v>
      </c>
    </row>
    <row r="23" spans="14:17" x14ac:dyDescent="0.15">
      <c r="N23" s="166">
        <f>'5-DAY'!A54</f>
        <v>37125</v>
      </c>
      <c r="O23" s="161">
        <f>'5-DAY'!B54/1000</f>
        <v>1777.8440000000001</v>
      </c>
      <c r="P23" s="161">
        <f t="shared" si="1"/>
        <v>2938.018</v>
      </c>
      <c r="Q23" s="161">
        <f>VAR!B18/1000</f>
        <v>1748.8009999999999</v>
      </c>
    </row>
    <row r="24" spans="14:17" x14ac:dyDescent="0.15">
      <c r="N24" s="166">
        <f>'5-DAY'!A55</f>
        <v>37126</v>
      </c>
      <c r="O24" s="161">
        <f>'5-DAY'!B55/1000</f>
        <v>-343.24099999999999</v>
      </c>
      <c r="P24" s="161">
        <f t="shared" si="1"/>
        <v>2567.2280000000001</v>
      </c>
      <c r="Q24" s="161">
        <f>VAR!B19/1000</f>
        <v>1821.6110000000001</v>
      </c>
    </row>
    <row r="25" spans="14:17" x14ac:dyDescent="0.15">
      <c r="N25" s="166">
        <f>'5-DAY'!A56</f>
        <v>37127</v>
      </c>
      <c r="O25" s="161">
        <f>'5-DAY'!B56/1000</f>
        <v>918.19200000000001</v>
      </c>
      <c r="P25" s="161">
        <f t="shared" si="1"/>
        <v>2850.674</v>
      </c>
      <c r="Q25" s="161">
        <f>VAR!B20/1000</f>
        <v>1776.2909999999999</v>
      </c>
    </row>
    <row r="26" spans="14:17" x14ac:dyDescent="0.15">
      <c r="N26" s="166">
        <f>'5-DAY'!A57</f>
        <v>37130</v>
      </c>
      <c r="O26" s="161">
        <f>'5-DAY'!B57/1000</f>
        <v>1529.049</v>
      </c>
      <c r="P26" s="161">
        <f t="shared" si="1"/>
        <v>3335.0520000000001</v>
      </c>
      <c r="Q26" s="161">
        <f>VAR!B21/1000</f>
        <v>1688.4110000000001</v>
      </c>
    </row>
    <row r="27" spans="14:17" x14ac:dyDescent="0.15">
      <c r="N27" s="166">
        <f>'5-DAY'!A58</f>
        <v>37131</v>
      </c>
      <c r="O27" s="161">
        <f>'5-DAY'!B58/1000</f>
        <v>198.209</v>
      </c>
      <c r="P27" s="161">
        <f t="shared" si="1"/>
        <v>4080.0529999999999</v>
      </c>
      <c r="Q27" s="161">
        <f>VAR!B22/1000</f>
        <v>1648.123</v>
      </c>
    </row>
    <row r="28" spans="14:17" x14ac:dyDescent="0.15">
      <c r="N28" s="166">
        <f>'5-DAY'!A59</f>
        <v>37132</v>
      </c>
      <c r="O28" s="161">
        <f>'5-DAY'!B59/1000</f>
        <v>1578.88</v>
      </c>
      <c r="P28" s="161">
        <f t="shared" ref="P28:P33" si="2">SUM(O24:O28)</f>
        <v>3881.0889999999999</v>
      </c>
      <c r="Q28" s="161">
        <f>VAR!B23/1000</f>
        <v>1788.4880000000001</v>
      </c>
    </row>
    <row r="29" spans="14:17" x14ac:dyDescent="0.15">
      <c r="N29" s="166">
        <f>'5-DAY'!A60</f>
        <v>37133</v>
      </c>
      <c r="O29" s="161">
        <f>'5-DAY'!B60/1000</f>
        <v>-262.39999999999998</v>
      </c>
      <c r="P29" s="161">
        <f t="shared" si="2"/>
        <v>3961.93</v>
      </c>
      <c r="Q29" s="161">
        <f>VAR!B24/1000</f>
        <v>1894.682</v>
      </c>
    </row>
    <row r="30" spans="14:17" x14ac:dyDescent="0.15">
      <c r="N30" s="193">
        <f>'5-DAY'!A61</f>
        <v>37134</v>
      </c>
      <c r="O30" s="179">
        <f>'5-DAY'!B61/1000</f>
        <v>404.65300000000002</v>
      </c>
      <c r="P30" s="179">
        <f t="shared" si="2"/>
        <v>3448.3909999999996</v>
      </c>
      <c r="Q30" s="179">
        <f>VAR!B25/1000</f>
        <v>1955.0889999999999</v>
      </c>
    </row>
    <row r="31" spans="14:17" x14ac:dyDescent="0.15">
      <c r="N31" s="166">
        <f>'5-DAY'!A62</f>
        <v>37138</v>
      </c>
      <c r="O31" s="161">
        <f>'5-DAY'!B62/1000</f>
        <v>2030.4010000000001</v>
      </c>
      <c r="P31" s="161">
        <f t="shared" si="2"/>
        <v>3949.7430000000004</v>
      </c>
      <c r="Q31" s="161">
        <f>VAR!B26/1000</f>
        <v>1973.9179999999999</v>
      </c>
    </row>
    <row r="32" spans="14:17" x14ac:dyDescent="0.15">
      <c r="N32" s="166">
        <f>'5-DAY'!A63</f>
        <v>37139</v>
      </c>
      <c r="O32" s="161">
        <f>'5-DAY'!B63/1000</f>
        <v>-267.93200000000002</v>
      </c>
      <c r="P32" s="161">
        <f t="shared" si="2"/>
        <v>3483.6019999999999</v>
      </c>
      <c r="Q32" s="161">
        <f>VAR!B27/1000</f>
        <v>1973.9179999999999</v>
      </c>
    </row>
    <row r="33" spans="14:17" x14ac:dyDescent="0.15">
      <c r="N33" s="166">
        <f>'5-DAY'!A64</f>
        <v>37140</v>
      </c>
      <c r="O33" s="161">
        <f>'5-DAY'!B64/1000</f>
        <v>-174.27199999999999</v>
      </c>
      <c r="P33" s="161">
        <f t="shared" si="2"/>
        <v>1730.45</v>
      </c>
      <c r="Q33" s="161">
        <f>VAR!B28/1000</f>
        <v>850.29899999999998</v>
      </c>
    </row>
    <row r="34" spans="14:17" x14ac:dyDescent="0.15">
      <c r="N34" s="166">
        <f>'5-DAY'!A65</f>
        <v>37141</v>
      </c>
      <c r="O34" s="161">
        <f>'5-DAY'!B65/1000</f>
        <v>-259.29000000000002</v>
      </c>
      <c r="P34" s="161">
        <f t="shared" ref="P34:P39" si="3">SUM(O30:O34)</f>
        <v>1733.5600000000004</v>
      </c>
      <c r="Q34" s="161">
        <f>VAR!B29/1000</f>
        <v>995.49099999999999</v>
      </c>
    </row>
    <row r="35" spans="14:17" x14ac:dyDescent="0.15">
      <c r="N35" s="166">
        <f>'5-DAY'!A66</f>
        <v>37144</v>
      </c>
      <c r="O35" s="161">
        <f>'5-DAY'!B66/1000</f>
        <v>155.904</v>
      </c>
      <c r="P35" s="161">
        <f t="shared" si="3"/>
        <v>1484.8110000000001</v>
      </c>
      <c r="Q35" s="161">
        <f>VAR!B30/1000</f>
        <v>1216.3050000000001</v>
      </c>
    </row>
    <row r="36" spans="14:17" x14ac:dyDescent="0.15">
      <c r="N36" s="166">
        <f>'5-DAY'!A67</f>
        <v>37146</v>
      </c>
      <c r="O36" s="161">
        <f>'5-DAY'!B67/1000</f>
        <v>10.329000000000001</v>
      </c>
      <c r="P36" s="161">
        <f t="shared" si="3"/>
        <v>-535.26100000000008</v>
      </c>
      <c r="Q36" s="161">
        <f>VAR!B31/1000</f>
        <v>1255.9259999999999</v>
      </c>
    </row>
    <row r="37" spans="14:17" x14ac:dyDescent="0.15">
      <c r="N37" s="166">
        <f>'5-DAY'!A68</f>
        <v>37147</v>
      </c>
      <c r="O37" s="161">
        <f>'5-DAY'!B68/1000</f>
        <v>-1035.1510000000001</v>
      </c>
      <c r="P37" s="161">
        <f t="shared" si="3"/>
        <v>-1302.48</v>
      </c>
      <c r="Q37" s="161">
        <f>VAR!B32/1000</f>
        <v>1323.7750000000001</v>
      </c>
    </row>
    <row r="38" spans="14:17" x14ac:dyDescent="0.15">
      <c r="N38" s="166">
        <f>'5-DAY'!A69</f>
        <v>37148</v>
      </c>
      <c r="O38" s="161">
        <f>'5-DAY'!B69/1000</f>
        <v>131.95500000000001</v>
      </c>
      <c r="P38" s="161">
        <f t="shared" si="3"/>
        <v>-996.25300000000004</v>
      </c>
      <c r="Q38" s="161">
        <f>VAR!B33/1000</f>
        <v>1378.4469999999999</v>
      </c>
    </row>
    <row r="39" spans="14:17" x14ac:dyDescent="0.15">
      <c r="N39" s="166">
        <f>'5-DAY'!A70</f>
        <v>37151</v>
      </c>
      <c r="O39" s="161">
        <f>'5-DAY'!B70/1000</f>
        <v>-519.45500000000004</v>
      </c>
      <c r="P39" s="161">
        <f t="shared" si="3"/>
        <v>-1256.4180000000001</v>
      </c>
      <c r="Q39" s="161">
        <f>VAR!B34/1000</f>
        <v>1308.2909999999999</v>
      </c>
    </row>
    <row r="40" spans="14:17" x14ac:dyDescent="0.15">
      <c r="N40" s="166">
        <f>'5-DAY'!A71</f>
        <v>37152</v>
      </c>
      <c r="O40" s="161">
        <f>'5-DAY'!B71/1000</f>
        <v>927.49300000000005</v>
      </c>
      <c r="P40" s="161">
        <f t="shared" ref="P40:P45" si="4">SUM(O36:O40)</f>
        <v>-484.82900000000006</v>
      </c>
      <c r="Q40" s="161">
        <f>VAR!B35/1000</f>
        <v>1524.0840000000001</v>
      </c>
    </row>
    <row r="41" spans="14:17" x14ac:dyDescent="0.15">
      <c r="N41" s="166">
        <f>'5-DAY'!A72</f>
        <v>37153</v>
      </c>
      <c r="O41" s="161">
        <f>'5-DAY'!B72/1000</f>
        <v>278.89699999999999</v>
      </c>
      <c r="P41" s="161">
        <f t="shared" si="4"/>
        <v>-216.26100000000002</v>
      </c>
      <c r="Q41" s="161">
        <f>VAR!B36/1000</f>
        <v>1336.3489999999999</v>
      </c>
    </row>
    <row r="42" spans="14:17" x14ac:dyDescent="0.15">
      <c r="N42" s="166">
        <f>'5-DAY'!A73</f>
        <v>37154</v>
      </c>
      <c r="O42" s="161">
        <f>'5-DAY'!B73/1000</f>
        <v>-324.24900000000002</v>
      </c>
      <c r="P42" s="161">
        <f t="shared" si="4"/>
        <v>494.64100000000008</v>
      </c>
      <c r="Q42" s="161">
        <f>VAR!B37/1000</f>
        <v>1268.3630000000001</v>
      </c>
    </row>
    <row r="43" spans="14:17" x14ac:dyDescent="0.15">
      <c r="N43" s="166">
        <f>'5-DAY'!A74</f>
        <v>37155</v>
      </c>
      <c r="O43" s="161">
        <f>'5-DAY'!B74/1000</f>
        <v>131.14699999999999</v>
      </c>
      <c r="P43" s="161">
        <f t="shared" si="4"/>
        <v>493.83299999999991</v>
      </c>
      <c r="Q43" s="161">
        <f>VAR!B38/1000</f>
        <v>1211.328</v>
      </c>
    </row>
    <row r="44" spans="14:17" x14ac:dyDescent="0.15">
      <c r="N44" s="166">
        <f>'5-DAY'!A75</f>
        <v>37158</v>
      </c>
      <c r="O44" s="161">
        <f>'5-DAY'!B75/1000</f>
        <v>649.428</v>
      </c>
      <c r="P44" s="161">
        <f t="shared" si="4"/>
        <v>1662.7159999999999</v>
      </c>
      <c r="Q44" s="161">
        <f>VAR!B39/1000</f>
        <v>1507.0550000000001</v>
      </c>
    </row>
    <row r="45" spans="14:17" x14ac:dyDescent="0.15">
      <c r="N45" s="166">
        <f>'5-DAY'!A76</f>
        <v>37159</v>
      </c>
      <c r="O45" s="161">
        <f>'5-DAY'!B76/1000</f>
        <v>-1177.383</v>
      </c>
      <c r="P45" s="161">
        <f t="shared" si="4"/>
        <v>-442.16000000000008</v>
      </c>
      <c r="Q45" s="161">
        <f>VAR!B40/1000</f>
        <v>1350.778</v>
      </c>
    </row>
    <row r="46" spans="14:17" x14ac:dyDescent="0.15">
      <c r="N46" s="166">
        <f>'5-DAY'!A77</f>
        <v>37160</v>
      </c>
      <c r="O46" s="161">
        <f>'5-DAY'!B77/1000</f>
        <v>330.49900000000002</v>
      </c>
      <c r="P46" s="161">
        <f t="shared" ref="P46:P51" si="5">SUM(O42:O46)</f>
        <v>-390.55799999999999</v>
      </c>
      <c r="Q46" s="161">
        <f>VAR!B41/1000</f>
        <v>1365.5650000000001</v>
      </c>
    </row>
    <row r="47" spans="14:17" x14ac:dyDescent="0.15">
      <c r="N47" s="166">
        <f>'5-DAY'!A78</f>
        <v>37161</v>
      </c>
      <c r="O47" s="161">
        <f>'5-DAY'!B78/1000</f>
        <v>237.21600000000001</v>
      </c>
      <c r="P47" s="161">
        <f t="shared" si="5"/>
        <v>170.90700000000004</v>
      </c>
      <c r="Q47" s="161">
        <f>VAR!B42/1000</f>
        <v>1406.354</v>
      </c>
    </row>
    <row r="48" spans="14:17" x14ac:dyDescent="0.15">
      <c r="N48" s="178">
        <f>'5-DAY'!A79</f>
        <v>37162</v>
      </c>
      <c r="O48" s="179">
        <f>'5-DAY'!B79/1000</f>
        <v>-413.71300000000002</v>
      </c>
      <c r="P48" s="179">
        <f t="shared" si="5"/>
        <v>-373.95300000000003</v>
      </c>
      <c r="Q48" s="179">
        <f>VAR!B43/1000</f>
        <v>1483.992</v>
      </c>
    </row>
    <row r="49" spans="13:17" x14ac:dyDescent="0.15">
      <c r="M49" s="164"/>
      <c r="N49" s="196">
        <f>'5-DAY'!A80</f>
        <v>37165</v>
      </c>
      <c r="O49" s="198">
        <f>'5-DAY'!B80/1000</f>
        <v>-398.024</v>
      </c>
      <c r="P49" s="198">
        <f t="shared" si="5"/>
        <v>-1421.4050000000002</v>
      </c>
      <c r="Q49" s="198">
        <f>VAR!B44/1000</f>
        <v>1438.6379999999999</v>
      </c>
    </row>
    <row r="50" spans="13:17" x14ac:dyDescent="0.15">
      <c r="N50" s="196">
        <f>'5-DAY'!A81</f>
        <v>37166</v>
      </c>
      <c r="O50" s="198">
        <f>'5-DAY'!B81/1000</f>
        <v>-39.332999999999998</v>
      </c>
      <c r="P50" s="198">
        <f t="shared" si="5"/>
        <v>-283.35500000000002</v>
      </c>
      <c r="Q50" s="198">
        <f>VAR!B45/1000</f>
        <v>1284.451</v>
      </c>
    </row>
    <row r="51" spans="13:17" x14ac:dyDescent="0.15">
      <c r="N51" s="196">
        <f>'5-DAY'!A82</f>
        <v>37167</v>
      </c>
      <c r="O51" s="198">
        <f>'5-DAY'!B82/1000</f>
        <v>312.67899999999997</v>
      </c>
      <c r="P51" s="198">
        <f t="shared" si="5"/>
        <v>-301.17499999999995</v>
      </c>
      <c r="Q51" s="198">
        <f>VAR!B46/1000</f>
        <v>554.98400000000004</v>
      </c>
    </row>
    <row r="52" spans="13:17" x14ac:dyDescent="0.15">
      <c r="N52" s="196">
        <f>'5-DAY'!A83</f>
        <v>37168</v>
      </c>
      <c r="O52" s="198">
        <f>'5-DAY'!B83/1000</f>
        <v>209.43600000000001</v>
      </c>
      <c r="P52" s="198">
        <f t="shared" ref="P52:P57" si="6">SUM(O48:O52)</f>
        <v>-328.95500000000004</v>
      </c>
      <c r="Q52" s="198">
        <f>VAR!B47/1000</f>
        <v>632.76400000000001</v>
      </c>
    </row>
    <row r="53" spans="13:17" x14ac:dyDescent="0.15">
      <c r="N53" s="196">
        <f>'5-DAY'!A84</f>
        <v>37169</v>
      </c>
      <c r="O53" s="198">
        <f>'5-DAY'!B84/1000</f>
        <v>-301.61700000000002</v>
      </c>
      <c r="P53" s="198">
        <f t="shared" si="6"/>
        <v>-216.85900000000001</v>
      </c>
      <c r="Q53" s="198">
        <f>VAR!B48/1000</f>
        <v>490.476</v>
      </c>
    </row>
    <row r="54" spans="13:17" x14ac:dyDescent="0.15">
      <c r="N54" s="196">
        <f>'5-DAY'!A85</f>
        <v>37172</v>
      </c>
      <c r="O54" s="198">
        <f>'5-DAY'!B85/1000</f>
        <v>111.378</v>
      </c>
      <c r="P54" s="198">
        <f t="shared" si="6"/>
        <v>292.54300000000001</v>
      </c>
      <c r="Q54" s="198">
        <f>VAR!B49/1000</f>
        <v>559.63</v>
      </c>
    </row>
    <row r="55" spans="13:17" x14ac:dyDescent="0.15">
      <c r="N55" s="196">
        <f>'5-DAY'!A86</f>
        <v>37173</v>
      </c>
      <c r="O55" s="198">
        <f>'5-DAY'!B86/1000</f>
        <v>349.38499999999999</v>
      </c>
      <c r="P55" s="198">
        <f t="shared" si="6"/>
        <v>681.26099999999997</v>
      </c>
      <c r="Q55" s="198">
        <f>VAR!B50/1000</f>
        <v>515.33900000000006</v>
      </c>
    </row>
    <row r="56" spans="13:17" x14ac:dyDescent="0.15">
      <c r="N56" s="196">
        <f>'5-DAY'!A87</f>
        <v>37174</v>
      </c>
      <c r="O56" s="198">
        <f>'5-DAY'!B87/1000</f>
        <v>51.353999999999999</v>
      </c>
      <c r="P56" s="198">
        <f t="shared" si="6"/>
        <v>419.93599999999998</v>
      </c>
      <c r="Q56" s="198">
        <f>VAR!B51/1000</f>
        <v>495.30200000000002</v>
      </c>
    </row>
    <row r="57" spans="13:17" x14ac:dyDescent="0.15">
      <c r="N57" s="196">
        <f>'5-DAY'!A88</f>
        <v>37175</v>
      </c>
      <c r="O57" s="198">
        <f>'5-DAY'!B88/1000</f>
        <v>32.034999999999997</v>
      </c>
      <c r="P57" s="198">
        <f t="shared" si="6"/>
        <v>242.53499999999994</v>
      </c>
      <c r="Q57" s="198">
        <f>VAR!B52/1000</f>
        <v>538.06100000000004</v>
      </c>
    </row>
    <row r="58" spans="13:17" x14ac:dyDescent="0.15">
      <c r="N58" s="196">
        <f>'5-DAY'!A89</f>
        <v>37176</v>
      </c>
      <c r="O58" s="198">
        <f>'5-DAY'!B89/1000</f>
        <v>-49.484999999999999</v>
      </c>
      <c r="P58" s="198">
        <f t="shared" ref="P58:P63" si="7">SUM(O54:O58)</f>
        <v>494.66699999999992</v>
      </c>
      <c r="Q58" s="198">
        <f>VAR!B53/1000</f>
        <v>602.75099999999998</v>
      </c>
    </row>
    <row r="59" spans="13:17" x14ac:dyDescent="0.15">
      <c r="N59" s="196">
        <f>'5-DAY'!A90</f>
        <v>37179</v>
      </c>
      <c r="O59" s="198">
        <f>'5-DAY'!B90/1000</f>
        <v>34.54</v>
      </c>
      <c r="P59" s="198">
        <f t="shared" si="7"/>
        <v>417.82900000000001</v>
      </c>
      <c r="Q59" s="198">
        <f>VAR!B54/1000</f>
        <v>580.12800000000004</v>
      </c>
    </row>
    <row r="60" spans="13:17" x14ac:dyDescent="0.15">
      <c r="N60" s="196">
        <f>'5-DAY'!A91</f>
        <v>37180</v>
      </c>
      <c r="O60" s="198">
        <f>'5-DAY'!B91/1000</f>
        <v>-444.58600000000001</v>
      </c>
      <c r="P60" s="198">
        <f t="shared" si="7"/>
        <v>-376.14200000000005</v>
      </c>
      <c r="Q60" s="198">
        <f>VAR!B55/1000</f>
        <v>513.09299999999996</v>
      </c>
    </row>
    <row r="61" spans="13:17" x14ac:dyDescent="0.15">
      <c r="N61" s="196">
        <f>'5-DAY'!A92</f>
        <v>37181</v>
      </c>
      <c r="O61" s="198">
        <f>'5-DAY'!B92/1000</f>
        <v>-269.70400000000001</v>
      </c>
      <c r="P61" s="198">
        <f t="shared" si="7"/>
        <v>-697.2</v>
      </c>
      <c r="Q61" s="198">
        <f>VAR!B56/1000</f>
        <v>580.58399999999995</v>
      </c>
    </row>
    <row r="62" spans="13:17" x14ac:dyDescent="0.15">
      <c r="N62" s="196">
        <f>'5-DAY'!A93</f>
        <v>37182</v>
      </c>
      <c r="O62" s="198">
        <f>'5-DAY'!B93/1000</f>
        <v>-416.87099999999998</v>
      </c>
      <c r="P62" s="198">
        <f t="shared" si="7"/>
        <v>-1146.106</v>
      </c>
      <c r="Q62" s="198">
        <f>VAR!B57/1000</f>
        <v>548.55799999999999</v>
      </c>
    </row>
    <row r="63" spans="13:17" x14ac:dyDescent="0.15">
      <c r="N63" s="196">
        <f>'5-DAY'!A94</f>
        <v>37183</v>
      </c>
      <c r="O63" s="198">
        <f>'5-DAY'!B94/1000</f>
        <v>-1174.327</v>
      </c>
      <c r="P63" s="198">
        <f t="shared" si="7"/>
        <v>-2270.9480000000003</v>
      </c>
      <c r="Q63" s="198">
        <f>VAR!B58/1000</f>
        <v>534.12</v>
      </c>
    </row>
    <row r="64" spans="13:17" x14ac:dyDescent="0.15">
      <c r="N64" s="196">
        <f>'5-DAY'!A95</f>
        <v>37186</v>
      </c>
      <c r="O64" s="198">
        <f>'5-DAY'!B95/1000</f>
        <v>393.68700000000001</v>
      </c>
      <c r="P64" s="198">
        <f t="shared" ref="P64:P69" si="8">SUM(O60:O64)</f>
        <v>-1911.8010000000004</v>
      </c>
      <c r="Q64" s="198">
        <f>VAR!B59/1000</f>
        <v>596.22500000000002</v>
      </c>
    </row>
    <row r="65" spans="14:17" x14ac:dyDescent="0.15">
      <c r="N65" s="196">
        <f>'5-DAY'!A96</f>
        <v>37187</v>
      </c>
      <c r="O65" s="198">
        <f>'5-DAY'!B96/1000</f>
        <v>-166.29900000000001</v>
      </c>
      <c r="P65" s="198">
        <f t="shared" si="8"/>
        <v>-1633.5140000000001</v>
      </c>
      <c r="Q65" s="198">
        <f>VAR!B60/1000</f>
        <v>555.53</v>
      </c>
    </row>
    <row r="66" spans="14:17" x14ac:dyDescent="0.15">
      <c r="N66" s="196">
        <f>'5-DAY'!A97</f>
        <v>37188</v>
      </c>
      <c r="O66" s="198">
        <f>'5-DAY'!B97/1000</f>
        <v>181.65100000000001</v>
      </c>
      <c r="P66" s="198">
        <f t="shared" si="8"/>
        <v>-1182.1589999999999</v>
      </c>
      <c r="Q66" s="198">
        <f>VAR!B61/1000</f>
        <v>578.45299999999997</v>
      </c>
    </row>
    <row r="67" spans="14:17" x14ac:dyDescent="0.15">
      <c r="N67" s="196">
        <f>'5-DAY'!A98</f>
        <v>37189</v>
      </c>
      <c r="O67" s="198">
        <f>'5-DAY'!B98/1000</f>
        <v>-140.01900000000001</v>
      </c>
      <c r="P67" s="198">
        <f t="shared" si="8"/>
        <v>-905.30700000000002</v>
      </c>
      <c r="Q67" s="198">
        <f>VAR!B62/1000</f>
        <v>566.70299999999997</v>
      </c>
    </row>
    <row r="68" spans="14:17" x14ac:dyDescent="0.15">
      <c r="N68" s="196">
        <f>'5-DAY'!A99</f>
        <v>37190</v>
      </c>
      <c r="O68" s="198">
        <f>'5-DAY'!B99/1000</f>
        <v>277.88299999999998</v>
      </c>
      <c r="P68" s="198">
        <f t="shared" si="8"/>
        <v>546.90300000000002</v>
      </c>
      <c r="Q68" s="198">
        <f>VAR!B63/1000</f>
        <v>580.91700000000003</v>
      </c>
    </row>
    <row r="69" spans="14:17" x14ac:dyDescent="0.15">
      <c r="N69" s="196">
        <f>'5-DAY'!A100</f>
        <v>37193</v>
      </c>
      <c r="O69" s="198">
        <f>'5-DAY'!B100/1000</f>
        <v>-313.99900000000002</v>
      </c>
      <c r="P69" s="198">
        <f t="shared" si="8"/>
        <v>-160.78300000000004</v>
      </c>
      <c r="Q69" s="198">
        <f>VAR!B64/1000</f>
        <v>595.70899999999995</v>
      </c>
    </row>
    <row r="70" spans="14:17" x14ac:dyDescent="0.15">
      <c r="N70" s="196">
        <f>'5-DAY'!A101</f>
        <v>37194</v>
      </c>
      <c r="O70" s="198">
        <f>'5-DAY'!B101/1000</f>
        <v>-276.74299999999999</v>
      </c>
      <c r="P70" s="198">
        <f>SUM(O66:O70)</f>
        <v>-271.22700000000003</v>
      </c>
      <c r="Q70" s="198">
        <f>VAR!B65/1000</f>
        <v>625.08399999999995</v>
      </c>
    </row>
    <row r="71" spans="14:17" x14ac:dyDescent="0.15">
      <c r="N71" s="178">
        <f>'5-DAY'!A102</f>
        <v>37195</v>
      </c>
      <c r="O71" s="179">
        <f>'5-DAY'!B102/1000</f>
        <v>-419.46100000000001</v>
      </c>
      <c r="P71" s="179">
        <f>SUM(O67:O71)</f>
        <v>-872.33900000000006</v>
      </c>
      <c r="Q71" s="179">
        <f>VAR!B66/1000</f>
        <v>625.36400000000003</v>
      </c>
    </row>
    <row r="72" spans="14:17" x14ac:dyDescent="0.15">
      <c r="N72" s="196">
        <f>'5-DAY'!A103</f>
        <v>37196</v>
      </c>
      <c r="O72" s="198">
        <f>'5-DAY'!B103/1000</f>
        <v>245.38800000000001</v>
      </c>
      <c r="P72" s="198">
        <f>SUM(O68:O72)</f>
        <v>-486.93200000000002</v>
      </c>
      <c r="Q72" s="198">
        <f>VAR!B67/1000</f>
        <v>407.82100000000003</v>
      </c>
    </row>
    <row r="73" spans="14:17" x14ac:dyDescent="0.15">
      <c r="N73" s="196">
        <f>'5-DAY'!A104</f>
        <v>37197</v>
      </c>
      <c r="O73" s="198">
        <f>'5-DAY'!B104/1000</f>
        <v>-152.12</v>
      </c>
      <c r="P73" s="198">
        <f>SUM(O69:O73)</f>
        <v>-916.93499999999995</v>
      </c>
      <c r="Q73" s="198">
        <f>VAR!B68/1000</f>
        <v>409.05399999999997</v>
      </c>
    </row>
    <row r="74" spans="14:17" x14ac:dyDescent="0.15">
      <c r="N74" s="196">
        <f>'5-DAY'!A105</f>
        <v>37200</v>
      </c>
      <c r="O74" s="198">
        <f>'5-DAY'!B105/1000</f>
        <v>-265.52699999999999</v>
      </c>
      <c r="P74" s="198">
        <f t="shared" ref="P74:P91" si="9">SUM(O70:O74)</f>
        <v>-868.46299999999997</v>
      </c>
      <c r="Q74" s="198">
        <f>VAR!B69/1000</f>
        <v>546.87</v>
      </c>
    </row>
    <row r="75" spans="14:17" x14ac:dyDescent="0.15">
      <c r="N75" s="196">
        <f>'5-DAY'!A106</f>
        <v>37201</v>
      </c>
      <c r="O75" s="198">
        <f>'5-DAY'!B106/1000</f>
        <v>-492.58600000000001</v>
      </c>
      <c r="P75" s="198">
        <f t="shared" si="9"/>
        <v>-1084.306</v>
      </c>
      <c r="Q75" s="198">
        <f>VAR!B70/1000</f>
        <v>618.4</v>
      </c>
    </row>
    <row r="76" spans="14:17" x14ac:dyDescent="0.15">
      <c r="N76" s="196">
        <f>'5-DAY'!A107</f>
        <v>37202</v>
      </c>
      <c r="O76" s="198">
        <f>'5-DAY'!B107/1000</f>
        <v>19.552</v>
      </c>
      <c r="P76" s="198">
        <f t="shared" si="9"/>
        <v>-645.29300000000001</v>
      </c>
      <c r="Q76" s="198">
        <f>VAR!B71/1000</f>
        <v>559.29300000000001</v>
      </c>
    </row>
    <row r="77" spans="14:17" x14ac:dyDescent="0.15">
      <c r="N77" s="196">
        <f>'5-DAY'!A108</f>
        <v>37203</v>
      </c>
      <c r="O77" s="198">
        <f>'5-DAY'!B108/1000</f>
        <v>-402.57100000000003</v>
      </c>
      <c r="P77" s="198">
        <f t="shared" si="9"/>
        <v>-1293.252</v>
      </c>
      <c r="Q77" s="198">
        <f>VAR!B72/1000</f>
        <v>566.61400000000003</v>
      </c>
    </row>
    <row r="78" spans="14:17" x14ac:dyDescent="0.15">
      <c r="N78" s="196">
        <f>'5-DAY'!A109</f>
        <v>37204</v>
      </c>
      <c r="O78" s="198">
        <f>'5-DAY'!B109/1000</f>
        <v>-217.34299999999999</v>
      </c>
      <c r="P78" s="198">
        <f t="shared" si="9"/>
        <v>-1358.4750000000001</v>
      </c>
      <c r="Q78" s="198">
        <f>VAR!B73/1000</f>
        <v>582.274</v>
      </c>
    </row>
    <row r="79" spans="14:17" x14ac:dyDescent="0.15">
      <c r="N79" s="196">
        <f>'5-DAY'!A110</f>
        <v>37207</v>
      </c>
      <c r="O79" s="198">
        <f>'5-DAY'!B110/1000</f>
        <v>151.613</v>
      </c>
      <c r="P79" s="198">
        <f t="shared" si="9"/>
        <v>-941.33500000000004</v>
      </c>
      <c r="Q79" s="198">
        <f>VAR!B74/1000</f>
        <v>728.02200000000005</v>
      </c>
    </row>
    <row r="80" spans="14:17" x14ac:dyDescent="0.15">
      <c r="N80" s="196">
        <f>'5-DAY'!A111</f>
        <v>37208</v>
      </c>
      <c r="O80" s="198">
        <f>'5-DAY'!B111/1000</f>
        <v>170.042</v>
      </c>
      <c r="P80" s="198">
        <f t="shared" si="9"/>
        <v>-278.70699999999999</v>
      </c>
      <c r="Q80" s="198">
        <f>VAR!B75/1000</f>
        <v>618.94000000000005</v>
      </c>
    </row>
    <row r="81" spans="14:17" x14ac:dyDescent="0.15">
      <c r="N81" s="196">
        <f>'5-DAY'!A112</f>
        <v>37209</v>
      </c>
      <c r="O81" s="198">
        <f>'5-DAY'!B112/1000</f>
        <v>176.655</v>
      </c>
      <c r="P81" s="198">
        <f t="shared" si="9"/>
        <v>-121.60400000000001</v>
      </c>
      <c r="Q81" s="198">
        <f>VAR!B76/1000</f>
        <v>690.96699999999998</v>
      </c>
    </row>
    <row r="82" spans="14:17" x14ac:dyDescent="0.15">
      <c r="N82" s="196">
        <f>'5-DAY'!A113</f>
        <v>37210</v>
      </c>
      <c r="O82" s="198">
        <f>'5-DAY'!B113/1000</f>
        <v>450.64499999999998</v>
      </c>
      <c r="P82" s="198">
        <f t="shared" si="9"/>
        <v>731.61199999999997</v>
      </c>
      <c r="Q82" s="198">
        <f>VAR!B77/1000</f>
        <v>728.21699999999998</v>
      </c>
    </row>
    <row r="83" spans="14:17" x14ac:dyDescent="0.15">
      <c r="N83" s="196">
        <f>'5-DAY'!A114</f>
        <v>37211</v>
      </c>
      <c r="O83" s="198">
        <f>'5-DAY'!B114/1000</f>
        <v>-414.70699999999999</v>
      </c>
      <c r="P83" s="198">
        <f t="shared" si="9"/>
        <v>534.24799999999993</v>
      </c>
      <c r="Q83" s="198">
        <f>VAR!B78/1000</f>
        <v>629.77700000000004</v>
      </c>
    </row>
    <row r="84" spans="14:17" x14ac:dyDescent="0.15">
      <c r="N84" s="196">
        <f>'5-DAY'!A115</f>
        <v>37214</v>
      </c>
      <c r="O84" s="198">
        <f>'5-DAY'!B115/1000</f>
        <v>-493.7</v>
      </c>
      <c r="P84" s="198">
        <f t="shared" si="9"/>
        <v>-111.065</v>
      </c>
      <c r="Q84" s="198">
        <f>VAR!B79/1000</f>
        <v>450.43200000000002</v>
      </c>
    </row>
    <row r="85" spans="14:17" x14ac:dyDescent="0.15">
      <c r="N85" s="196">
        <f>'5-DAY'!A116</f>
        <v>37215</v>
      </c>
      <c r="O85" s="198">
        <f>'5-DAY'!B116/1000</f>
        <v>37.487000000000002</v>
      </c>
      <c r="P85" s="198">
        <f t="shared" si="9"/>
        <v>-243.62000000000003</v>
      </c>
      <c r="Q85" s="198">
        <f>VAR!B80/1000</f>
        <v>516.96699999999998</v>
      </c>
    </row>
    <row r="86" spans="14:17" x14ac:dyDescent="0.15">
      <c r="N86" s="196">
        <f>'5-DAY'!A117</f>
        <v>37216</v>
      </c>
      <c r="O86" s="198">
        <f>'5-DAY'!B117/1000</f>
        <v>1206.9349999999999</v>
      </c>
      <c r="P86" s="198">
        <f t="shared" si="9"/>
        <v>786.66</v>
      </c>
      <c r="Q86" s="198">
        <f>VAR!B81/1000</f>
        <v>681.35799999999995</v>
      </c>
    </row>
    <row r="87" spans="14:17" x14ac:dyDescent="0.15">
      <c r="N87" s="196">
        <f>'5-DAY'!A118</f>
        <v>37221</v>
      </c>
      <c r="O87" s="198">
        <f>'5-DAY'!B118/1000</f>
        <v>0</v>
      </c>
      <c r="P87" s="198">
        <f t="shared" si="9"/>
        <v>336.01499999999999</v>
      </c>
      <c r="Q87" s="198">
        <f>VAR!B82/1000</f>
        <v>0</v>
      </c>
    </row>
    <row r="88" spans="14:17" x14ac:dyDescent="0.15">
      <c r="N88" s="196">
        <f>'5-DAY'!A119</f>
        <v>37222</v>
      </c>
      <c r="O88" s="198">
        <f>'5-DAY'!B119/1000</f>
        <v>0</v>
      </c>
      <c r="P88" s="198">
        <f t="shared" si="9"/>
        <v>750.72199999999998</v>
      </c>
      <c r="Q88" s="198">
        <f>VAR!B83/1000</f>
        <v>0</v>
      </c>
    </row>
    <row r="89" spans="14:17" x14ac:dyDescent="0.15">
      <c r="N89" s="196">
        <f>'5-DAY'!A120</f>
        <v>37223</v>
      </c>
      <c r="O89" s="198">
        <f>'5-DAY'!B120/1000</f>
        <v>0</v>
      </c>
      <c r="P89" s="198">
        <f t="shared" si="9"/>
        <v>1244.422</v>
      </c>
      <c r="Q89" s="198">
        <f>VAR!B84/1000</f>
        <v>0</v>
      </c>
    </row>
    <row r="90" spans="14:17" x14ac:dyDescent="0.15">
      <c r="N90" s="196">
        <f>'5-DAY'!A121</f>
        <v>37224</v>
      </c>
      <c r="O90" s="198">
        <f>'5-DAY'!B121/1000</f>
        <v>0</v>
      </c>
      <c r="P90" s="198">
        <f t="shared" si="9"/>
        <v>1206.9349999999999</v>
      </c>
      <c r="Q90" s="198">
        <f>VAR!B85/1000</f>
        <v>0</v>
      </c>
    </row>
    <row r="91" spans="14:17" x14ac:dyDescent="0.15">
      <c r="N91" s="178">
        <f>'5-DAY'!A122</f>
        <v>37225</v>
      </c>
      <c r="O91" s="179">
        <f>'5-DAY'!B122/1000</f>
        <v>0</v>
      </c>
      <c r="P91" s="179">
        <f t="shared" si="9"/>
        <v>0</v>
      </c>
      <c r="Q91" s="179">
        <f>VAR!B86/1000</f>
        <v>0</v>
      </c>
    </row>
    <row r="92" spans="14:17" x14ac:dyDescent="0.15">
      <c r="N92" s="196"/>
    </row>
    <row r="93" spans="14:17" x14ac:dyDescent="0.15">
      <c r="N93" s="196"/>
    </row>
    <row r="94" spans="14:17" x14ac:dyDescent="0.15">
      <c r="N94" s="196"/>
    </row>
    <row r="95" spans="14:17" x14ac:dyDescent="0.15">
      <c r="N95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66" customWidth="1"/>
    <col min="2" max="2" width="17.83203125" style="161" customWidth="1"/>
    <col min="3" max="10" width="17.83203125" style="163" customWidth="1"/>
    <col min="11" max="12" width="17.83203125" style="164" customWidth="1"/>
    <col min="13" max="13" width="10.6640625" style="165" customWidth="1"/>
    <col min="14" max="16" width="10.6640625" style="163" customWidth="1"/>
    <col min="17" max="17" width="8" style="163" customWidth="1"/>
    <col min="18" max="18" width="9" style="163" customWidth="1"/>
    <col min="19" max="19" width="8.1640625" style="163" customWidth="1"/>
    <col min="20" max="16384" width="10.6640625" style="163"/>
  </cols>
  <sheetData>
    <row r="1" spans="1:20" ht="10.5" x14ac:dyDescent="0.15">
      <c r="A1" s="160" t="s">
        <v>98</v>
      </c>
      <c r="C1" s="162"/>
    </row>
    <row r="2" spans="1:20" ht="10.5" x14ac:dyDescent="0.15">
      <c r="A2" s="160" t="str">
        <f>'GAS SUM'!A3</f>
        <v>As of November 21, 2001</v>
      </c>
      <c r="C2" s="162"/>
    </row>
    <row r="4" spans="1:20" x14ac:dyDescent="0.15">
      <c r="N4" s="166"/>
      <c r="O4" s="161"/>
    </row>
    <row r="5" spans="1:20" x14ac:dyDescent="0.15">
      <c r="N5" s="166"/>
      <c r="O5" s="161"/>
    </row>
    <row r="6" spans="1:20" x14ac:dyDescent="0.15">
      <c r="N6" s="166" t="s">
        <v>136</v>
      </c>
      <c r="O6" s="161"/>
    </row>
    <row r="7" spans="1:20" x14ac:dyDescent="0.15">
      <c r="N7" s="167" t="s">
        <v>90</v>
      </c>
      <c r="O7" s="168" t="s">
        <v>91</v>
      </c>
      <c r="P7" s="169" t="s">
        <v>92</v>
      </c>
      <c r="Q7" s="169" t="s">
        <v>93</v>
      </c>
      <c r="R7" s="169" t="s">
        <v>94</v>
      </c>
      <c r="S7" s="169" t="s">
        <v>95</v>
      </c>
      <c r="T7" s="169" t="s">
        <v>97</v>
      </c>
    </row>
    <row r="8" spans="1:20" x14ac:dyDescent="0.15">
      <c r="N8" s="166">
        <f>'5-DAY'!A39</f>
        <v>37104</v>
      </c>
      <c r="O8" s="161">
        <f>'5-DAY'!C39/1000</f>
        <v>238.29499999999999</v>
      </c>
      <c r="P8" s="161">
        <v>58</v>
      </c>
      <c r="Q8" s="161">
        <f>O8</f>
        <v>238.29499999999999</v>
      </c>
      <c r="R8" s="161">
        <f>566+O8</f>
        <v>804.29499999999996</v>
      </c>
      <c r="S8" s="161">
        <f>3365+566+O8</f>
        <v>4169.2950000000001</v>
      </c>
    </row>
    <row r="9" spans="1:20" x14ac:dyDescent="0.15">
      <c r="N9" s="166">
        <f>'5-DAY'!A40</f>
        <v>37105</v>
      </c>
      <c r="O9" s="161">
        <f>'5-DAY'!C40/1000</f>
        <v>-6.03</v>
      </c>
      <c r="P9" s="161">
        <v>66</v>
      </c>
      <c r="Q9" s="161">
        <f t="shared" ref="Q9:Q20" si="0">Q8+O9</f>
        <v>232.26499999999999</v>
      </c>
      <c r="R9" s="161">
        <f t="shared" ref="R9:R20" si="1">R8+O9</f>
        <v>798.26499999999999</v>
      </c>
      <c r="S9" s="161">
        <f t="shared" ref="S9:S20" si="2">S8+O9</f>
        <v>4163.2650000000003</v>
      </c>
      <c r="T9" s="161">
        <f>VAR!C4/1000</f>
        <v>0</v>
      </c>
    </row>
    <row r="10" spans="1:20" x14ac:dyDescent="0.15">
      <c r="N10" s="166">
        <f>'5-DAY'!A41</f>
        <v>37106</v>
      </c>
      <c r="O10" s="161">
        <f>'5-DAY'!C41/1000</f>
        <v>-13.673</v>
      </c>
      <c r="P10" s="161">
        <v>100</v>
      </c>
      <c r="Q10" s="161">
        <f t="shared" si="0"/>
        <v>218.59199999999998</v>
      </c>
      <c r="R10" s="161">
        <f t="shared" si="1"/>
        <v>784.59199999999998</v>
      </c>
      <c r="S10" s="161">
        <f t="shared" si="2"/>
        <v>4149.5920000000006</v>
      </c>
      <c r="T10" s="161">
        <f>VAR!C5/1000</f>
        <v>0</v>
      </c>
    </row>
    <row r="11" spans="1:20" x14ac:dyDescent="0.15">
      <c r="N11" s="166">
        <f>'5-DAY'!A42</f>
        <v>37109</v>
      </c>
      <c r="O11" s="161">
        <f>'5-DAY'!C42/1000</f>
        <v>-15.105</v>
      </c>
      <c r="P11" s="161">
        <v>260</v>
      </c>
      <c r="Q11" s="161">
        <f t="shared" si="0"/>
        <v>203.48699999999999</v>
      </c>
      <c r="R11" s="161">
        <f t="shared" si="1"/>
        <v>769.48699999999997</v>
      </c>
      <c r="S11" s="161">
        <f t="shared" si="2"/>
        <v>4134.487000000001</v>
      </c>
      <c r="T11" s="161">
        <f>VAR!C6/1000</f>
        <v>0</v>
      </c>
    </row>
    <row r="12" spans="1:20" x14ac:dyDescent="0.15">
      <c r="N12" s="166">
        <f>'5-DAY'!A43</f>
        <v>37110</v>
      </c>
      <c r="O12" s="161">
        <f>'5-DAY'!C43/1000</f>
        <v>2.1000000000000001E-2</v>
      </c>
      <c r="P12" s="161">
        <f t="shared" ref="P12:P20" si="3">SUM(O8:O12)</f>
        <v>203.50799999999998</v>
      </c>
      <c r="Q12" s="161">
        <f t="shared" si="0"/>
        <v>203.50799999999998</v>
      </c>
      <c r="R12" s="161">
        <f t="shared" si="1"/>
        <v>769.50799999999992</v>
      </c>
      <c r="S12" s="161">
        <f t="shared" si="2"/>
        <v>4134.5080000000007</v>
      </c>
      <c r="T12" s="161">
        <f>VAR!C7/1000</f>
        <v>0</v>
      </c>
    </row>
    <row r="13" spans="1:20" x14ac:dyDescent="0.15">
      <c r="N13" s="166">
        <f>'5-DAY'!A44</f>
        <v>37111</v>
      </c>
      <c r="O13" s="161">
        <f>'5-DAY'!C44/1000</f>
        <v>-3.0369999999999999</v>
      </c>
      <c r="P13" s="161">
        <f t="shared" si="3"/>
        <v>-37.823999999999998</v>
      </c>
      <c r="Q13" s="161">
        <f t="shared" si="0"/>
        <v>200.47099999999998</v>
      </c>
      <c r="R13" s="161">
        <f t="shared" si="1"/>
        <v>766.47099999999989</v>
      </c>
      <c r="S13" s="161">
        <f t="shared" si="2"/>
        <v>4131.4710000000005</v>
      </c>
      <c r="T13" s="161">
        <f>VAR!C8/1000</f>
        <v>0</v>
      </c>
    </row>
    <row r="14" spans="1:20" x14ac:dyDescent="0.15">
      <c r="N14" s="166">
        <f>'5-DAY'!A45</f>
        <v>37112</v>
      </c>
      <c r="O14" s="161">
        <f>'5-DAY'!C45/1000</f>
        <v>36.280999999999999</v>
      </c>
      <c r="P14" s="161">
        <f t="shared" si="3"/>
        <v>4.4870000000000019</v>
      </c>
      <c r="Q14" s="161">
        <f t="shared" si="0"/>
        <v>236.75199999999998</v>
      </c>
      <c r="R14" s="161">
        <f t="shared" si="1"/>
        <v>802.75199999999984</v>
      </c>
      <c r="S14" s="161">
        <f t="shared" si="2"/>
        <v>4167.7520000000004</v>
      </c>
      <c r="T14" s="161">
        <f>VAR!C9/1000</f>
        <v>89.125</v>
      </c>
    </row>
    <row r="15" spans="1:20" x14ac:dyDescent="0.15">
      <c r="N15" s="166">
        <f>'5-DAY'!A46</f>
        <v>37113</v>
      </c>
      <c r="O15" s="161">
        <f>'5-DAY'!C46/1000</f>
        <v>-67.795000000000002</v>
      </c>
      <c r="P15" s="161">
        <f t="shared" si="3"/>
        <v>-49.635000000000005</v>
      </c>
      <c r="Q15" s="161">
        <f t="shared" si="0"/>
        <v>168.95699999999999</v>
      </c>
      <c r="R15" s="161">
        <f t="shared" si="1"/>
        <v>734.95699999999988</v>
      </c>
      <c r="S15" s="161">
        <f t="shared" si="2"/>
        <v>4099.9570000000003</v>
      </c>
      <c r="T15" s="161">
        <f>VAR!C10/1000</f>
        <v>93.406000000000006</v>
      </c>
    </row>
    <row r="16" spans="1:20" x14ac:dyDescent="0.15">
      <c r="N16" s="166">
        <f>'5-DAY'!A47</f>
        <v>37116</v>
      </c>
      <c r="O16" s="161">
        <f>'5-DAY'!C47/1000</f>
        <v>-31.454000000000001</v>
      </c>
      <c r="P16" s="161">
        <f t="shared" si="3"/>
        <v>-65.984000000000009</v>
      </c>
      <c r="Q16" s="161">
        <f t="shared" si="0"/>
        <v>137.50299999999999</v>
      </c>
      <c r="R16" s="161">
        <f t="shared" si="1"/>
        <v>703.50299999999993</v>
      </c>
      <c r="S16" s="161">
        <f t="shared" si="2"/>
        <v>4068.5030000000002</v>
      </c>
      <c r="T16" s="161">
        <f>VAR!C11/1000</f>
        <v>91.114000000000004</v>
      </c>
    </row>
    <row r="17" spans="14:20" x14ac:dyDescent="0.15">
      <c r="N17" s="166">
        <f>'5-DAY'!A48</f>
        <v>37117</v>
      </c>
      <c r="O17" s="161">
        <f>'5-DAY'!C48/1000</f>
        <v>-141.92599999999999</v>
      </c>
      <c r="P17" s="161">
        <f t="shared" si="3"/>
        <v>-207.93099999999998</v>
      </c>
      <c r="Q17" s="161">
        <f t="shared" si="0"/>
        <v>-4.4230000000000018</v>
      </c>
      <c r="R17" s="161">
        <f t="shared" si="1"/>
        <v>561.577</v>
      </c>
      <c r="S17" s="161">
        <f t="shared" si="2"/>
        <v>3926.5770000000002</v>
      </c>
      <c r="T17" s="161">
        <f>VAR!C12/1000</f>
        <v>199.85599999999999</v>
      </c>
    </row>
    <row r="18" spans="14:20" x14ac:dyDescent="0.15">
      <c r="N18" s="166">
        <f>'5-DAY'!A49</f>
        <v>37118</v>
      </c>
      <c r="O18" s="161">
        <f>'5-DAY'!C49/1000</f>
        <v>-581.87400000000002</v>
      </c>
      <c r="P18" s="161">
        <f t="shared" si="3"/>
        <v>-786.76800000000003</v>
      </c>
      <c r="Q18" s="161">
        <f t="shared" si="0"/>
        <v>-586.29700000000003</v>
      </c>
      <c r="R18" s="161">
        <f t="shared" si="1"/>
        <v>-20.297000000000025</v>
      </c>
      <c r="S18" s="161">
        <f t="shared" si="2"/>
        <v>3344.7030000000004</v>
      </c>
      <c r="T18" s="161">
        <f>VAR!C13/1000</f>
        <v>235.75200000000001</v>
      </c>
    </row>
    <row r="19" spans="14:20" x14ac:dyDescent="0.15">
      <c r="N19" s="166">
        <f>'5-DAY'!A50</f>
        <v>37119</v>
      </c>
      <c r="O19" s="161">
        <f>'5-DAY'!C50/1000</f>
        <v>180.452</v>
      </c>
      <c r="P19" s="161">
        <f t="shared" si="3"/>
        <v>-642.59699999999998</v>
      </c>
      <c r="Q19" s="161">
        <f t="shared" si="0"/>
        <v>-405.84500000000003</v>
      </c>
      <c r="R19" s="161">
        <f t="shared" si="1"/>
        <v>160.15499999999997</v>
      </c>
      <c r="S19" s="161">
        <f t="shared" si="2"/>
        <v>3525.1550000000007</v>
      </c>
      <c r="T19" s="161">
        <f>VAR!C14/1000</f>
        <v>230.38</v>
      </c>
    </row>
    <row r="20" spans="14:20" x14ac:dyDescent="0.15">
      <c r="N20" s="166">
        <f>'5-DAY'!A51</f>
        <v>37120</v>
      </c>
      <c r="O20" s="161">
        <f>'5-DAY'!C51/1000</f>
        <v>61.750999999999998</v>
      </c>
      <c r="P20" s="161">
        <f t="shared" si="3"/>
        <v>-513.05100000000004</v>
      </c>
      <c r="Q20" s="161">
        <f t="shared" si="0"/>
        <v>-344.09400000000005</v>
      </c>
      <c r="R20" s="161">
        <f t="shared" si="1"/>
        <v>221.90599999999998</v>
      </c>
      <c r="S20" s="161">
        <f t="shared" si="2"/>
        <v>3586.9060000000009</v>
      </c>
      <c r="T20" s="161">
        <f>VAR!C15/1000</f>
        <v>227.2</v>
      </c>
    </row>
    <row r="21" spans="14:20" x14ac:dyDescent="0.15">
      <c r="N21" s="166">
        <f>'5-DAY'!A52</f>
        <v>37123</v>
      </c>
      <c r="O21" s="161">
        <f>'5-DAY'!C52/1000</f>
        <v>195.339</v>
      </c>
      <c r="P21" s="161">
        <f t="shared" ref="P21:P26" si="4">SUM(O17:O21)</f>
        <v>-286.25799999999998</v>
      </c>
      <c r="Q21" s="161">
        <f t="shared" ref="Q21:Q26" si="5">Q20+O21</f>
        <v>-148.75500000000005</v>
      </c>
      <c r="R21" s="161">
        <f t="shared" ref="R21:R26" si="6">R20+O21</f>
        <v>417.245</v>
      </c>
      <c r="S21" s="161">
        <f t="shared" ref="S21:S26" si="7">S20+O21</f>
        <v>3782.2450000000008</v>
      </c>
      <c r="T21" s="161">
        <f>VAR!C16/1000</f>
        <v>218.625</v>
      </c>
    </row>
    <row r="22" spans="14:20" x14ac:dyDescent="0.15">
      <c r="N22" s="166">
        <f>'5-DAY'!A53</f>
        <v>37124</v>
      </c>
      <c r="O22" s="161">
        <f>'5-DAY'!C53/1000</f>
        <v>131.99199999999999</v>
      </c>
      <c r="P22" s="161">
        <f t="shared" si="4"/>
        <v>-12.34000000000006</v>
      </c>
      <c r="Q22" s="161">
        <f t="shared" si="5"/>
        <v>-16.763000000000062</v>
      </c>
      <c r="R22" s="161">
        <f t="shared" si="6"/>
        <v>549.23699999999997</v>
      </c>
      <c r="S22" s="161">
        <f t="shared" si="7"/>
        <v>3914.237000000001</v>
      </c>
      <c r="T22" s="161">
        <f>VAR!C17/1000</f>
        <v>217.56200000000001</v>
      </c>
    </row>
    <row r="23" spans="14:20" x14ac:dyDescent="0.15">
      <c r="N23" s="166">
        <f>'5-DAY'!A54</f>
        <v>37125</v>
      </c>
      <c r="O23" s="161">
        <f>'5-DAY'!C54/1000</f>
        <v>325.935</v>
      </c>
      <c r="P23" s="161">
        <f t="shared" si="4"/>
        <v>895.46900000000005</v>
      </c>
      <c r="Q23" s="161">
        <f t="shared" si="5"/>
        <v>309.17199999999991</v>
      </c>
      <c r="R23" s="161">
        <f t="shared" si="6"/>
        <v>875.17200000000003</v>
      </c>
      <c r="S23" s="161">
        <f t="shared" si="7"/>
        <v>4240.1720000000014</v>
      </c>
      <c r="T23" s="161">
        <f>VAR!C18/1000</f>
        <v>15.436</v>
      </c>
    </row>
    <row r="24" spans="14:20" x14ac:dyDescent="0.15">
      <c r="N24" s="166">
        <f>'5-DAY'!A55</f>
        <v>37126</v>
      </c>
      <c r="O24" s="161">
        <f>'5-DAY'!C55/1000</f>
        <v>-55.436</v>
      </c>
      <c r="P24" s="161">
        <f t="shared" si="4"/>
        <v>659.58100000000002</v>
      </c>
      <c r="Q24" s="161">
        <f t="shared" si="5"/>
        <v>253.7359999999999</v>
      </c>
      <c r="R24" s="161">
        <f t="shared" si="6"/>
        <v>819.73599999999999</v>
      </c>
      <c r="S24" s="161">
        <f t="shared" si="7"/>
        <v>4184.7360000000017</v>
      </c>
      <c r="T24" s="161">
        <f>VAR!C19/1000</f>
        <v>181.11600000000001</v>
      </c>
    </row>
    <row r="25" spans="14:20" x14ac:dyDescent="0.15">
      <c r="N25" s="166">
        <f>'5-DAY'!A56</f>
        <v>37127</v>
      </c>
      <c r="O25" s="161">
        <f>'5-DAY'!C56/1000</f>
        <v>106.78100000000001</v>
      </c>
      <c r="P25" s="161">
        <f t="shared" si="4"/>
        <v>704.6110000000001</v>
      </c>
      <c r="Q25" s="161">
        <f t="shared" si="5"/>
        <v>360.51699999999994</v>
      </c>
      <c r="R25" s="161">
        <f t="shared" si="6"/>
        <v>926.51700000000005</v>
      </c>
      <c r="S25" s="161">
        <f t="shared" si="7"/>
        <v>4291.5170000000016</v>
      </c>
      <c r="T25" s="161">
        <f>VAR!C20/1000</f>
        <v>175.05600000000001</v>
      </c>
    </row>
    <row r="26" spans="14:20" x14ac:dyDescent="0.15">
      <c r="N26" s="166">
        <f>'5-DAY'!A57</f>
        <v>37130</v>
      </c>
      <c r="O26" s="161">
        <f>'5-DAY'!C57/1000</f>
        <v>118.184</v>
      </c>
      <c r="P26" s="161">
        <f t="shared" si="4"/>
        <v>627.45600000000002</v>
      </c>
      <c r="Q26" s="161">
        <f t="shared" si="5"/>
        <v>478.70099999999991</v>
      </c>
      <c r="R26" s="161">
        <f t="shared" si="6"/>
        <v>1044.701</v>
      </c>
      <c r="S26" s="161">
        <f t="shared" si="7"/>
        <v>4409.7010000000018</v>
      </c>
      <c r="T26" s="161">
        <f>VAR!C21/1000</f>
        <v>18.47</v>
      </c>
    </row>
    <row r="27" spans="14:20" x14ac:dyDescent="0.15">
      <c r="N27" s="166">
        <f>'5-DAY'!A58</f>
        <v>37131</v>
      </c>
      <c r="O27" s="161">
        <f>'5-DAY'!C58/1000</f>
        <v>-38.814999999999998</v>
      </c>
      <c r="P27" s="161">
        <f t="shared" ref="P27:P33" si="8">SUM(O23:O27)</f>
        <v>456.64900000000006</v>
      </c>
      <c r="Q27" s="161">
        <f>Q26+O27</f>
        <v>439.88599999999991</v>
      </c>
      <c r="R27" s="161">
        <f t="shared" ref="R27:R32" si="9">R26+O27</f>
        <v>1005.886</v>
      </c>
      <c r="S27" s="161">
        <f t="shared" ref="S27:S32" si="10">S26+O27</f>
        <v>4370.8860000000022</v>
      </c>
      <c r="T27" s="161">
        <f>VAR!C22/1000</f>
        <v>0</v>
      </c>
    </row>
    <row r="28" spans="14:20" x14ac:dyDescent="0.15">
      <c r="N28" s="166">
        <f>'5-DAY'!A59</f>
        <v>37132</v>
      </c>
      <c r="O28" s="161">
        <f>'5-DAY'!C59/1000</f>
        <v>-15.565</v>
      </c>
      <c r="P28" s="161">
        <f t="shared" si="8"/>
        <v>115.149</v>
      </c>
      <c r="Q28" s="161">
        <f>Q27+O28</f>
        <v>424.32099999999991</v>
      </c>
      <c r="R28" s="161">
        <f t="shared" si="9"/>
        <v>990.32099999999991</v>
      </c>
      <c r="S28" s="161">
        <f t="shared" si="10"/>
        <v>4355.3210000000026</v>
      </c>
      <c r="T28" s="161">
        <f>VAR!C23/1000</f>
        <v>11.500999999999999</v>
      </c>
    </row>
    <row r="29" spans="14:20" x14ac:dyDescent="0.15">
      <c r="N29" s="166">
        <f>'5-DAY'!A60</f>
        <v>37133</v>
      </c>
      <c r="O29" s="161">
        <f>'5-DAY'!C60/1000</f>
        <v>79.444000000000003</v>
      </c>
      <c r="P29" s="161">
        <f t="shared" si="8"/>
        <v>250.029</v>
      </c>
      <c r="Q29" s="161">
        <f>Q28+O29</f>
        <v>503.76499999999993</v>
      </c>
      <c r="R29" s="161">
        <f t="shared" si="9"/>
        <v>1069.7649999999999</v>
      </c>
      <c r="S29" s="161">
        <f t="shared" si="10"/>
        <v>4434.7650000000031</v>
      </c>
      <c r="T29" s="161">
        <f>VAR!C24/1000</f>
        <v>208.792</v>
      </c>
    </row>
    <row r="30" spans="14:20" x14ac:dyDescent="0.15">
      <c r="N30" s="178">
        <f>'5-DAY'!A61</f>
        <v>37134</v>
      </c>
      <c r="O30" s="179">
        <f>'5-DAY'!C61/1000</f>
        <v>46.715000000000003</v>
      </c>
      <c r="P30" s="179">
        <f t="shared" si="8"/>
        <v>189.96299999999999</v>
      </c>
      <c r="Q30" s="179">
        <f>Q29+O30</f>
        <v>550.4799999999999</v>
      </c>
      <c r="R30" s="179">
        <f t="shared" si="9"/>
        <v>1116.4799999999998</v>
      </c>
      <c r="S30" s="179">
        <f t="shared" si="10"/>
        <v>4481.4800000000032</v>
      </c>
      <c r="T30" s="179">
        <f>VAR!C25/1000</f>
        <v>11.215</v>
      </c>
    </row>
    <row r="31" spans="14:20" x14ac:dyDescent="0.15">
      <c r="N31" s="166">
        <f>'5-DAY'!A62</f>
        <v>37138</v>
      </c>
      <c r="O31" s="161">
        <f>'5-DAY'!C62/1000</f>
        <v>112.705</v>
      </c>
      <c r="P31" s="161">
        <f t="shared" si="8"/>
        <v>184.48400000000001</v>
      </c>
      <c r="Q31" s="161">
        <f>O31</f>
        <v>112.705</v>
      </c>
      <c r="R31" s="161">
        <f t="shared" si="9"/>
        <v>1229.1849999999997</v>
      </c>
      <c r="S31" s="161">
        <f t="shared" si="10"/>
        <v>4594.1850000000031</v>
      </c>
      <c r="T31" s="161">
        <f>VAR!C26/1000</f>
        <v>87.817999999999998</v>
      </c>
    </row>
    <row r="32" spans="14:20" x14ac:dyDescent="0.15">
      <c r="N32" s="166">
        <f>'5-DAY'!A63</f>
        <v>37139</v>
      </c>
      <c r="O32" s="161">
        <f>'5-DAY'!C63/1000</f>
        <v>-34.426000000000002</v>
      </c>
      <c r="P32" s="161">
        <f t="shared" si="8"/>
        <v>188.87299999999999</v>
      </c>
      <c r="Q32" s="182">
        <f t="shared" ref="Q32:Q37" si="11">Q31+O32</f>
        <v>78.278999999999996</v>
      </c>
      <c r="R32" s="161">
        <f t="shared" si="9"/>
        <v>1194.7589999999998</v>
      </c>
      <c r="S32" s="161">
        <f t="shared" si="10"/>
        <v>4559.7590000000027</v>
      </c>
      <c r="T32" s="161">
        <f>VAR!C27/1000</f>
        <v>175.76599999999999</v>
      </c>
    </row>
    <row r="33" spans="14:20" x14ac:dyDescent="0.15">
      <c r="N33" s="166">
        <f>'5-DAY'!A64</f>
        <v>37140</v>
      </c>
      <c r="O33" s="161">
        <f>'5-DAY'!C64/1000</f>
        <v>-52.637</v>
      </c>
      <c r="P33" s="161">
        <f t="shared" si="8"/>
        <v>151.80099999999999</v>
      </c>
      <c r="Q33" s="182">
        <f t="shared" si="11"/>
        <v>25.641999999999996</v>
      </c>
      <c r="R33" s="161">
        <f t="shared" ref="R33:R38" si="12">R32+O33</f>
        <v>1142.1219999999998</v>
      </c>
      <c r="S33" s="161">
        <f t="shared" ref="S33:S38" si="13">S32+O33</f>
        <v>4507.122000000003</v>
      </c>
      <c r="T33" s="161">
        <f>VAR!C28/1000</f>
        <v>178.33199999999999</v>
      </c>
    </row>
    <row r="34" spans="14:20" x14ac:dyDescent="0.15">
      <c r="N34" s="166">
        <f>'5-DAY'!A65</f>
        <v>37141</v>
      </c>
      <c r="O34" s="161">
        <f>'5-DAY'!C65/1000</f>
        <v>-24.8</v>
      </c>
      <c r="P34" s="161">
        <f t="shared" ref="P34:P39" si="14">SUM(O30:O34)</f>
        <v>47.557000000000016</v>
      </c>
      <c r="Q34" s="182">
        <f t="shared" si="11"/>
        <v>0.8419999999999952</v>
      </c>
      <c r="R34" s="161">
        <f t="shared" si="12"/>
        <v>1117.3219999999999</v>
      </c>
      <c r="S34" s="161">
        <f t="shared" si="13"/>
        <v>4482.3220000000028</v>
      </c>
      <c r="T34" s="161">
        <f>VAR!C29/1000</f>
        <v>184.33500000000001</v>
      </c>
    </row>
    <row r="35" spans="14:20" x14ac:dyDescent="0.15">
      <c r="N35" s="166">
        <f>'5-DAY'!A66</f>
        <v>37144</v>
      </c>
      <c r="O35" s="161">
        <f>'5-DAY'!C66/1000</f>
        <v>130.65799999999999</v>
      </c>
      <c r="P35" s="161">
        <f t="shared" si="14"/>
        <v>131.49999999999997</v>
      </c>
      <c r="Q35" s="182">
        <f t="shared" si="11"/>
        <v>131.49999999999997</v>
      </c>
      <c r="R35" s="161">
        <f t="shared" si="12"/>
        <v>1247.9799999999998</v>
      </c>
      <c r="S35" s="161">
        <f t="shared" si="13"/>
        <v>4612.9800000000032</v>
      </c>
      <c r="T35" s="161">
        <f>VAR!C30/1000</f>
        <v>178.63499999999999</v>
      </c>
    </row>
    <row r="36" spans="14:20" x14ac:dyDescent="0.15">
      <c r="N36" s="166">
        <f>'5-DAY'!A67</f>
        <v>37146</v>
      </c>
      <c r="O36" s="161">
        <f>'5-DAY'!C67/1000</f>
        <v>0.184</v>
      </c>
      <c r="P36" s="161">
        <f t="shared" si="14"/>
        <v>18.978999999999989</v>
      </c>
      <c r="Q36" s="182">
        <f t="shared" si="11"/>
        <v>131.68399999999997</v>
      </c>
      <c r="R36" s="161">
        <f t="shared" si="12"/>
        <v>1248.1639999999998</v>
      </c>
      <c r="S36" s="161">
        <f t="shared" si="13"/>
        <v>4613.1640000000034</v>
      </c>
      <c r="T36" s="161">
        <f>VAR!C31/1000</f>
        <v>178.63499999999999</v>
      </c>
    </row>
    <row r="37" spans="14:20" x14ac:dyDescent="0.15">
      <c r="N37" s="166">
        <f>'5-DAY'!A68</f>
        <v>37147</v>
      </c>
      <c r="O37" s="161">
        <f>'5-DAY'!C68/1000</f>
        <v>-237.553</v>
      </c>
      <c r="P37" s="161">
        <f t="shared" si="14"/>
        <v>-184.14800000000002</v>
      </c>
      <c r="Q37" s="182">
        <f t="shared" si="11"/>
        <v>-105.86900000000003</v>
      </c>
      <c r="R37" s="161">
        <f t="shared" si="12"/>
        <v>1010.6109999999998</v>
      </c>
      <c r="S37" s="161">
        <f t="shared" si="13"/>
        <v>4375.6110000000035</v>
      </c>
      <c r="T37" s="161">
        <f>VAR!C32/1000</f>
        <v>188.977</v>
      </c>
    </row>
    <row r="38" spans="14:20" x14ac:dyDescent="0.15">
      <c r="N38" s="166">
        <f>'5-DAY'!A69</f>
        <v>37148</v>
      </c>
      <c r="O38" s="161">
        <f>'5-DAY'!C69/1000</f>
        <v>-83.968000000000004</v>
      </c>
      <c r="P38" s="161">
        <f t="shared" si="14"/>
        <v>-215.47900000000004</v>
      </c>
      <c r="Q38" s="182">
        <f t="shared" ref="Q38:Q43" si="15">Q37+O38</f>
        <v>-189.83700000000005</v>
      </c>
      <c r="R38" s="161">
        <f t="shared" si="12"/>
        <v>926.6429999999998</v>
      </c>
      <c r="S38" s="161">
        <f t="shared" si="13"/>
        <v>4291.6430000000037</v>
      </c>
      <c r="T38" s="161">
        <f>VAR!C33/1000</f>
        <v>195.22800000000001</v>
      </c>
    </row>
    <row r="39" spans="14:20" x14ac:dyDescent="0.15">
      <c r="N39" s="166">
        <f>'5-DAY'!A70</f>
        <v>37151</v>
      </c>
      <c r="O39" s="161">
        <f>'5-DAY'!C70/1000</f>
        <v>208.46199999999999</v>
      </c>
      <c r="P39" s="161">
        <f t="shared" si="14"/>
        <v>17.782999999999959</v>
      </c>
      <c r="Q39" s="182">
        <f t="shared" si="15"/>
        <v>18.624999999999943</v>
      </c>
      <c r="R39" s="161">
        <f t="shared" ref="R39:R44" si="16">R38+O39</f>
        <v>1135.1049999999998</v>
      </c>
      <c r="S39" s="161">
        <f t="shared" ref="S39:S44" si="17">S38+O39</f>
        <v>4500.1050000000032</v>
      </c>
      <c r="T39" s="161">
        <f>VAR!C34/1000</f>
        <v>162.12299999999999</v>
      </c>
    </row>
    <row r="40" spans="14:20" x14ac:dyDescent="0.15">
      <c r="N40" s="166">
        <f>'5-DAY'!A71</f>
        <v>37152</v>
      </c>
      <c r="O40" s="161">
        <f>'5-DAY'!C71/1000</f>
        <v>186.96199999999999</v>
      </c>
      <c r="P40" s="161">
        <f t="shared" ref="P40:P45" si="18">SUM(O36:O40)</f>
        <v>74.086999999999989</v>
      </c>
      <c r="Q40" s="182">
        <f t="shared" si="15"/>
        <v>205.58699999999993</v>
      </c>
      <c r="R40" s="161">
        <f t="shared" si="16"/>
        <v>1322.0669999999998</v>
      </c>
      <c r="S40" s="161">
        <f t="shared" si="17"/>
        <v>4687.0670000000027</v>
      </c>
      <c r="T40" s="161">
        <f>VAR!C35/1000</f>
        <v>76.34</v>
      </c>
    </row>
    <row r="41" spans="14:20" x14ac:dyDescent="0.15">
      <c r="N41" s="166">
        <f>'5-DAY'!A72</f>
        <v>37153</v>
      </c>
      <c r="O41" s="161">
        <f>'5-DAY'!C72/1000</f>
        <v>24.355</v>
      </c>
      <c r="P41" s="161">
        <f t="shared" si="18"/>
        <v>98.257999999999967</v>
      </c>
      <c r="Q41" s="182">
        <f t="shared" si="15"/>
        <v>229.94199999999992</v>
      </c>
      <c r="R41" s="161">
        <f t="shared" si="16"/>
        <v>1346.4219999999998</v>
      </c>
      <c r="S41" s="161">
        <f t="shared" si="17"/>
        <v>4711.4220000000023</v>
      </c>
      <c r="T41" s="161">
        <f>VAR!C36/1000</f>
        <v>177.12700000000001</v>
      </c>
    </row>
    <row r="42" spans="14:20" x14ac:dyDescent="0.15">
      <c r="N42" s="166">
        <f>'5-DAY'!A73</f>
        <v>37154</v>
      </c>
      <c r="O42" s="161">
        <f>'5-DAY'!C73/1000</f>
        <v>-41.375999999999998</v>
      </c>
      <c r="P42" s="161">
        <f t="shared" si="18"/>
        <v>294.435</v>
      </c>
      <c r="Q42" s="182">
        <f t="shared" si="15"/>
        <v>188.56599999999992</v>
      </c>
      <c r="R42" s="161">
        <f t="shared" si="16"/>
        <v>1305.0459999999998</v>
      </c>
      <c r="S42" s="161">
        <f t="shared" si="17"/>
        <v>4670.0460000000021</v>
      </c>
      <c r="T42" s="161">
        <f>VAR!C37/1000</f>
        <v>171.18100000000001</v>
      </c>
    </row>
    <row r="43" spans="14:20" x14ac:dyDescent="0.15">
      <c r="N43" s="166">
        <f>'5-DAY'!A74</f>
        <v>37155</v>
      </c>
      <c r="O43" s="161">
        <f>'5-DAY'!C74/1000</f>
        <v>23.228999999999999</v>
      </c>
      <c r="P43" s="161">
        <f t="shared" si="18"/>
        <v>401.63200000000001</v>
      </c>
      <c r="Q43" s="182">
        <f t="shared" si="15"/>
        <v>211.7949999999999</v>
      </c>
      <c r="R43" s="161">
        <f t="shared" si="16"/>
        <v>1328.2749999999999</v>
      </c>
      <c r="S43" s="161">
        <f t="shared" si="17"/>
        <v>4693.2750000000024</v>
      </c>
      <c r="T43" s="161">
        <f>VAR!C38/1000</f>
        <v>171.048</v>
      </c>
    </row>
    <row r="44" spans="14:20" x14ac:dyDescent="0.15">
      <c r="N44" s="166">
        <f>'5-DAY'!A75</f>
        <v>37158</v>
      </c>
      <c r="O44" s="161">
        <f>'5-DAY'!C75/1000</f>
        <v>432.38799999999998</v>
      </c>
      <c r="P44" s="161">
        <f t="shared" si="18"/>
        <v>625.55799999999999</v>
      </c>
      <c r="Q44" s="182">
        <f>Q43+O44</f>
        <v>644.18299999999988</v>
      </c>
      <c r="R44" s="161">
        <f t="shared" si="16"/>
        <v>1760.6629999999998</v>
      </c>
      <c r="S44" s="161">
        <f t="shared" si="17"/>
        <v>5125.6630000000023</v>
      </c>
      <c r="T44" s="161">
        <f>VAR!C39/1000</f>
        <v>292.91699999999997</v>
      </c>
    </row>
    <row r="45" spans="14:20" x14ac:dyDescent="0.15">
      <c r="N45" s="166">
        <f>'5-DAY'!A76</f>
        <v>37159</v>
      </c>
      <c r="O45" s="161">
        <f>'5-DAY'!C76/1000</f>
        <v>-320.38499999999999</v>
      </c>
      <c r="P45" s="161">
        <f t="shared" si="18"/>
        <v>118.21100000000001</v>
      </c>
      <c r="Q45" s="182">
        <f>Q44+O45</f>
        <v>323.79799999999989</v>
      </c>
      <c r="R45" s="161">
        <f>R44+O45</f>
        <v>1440.2779999999998</v>
      </c>
      <c r="S45" s="161">
        <f t="shared" ref="S45:S50" si="19">S44+O45</f>
        <v>4805.2780000000021</v>
      </c>
      <c r="T45" s="161">
        <f>VAR!C40/1000</f>
        <v>66.536000000000001</v>
      </c>
    </row>
    <row r="46" spans="14:20" x14ac:dyDescent="0.15">
      <c r="N46" s="166">
        <f>'5-DAY'!A77</f>
        <v>37160</v>
      </c>
      <c r="O46" s="161">
        <f>'5-DAY'!C77/1000</f>
        <v>1.0029999999999999</v>
      </c>
      <c r="P46" s="161">
        <f t="shared" ref="P46:P51" si="20">SUM(O42:O46)</f>
        <v>94.858999999999995</v>
      </c>
      <c r="Q46" s="182">
        <f>Q45+O46</f>
        <v>324.80099999999987</v>
      </c>
      <c r="R46" s="161">
        <f>R45+O46</f>
        <v>1441.2809999999997</v>
      </c>
      <c r="S46" s="161">
        <f t="shared" si="19"/>
        <v>4806.2810000000018</v>
      </c>
      <c r="T46" s="161">
        <f>VAR!C41/1000</f>
        <v>249.44499999999999</v>
      </c>
    </row>
    <row r="47" spans="14:20" x14ac:dyDescent="0.15">
      <c r="N47" s="166">
        <f>'5-DAY'!A78</f>
        <v>37161</v>
      </c>
      <c r="O47" s="161">
        <f>'5-DAY'!C78/1000</f>
        <v>65.471999999999994</v>
      </c>
      <c r="P47" s="161">
        <f t="shared" si="20"/>
        <v>201.70699999999994</v>
      </c>
      <c r="Q47" s="182">
        <f>Q46+O47</f>
        <v>390.27299999999985</v>
      </c>
      <c r="R47" s="161">
        <f>R46+O47</f>
        <v>1506.7529999999997</v>
      </c>
      <c r="S47" s="161">
        <f t="shared" si="19"/>
        <v>4871.7530000000015</v>
      </c>
      <c r="T47" s="161">
        <f>VAR!C42/1000</f>
        <v>256.233</v>
      </c>
    </row>
    <row r="48" spans="14:20" x14ac:dyDescent="0.15">
      <c r="N48" s="178">
        <f>'5-DAY'!A79</f>
        <v>37162</v>
      </c>
      <c r="O48" s="179">
        <f>'5-DAY'!C79/1000</f>
        <v>49.795999999999999</v>
      </c>
      <c r="P48" s="179">
        <f t="shared" si="20"/>
        <v>228.27399999999997</v>
      </c>
      <c r="Q48" s="194">
        <f>Q47+O48</f>
        <v>440.06899999999985</v>
      </c>
      <c r="R48" s="179">
        <f>R47+O48</f>
        <v>1556.5489999999998</v>
      </c>
      <c r="S48" s="179">
        <f t="shared" si="19"/>
        <v>4921.5490000000018</v>
      </c>
      <c r="T48" s="179">
        <f>VAR!C43/1000</f>
        <v>256.02800000000002</v>
      </c>
    </row>
    <row r="49" spans="14:20" x14ac:dyDescent="0.15">
      <c r="N49" s="197">
        <f>'5-DAY'!A80</f>
        <v>37165</v>
      </c>
      <c r="O49" s="198">
        <f>'5-DAY'!C80/1000</f>
        <v>126.107</v>
      </c>
      <c r="P49" s="198">
        <f t="shared" si="20"/>
        <v>-78.007000000000033</v>
      </c>
      <c r="Q49" s="198">
        <f>O49</f>
        <v>126.107</v>
      </c>
      <c r="R49" s="198">
        <f>O49</f>
        <v>126.107</v>
      </c>
      <c r="S49" s="198">
        <f t="shared" si="19"/>
        <v>5047.6560000000018</v>
      </c>
      <c r="T49" s="198">
        <f>VAR!C44/1000</f>
        <v>13.047000000000001</v>
      </c>
    </row>
    <row r="50" spans="14:20" x14ac:dyDescent="0.15">
      <c r="N50" s="197">
        <f>'5-DAY'!A81</f>
        <v>37166</v>
      </c>
      <c r="O50" s="198">
        <f>'5-DAY'!C81/1000</f>
        <v>-11.016999999999999</v>
      </c>
      <c r="P50" s="198">
        <f t="shared" si="20"/>
        <v>231.36099999999999</v>
      </c>
      <c r="Q50" s="161">
        <f t="shared" ref="Q50:Q55" si="21">Q49+O50</f>
        <v>115.09</v>
      </c>
      <c r="R50" s="161">
        <f t="shared" ref="R50:R55" si="22">R49+O50</f>
        <v>115.09</v>
      </c>
      <c r="S50" s="198">
        <f t="shared" si="19"/>
        <v>5036.6390000000019</v>
      </c>
      <c r="T50" s="198">
        <f>VAR!C45/1000</f>
        <v>168.29400000000001</v>
      </c>
    </row>
    <row r="51" spans="14:20" x14ac:dyDescent="0.15">
      <c r="N51" s="197">
        <f>'5-DAY'!A82</f>
        <v>37167</v>
      </c>
      <c r="O51" s="198">
        <f>'5-DAY'!C82/1000</f>
        <v>11.605</v>
      </c>
      <c r="P51" s="198">
        <f t="shared" si="20"/>
        <v>241.96299999999999</v>
      </c>
      <c r="Q51" s="161">
        <f t="shared" si="21"/>
        <v>126.69500000000001</v>
      </c>
      <c r="R51" s="161">
        <f t="shared" si="22"/>
        <v>126.69500000000001</v>
      </c>
      <c r="S51" s="198">
        <f t="shared" ref="S51:S56" si="23">S50+O51</f>
        <v>5048.2440000000015</v>
      </c>
      <c r="T51" s="198">
        <f>VAR!C46/1000</f>
        <v>200.018</v>
      </c>
    </row>
    <row r="52" spans="14:20" x14ac:dyDescent="0.15">
      <c r="N52" s="197">
        <f>'5-DAY'!A83</f>
        <v>37168</v>
      </c>
      <c r="O52" s="198">
        <f>'5-DAY'!C83/1000</f>
        <v>-150.90600000000001</v>
      </c>
      <c r="P52" s="198">
        <f t="shared" ref="P52:P57" si="24">SUM(O48:O52)</f>
        <v>25.58499999999998</v>
      </c>
      <c r="Q52" s="161">
        <f t="shared" si="21"/>
        <v>-24.210999999999999</v>
      </c>
      <c r="R52" s="161">
        <f t="shared" si="22"/>
        <v>-24.210999999999999</v>
      </c>
      <c r="S52" s="198">
        <f t="shared" si="23"/>
        <v>4897.3380000000016</v>
      </c>
      <c r="T52" s="198">
        <f>VAR!C47/1000</f>
        <v>207.06399999999999</v>
      </c>
    </row>
    <row r="53" spans="14:20" x14ac:dyDescent="0.15">
      <c r="N53" s="197">
        <f>'5-DAY'!A84</f>
        <v>37169</v>
      </c>
      <c r="O53" s="198">
        <f>'5-DAY'!C84/1000</f>
        <v>192.637</v>
      </c>
      <c r="P53" s="198">
        <f t="shared" si="24"/>
        <v>168.42599999999999</v>
      </c>
      <c r="Q53" s="161">
        <f t="shared" si="21"/>
        <v>168.42599999999999</v>
      </c>
      <c r="R53" s="161">
        <f t="shared" si="22"/>
        <v>168.42599999999999</v>
      </c>
      <c r="S53" s="198">
        <f t="shared" si="23"/>
        <v>5089.9750000000013</v>
      </c>
      <c r="T53" s="198">
        <f>VAR!C48/1000</f>
        <v>26.643999999999998</v>
      </c>
    </row>
    <row r="54" spans="14:20" x14ac:dyDescent="0.15">
      <c r="N54" s="197">
        <f>'5-DAY'!A85</f>
        <v>37172</v>
      </c>
      <c r="O54" s="198">
        <f>'5-DAY'!C85/1000</f>
        <v>88.301000000000002</v>
      </c>
      <c r="P54" s="198">
        <f t="shared" si="24"/>
        <v>130.62</v>
      </c>
      <c r="Q54" s="161">
        <f t="shared" si="21"/>
        <v>256.72699999999998</v>
      </c>
      <c r="R54" s="161">
        <f t="shared" si="22"/>
        <v>256.72699999999998</v>
      </c>
      <c r="S54" s="198">
        <f t="shared" si="23"/>
        <v>5178.2760000000017</v>
      </c>
      <c r="T54" s="198">
        <f>VAR!C49/1000</f>
        <v>84.474999999999994</v>
      </c>
    </row>
    <row r="55" spans="14:20" x14ac:dyDescent="0.15">
      <c r="N55" s="197">
        <f>'5-DAY'!A86</f>
        <v>37173</v>
      </c>
      <c r="O55" s="198">
        <f>'5-DAY'!C86/1000</f>
        <v>-65.302999999999997</v>
      </c>
      <c r="P55" s="198">
        <f t="shared" si="24"/>
        <v>76.334000000000003</v>
      </c>
      <c r="Q55" s="161">
        <f t="shared" si="21"/>
        <v>191.42399999999998</v>
      </c>
      <c r="R55" s="161">
        <f t="shared" si="22"/>
        <v>191.42399999999998</v>
      </c>
      <c r="S55" s="198">
        <f t="shared" si="23"/>
        <v>5112.9730000000018</v>
      </c>
      <c r="T55" s="198">
        <f>VAR!C50/1000</f>
        <v>66.89</v>
      </c>
    </row>
    <row r="56" spans="14:20" x14ac:dyDescent="0.15">
      <c r="N56" s="197">
        <f>'5-DAY'!A87</f>
        <v>37174</v>
      </c>
      <c r="O56" s="198">
        <f>'5-DAY'!C87/1000</f>
        <v>-242.29900000000001</v>
      </c>
      <c r="P56" s="198">
        <f t="shared" si="24"/>
        <v>-177.57000000000002</v>
      </c>
      <c r="Q56" s="161">
        <f t="shared" ref="Q56:Q61" si="25">Q55+O56</f>
        <v>-50.875000000000028</v>
      </c>
      <c r="R56" s="161">
        <f t="shared" ref="R56:R61" si="26">R55+O56</f>
        <v>-50.875000000000028</v>
      </c>
      <c r="S56" s="198">
        <f t="shared" si="23"/>
        <v>4870.6740000000018</v>
      </c>
      <c r="T56" s="198">
        <f>VAR!C51/1000</f>
        <v>206.73599999999999</v>
      </c>
    </row>
    <row r="57" spans="14:20" x14ac:dyDescent="0.15">
      <c r="N57" s="197">
        <f>'5-DAY'!A88</f>
        <v>37175</v>
      </c>
      <c r="O57" s="198">
        <f>'5-DAY'!C88/1000</f>
        <v>-43.186999999999998</v>
      </c>
      <c r="P57" s="198">
        <f t="shared" si="24"/>
        <v>-69.851000000000013</v>
      </c>
      <c r="Q57" s="161">
        <f t="shared" si="25"/>
        <v>-94.062000000000026</v>
      </c>
      <c r="R57" s="161">
        <f t="shared" si="26"/>
        <v>-94.062000000000026</v>
      </c>
      <c r="S57" s="198">
        <f t="shared" ref="S57:S62" si="27">S56+O57</f>
        <v>4827.4870000000019</v>
      </c>
      <c r="T57" s="198">
        <f>VAR!C52/1000</f>
        <v>184.786</v>
      </c>
    </row>
    <row r="58" spans="14:20" x14ac:dyDescent="0.15">
      <c r="N58" s="197">
        <f>'5-DAY'!A89</f>
        <v>37176</v>
      </c>
      <c r="O58" s="198">
        <f>'5-DAY'!C89/1000</f>
        <v>136.89099999999999</v>
      </c>
      <c r="P58" s="198">
        <f t="shared" ref="P58:P63" si="28">SUM(O54:O58)</f>
        <v>-125.59700000000001</v>
      </c>
      <c r="Q58" s="161">
        <f t="shared" si="25"/>
        <v>42.828999999999965</v>
      </c>
      <c r="R58" s="161">
        <f t="shared" si="26"/>
        <v>42.828999999999965</v>
      </c>
      <c r="S58" s="198">
        <f t="shared" si="27"/>
        <v>4964.3780000000015</v>
      </c>
      <c r="T58" s="198">
        <f>VAR!C53/1000</f>
        <v>169.21600000000001</v>
      </c>
    </row>
    <row r="59" spans="14:20" x14ac:dyDescent="0.15">
      <c r="N59" s="197">
        <f>'5-DAY'!A90</f>
        <v>37179</v>
      </c>
      <c r="O59" s="198">
        <f>'5-DAY'!C90/1000</f>
        <v>36.037999999999997</v>
      </c>
      <c r="P59" s="198">
        <f t="shared" si="28"/>
        <v>-177.86</v>
      </c>
      <c r="Q59" s="161">
        <f t="shared" si="25"/>
        <v>78.866999999999962</v>
      </c>
      <c r="R59" s="161">
        <f t="shared" si="26"/>
        <v>78.866999999999962</v>
      </c>
      <c r="S59" s="198">
        <f t="shared" si="27"/>
        <v>5000.4160000000011</v>
      </c>
      <c r="T59" s="198">
        <f>VAR!C54/1000</f>
        <v>89.177999999999997</v>
      </c>
    </row>
    <row r="60" spans="14:20" x14ac:dyDescent="0.15">
      <c r="N60" s="197">
        <f>'5-DAY'!A91</f>
        <v>37180</v>
      </c>
      <c r="O60" s="198">
        <f>'5-DAY'!C91/1000</f>
        <v>-141.05099999999999</v>
      </c>
      <c r="P60" s="198">
        <f t="shared" si="28"/>
        <v>-253.608</v>
      </c>
      <c r="Q60" s="161">
        <f t="shared" si="25"/>
        <v>-62.184000000000026</v>
      </c>
      <c r="R60" s="161">
        <f t="shared" si="26"/>
        <v>-62.184000000000026</v>
      </c>
      <c r="S60" s="198">
        <f t="shared" si="27"/>
        <v>4859.3650000000007</v>
      </c>
      <c r="T60" s="198">
        <f>VAR!C55/1000</f>
        <v>118.142</v>
      </c>
    </row>
    <row r="61" spans="14:20" x14ac:dyDescent="0.15">
      <c r="N61" s="197">
        <f>'5-DAY'!A92</f>
        <v>37181</v>
      </c>
      <c r="O61" s="198">
        <f>'5-DAY'!C92/1000</f>
        <v>110.306</v>
      </c>
      <c r="P61" s="198">
        <f t="shared" si="28"/>
        <v>98.997</v>
      </c>
      <c r="Q61" s="161">
        <f t="shared" si="25"/>
        <v>48.121999999999971</v>
      </c>
      <c r="R61" s="161">
        <f t="shared" si="26"/>
        <v>48.121999999999971</v>
      </c>
      <c r="S61" s="198">
        <f t="shared" si="27"/>
        <v>4969.6710000000003</v>
      </c>
      <c r="T61" s="198">
        <f>VAR!C56/1000</f>
        <v>116.71899999999999</v>
      </c>
    </row>
    <row r="62" spans="14:20" x14ac:dyDescent="0.15">
      <c r="N62" s="197">
        <f>'5-DAY'!A93</f>
        <v>37182</v>
      </c>
      <c r="O62" s="198">
        <f>'5-DAY'!C93/1000</f>
        <v>-179.35499999999999</v>
      </c>
      <c r="P62" s="198">
        <f t="shared" si="28"/>
        <v>-37.171000000000021</v>
      </c>
      <c r="Q62" s="161">
        <f t="shared" ref="Q62:Q67" si="29">Q61+O62</f>
        <v>-131.233</v>
      </c>
      <c r="R62" s="161">
        <f t="shared" ref="R62:R67" si="30">R61+O62</f>
        <v>-131.233</v>
      </c>
      <c r="S62" s="198">
        <f t="shared" si="27"/>
        <v>4790.3160000000007</v>
      </c>
      <c r="T62" s="198">
        <f>VAR!C57/1000</f>
        <v>193.70599999999999</v>
      </c>
    </row>
    <row r="63" spans="14:20" x14ac:dyDescent="0.15">
      <c r="N63" s="197">
        <f>'5-DAY'!A94</f>
        <v>37183</v>
      </c>
      <c r="O63" s="198">
        <f>'5-DAY'!C94/1000</f>
        <v>-283.03300000000002</v>
      </c>
      <c r="P63" s="198">
        <f t="shared" si="28"/>
        <v>-457.09500000000003</v>
      </c>
      <c r="Q63" s="161">
        <f t="shared" si="29"/>
        <v>-414.26600000000002</v>
      </c>
      <c r="R63" s="161">
        <f t="shared" si="30"/>
        <v>-414.26600000000002</v>
      </c>
      <c r="S63" s="198">
        <f t="shared" ref="S63:S68" si="31">S62+O63</f>
        <v>4507.2830000000004</v>
      </c>
      <c r="T63" s="198">
        <f>VAR!C58/1000</f>
        <v>229.09399999999999</v>
      </c>
    </row>
    <row r="64" spans="14:20" x14ac:dyDescent="0.15">
      <c r="N64" s="197">
        <f>'5-DAY'!A95</f>
        <v>37186</v>
      </c>
      <c r="O64" s="198">
        <f>'5-DAY'!C95/1000</f>
        <v>-217.38399999999999</v>
      </c>
      <c r="P64" s="198">
        <f t="shared" ref="P64:P69" si="32">SUM(O60:O64)</f>
        <v>-710.51699999999994</v>
      </c>
      <c r="Q64" s="161">
        <f t="shared" si="29"/>
        <v>-631.65</v>
      </c>
      <c r="R64" s="161">
        <f t="shared" si="30"/>
        <v>-631.65</v>
      </c>
      <c r="S64" s="198">
        <f t="shared" si="31"/>
        <v>4289.8990000000003</v>
      </c>
      <c r="T64" s="198">
        <f>VAR!C59/1000</f>
        <v>250.26599999999999</v>
      </c>
    </row>
    <row r="65" spans="14:20" x14ac:dyDescent="0.15">
      <c r="N65" s="197">
        <f>'5-DAY'!A96</f>
        <v>37187</v>
      </c>
      <c r="O65" s="198">
        <f>'5-DAY'!C96/1000</f>
        <v>202.661</v>
      </c>
      <c r="P65" s="198">
        <f t="shared" si="32"/>
        <v>-366.80500000000001</v>
      </c>
      <c r="Q65" s="161">
        <f t="shared" si="29"/>
        <v>-428.98899999999998</v>
      </c>
      <c r="R65" s="161">
        <f t="shared" si="30"/>
        <v>-428.98899999999998</v>
      </c>
      <c r="S65" s="198">
        <f t="shared" si="31"/>
        <v>4492.5600000000004</v>
      </c>
      <c r="T65" s="198">
        <f>VAR!C60/1000</f>
        <v>167.13</v>
      </c>
    </row>
    <row r="66" spans="14:20" x14ac:dyDescent="0.15">
      <c r="N66" s="197">
        <f>'5-DAY'!A97</f>
        <v>37188</v>
      </c>
      <c r="O66" s="198">
        <f>'5-DAY'!C97/1000</f>
        <v>-256.952</v>
      </c>
      <c r="P66" s="198">
        <f t="shared" si="32"/>
        <v>-734.0630000000001</v>
      </c>
      <c r="Q66" s="161">
        <f t="shared" si="29"/>
        <v>-685.94100000000003</v>
      </c>
      <c r="R66" s="161">
        <f t="shared" si="30"/>
        <v>-685.94100000000003</v>
      </c>
      <c r="S66" s="198">
        <f t="shared" si="31"/>
        <v>4235.6080000000002</v>
      </c>
      <c r="T66" s="198">
        <f>VAR!C61/1000</f>
        <v>109.855</v>
      </c>
    </row>
    <row r="67" spans="14:20" x14ac:dyDescent="0.15">
      <c r="N67" s="197">
        <f>'5-DAY'!A98</f>
        <v>37189</v>
      </c>
      <c r="O67" s="198">
        <f>'5-DAY'!C98/1000</f>
        <v>-42.207999999999998</v>
      </c>
      <c r="P67" s="198">
        <f t="shared" si="32"/>
        <v>-596.91600000000005</v>
      </c>
      <c r="Q67" s="161">
        <f t="shared" si="29"/>
        <v>-728.149</v>
      </c>
      <c r="R67" s="161">
        <f t="shared" si="30"/>
        <v>-728.149</v>
      </c>
      <c r="S67" s="198">
        <f t="shared" si="31"/>
        <v>4193.4000000000005</v>
      </c>
      <c r="T67" s="198">
        <f>VAR!C62/1000</f>
        <v>105.129</v>
      </c>
    </row>
    <row r="68" spans="14:20" x14ac:dyDescent="0.15">
      <c r="N68" s="197">
        <f>'5-DAY'!A99</f>
        <v>37190</v>
      </c>
      <c r="O68" s="198">
        <f>'5-DAY'!C99/1000</f>
        <v>-30.893000000000001</v>
      </c>
      <c r="P68" s="198">
        <f t="shared" si="32"/>
        <v>-344.77599999999995</v>
      </c>
      <c r="Q68" s="161">
        <f>Q67+O68</f>
        <v>-759.04200000000003</v>
      </c>
      <c r="R68" s="161">
        <f t="shared" ref="R68:R73" si="33">R67+O68</f>
        <v>-759.04200000000003</v>
      </c>
      <c r="S68" s="198">
        <f t="shared" si="31"/>
        <v>4162.5070000000005</v>
      </c>
      <c r="T68" s="198">
        <f>VAR!C63/1000</f>
        <v>0</v>
      </c>
    </row>
    <row r="69" spans="14:20" x14ac:dyDescent="0.15">
      <c r="N69" s="197">
        <f>'5-DAY'!A100</f>
        <v>37193</v>
      </c>
      <c r="O69" s="198">
        <f>'5-DAY'!C100/1000</f>
        <v>37.549999999999997</v>
      </c>
      <c r="P69" s="198">
        <f t="shared" si="32"/>
        <v>-89.841999999999999</v>
      </c>
      <c r="Q69" s="161">
        <f>Q68+O69</f>
        <v>-721.49200000000008</v>
      </c>
      <c r="R69" s="161">
        <f t="shared" si="33"/>
        <v>-721.49200000000008</v>
      </c>
      <c r="S69" s="198">
        <f t="shared" ref="S69:S74" si="34">S68+O69</f>
        <v>4200.0570000000007</v>
      </c>
      <c r="T69" s="198">
        <f>VAR!C64/1000</f>
        <v>161.85499999999999</v>
      </c>
    </row>
    <row r="70" spans="14:20" x14ac:dyDescent="0.15">
      <c r="N70" s="197">
        <f>'5-DAY'!A101</f>
        <v>37194</v>
      </c>
      <c r="O70" s="198">
        <f>'5-DAY'!C101/1000</f>
        <v>-105.916</v>
      </c>
      <c r="P70" s="198">
        <f t="shared" ref="P70:P75" si="35">SUM(O66:O70)</f>
        <v>-398.41899999999998</v>
      </c>
      <c r="Q70" s="161">
        <f>Q69+O70</f>
        <v>-827.40800000000013</v>
      </c>
      <c r="R70" s="161">
        <f t="shared" si="33"/>
        <v>-827.40800000000013</v>
      </c>
      <c r="S70" s="198">
        <f t="shared" si="34"/>
        <v>4094.1410000000005</v>
      </c>
      <c r="T70" s="198">
        <f>VAR!C65/1000</f>
        <v>160.9</v>
      </c>
    </row>
    <row r="71" spans="14:20" x14ac:dyDescent="0.15">
      <c r="N71" s="178">
        <f>'5-DAY'!A102</f>
        <v>37195</v>
      </c>
      <c r="O71" s="179">
        <f>'5-DAY'!C102/1000</f>
        <v>94.742000000000004</v>
      </c>
      <c r="P71" s="179">
        <f t="shared" si="35"/>
        <v>-46.72499999999998</v>
      </c>
      <c r="Q71" s="179">
        <f>Q70+O71</f>
        <v>-732.66600000000017</v>
      </c>
      <c r="R71" s="179">
        <f t="shared" si="33"/>
        <v>-732.66600000000017</v>
      </c>
      <c r="S71" s="179">
        <f t="shared" si="34"/>
        <v>4188.8830000000007</v>
      </c>
      <c r="T71" s="179">
        <f>VAR!C66/1000</f>
        <v>21.529</v>
      </c>
    </row>
    <row r="72" spans="14:20" x14ac:dyDescent="0.15">
      <c r="N72" s="197">
        <f>'5-DAY'!A103</f>
        <v>37196</v>
      </c>
      <c r="O72" s="198">
        <f>'5-DAY'!C103/1000</f>
        <v>0.26700000000000002</v>
      </c>
      <c r="P72" s="198">
        <f t="shared" si="35"/>
        <v>-4.2499999999999956</v>
      </c>
      <c r="Q72" s="161">
        <f>O72</f>
        <v>0.26700000000000002</v>
      </c>
      <c r="R72" s="198">
        <f t="shared" si="33"/>
        <v>-732.39900000000011</v>
      </c>
      <c r="S72" s="198">
        <f t="shared" si="34"/>
        <v>4189.1500000000005</v>
      </c>
      <c r="T72" s="198">
        <f>VAR!C67/1000</f>
        <v>105.873</v>
      </c>
    </row>
    <row r="73" spans="14:20" x14ac:dyDescent="0.15">
      <c r="N73" s="197">
        <f>'5-DAY'!A104</f>
        <v>37197</v>
      </c>
      <c r="O73" s="198">
        <f>'5-DAY'!C104/1000</f>
        <v>12.235939999999944</v>
      </c>
      <c r="P73" s="198">
        <f t="shared" si="35"/>
        <v>38.87893999999995</v>
      </c>
      <c r="Q73" s="182">
        <f t="shared" ref="Q73:Q78" si="36">Q72+O73</f>
        <v>12.502939999999944</v>
      </c>
      <c r="R73" s="198">
        <f t="shared" si="33"/>
        <v>-720.1630600000002</v>
      </c>
      <c r="S73" s="198">
        <f t="shared" si="34"/>
        <v>4201.3859400000001</v>
      </c>
      <c r="T73" s="198">
        <f>VAR!C68/1000</f>
        <v>49.988999999999997</v>
      </c>
    </row>
    <row r="74" spans="14:20" x14ac:dyDescent="0.15">
      <c r="N74" s="197">
        <f>'5-DAY'!A105</f>
        <v>37200</v>
      </c>
      <c r="O74" s="198">
        <f>'5-DAY'!C105/1000</f>
        <v>-110.696</v>
      </c>
      <c r="P74" s="198">
        <f t="shared" si="35"/>
        <v>-109.36706000000005</v>
      </c>
      <c r="Q74" s="182">
        <f t="shared" si="36"/>
        <v>-98.19306000000006</v>
      </c>
      <c r="R74" s="198">
        <f t="shared" ref="R74:R79" si="37">R73+O74</f>
        <v>-830.85906000000023</v>
      </c>
      <c r="S74" s="198">
        <f t="shared" si="34"/>
        <v>4090.6899400000002</v>
      </c>
      <c r="T74" s="198">
        <f>VAR!C69/1000</f>
        <v>261.30500000000001</v>
      </c>
    </row>
    <row r="75" spans="14:20" x14ac:dyDescent="0.15">
      <c r="N75" s="197">
        <f>'5-DAY'!A106</f>
        <v>37201</v>
      </c>
      <c r="O75" s="198">
        <f>'5-DAY'!C106/1000</f>
        <v>9.4109999999999996</v>
      </c>
      <c r="P75" s="198">
        <f t="shared" si="35"/>
        <v>5.9599399999999445</v>
      </c>
      <c r="Q75" s="182">
        <f t="shared" si="36"/>
        <v>-88.782060000000058</v>
      </c>
      <c r="R75" s="198">
        <f t="shared" si="37"/>
        <v>-821.44806000000028</v>
      </c>
      <c r="S75" s="198">
        <f t="shared" ref="S75:S80" si="38">S74+O75</f>
        <v>4100.1009400000003</v>
      </c>
      <c r="T75" s="198">
        <f>VAR!C70/1000</f>
        <v>283.40899999999999</v>
      </c>
    </row>
    <row r="76" spans="14:20" x14ac:dyDescent="0.15">
      <c r="N76" s="197">
        <f>'5-DAY'!A107</f>
        <v>37202</v>
      </c>
      <c r="O76" s="198">
        <f>'5-DAY'!C107/1000</f>
        <v>-10.531000000000001</v>
      </c>
      <c r="P76" s="198">
        <f t="shared" ref="P76:P81" si="39">SUM(O72:O76)</f>
        <v>-99.313060000000064</v>
      </c>
      <c r="Q76" s="182">
        <f t="shared" si="36"/>
        <v>-99.313060000000064</v>
      </c>
      <c r="R76" s="198">
        <f t="shared" si="37"/>
        <v>-831.97906000000023</v>
      </c>
      <c r="S76" s="198">
        <f t="shared" si="38"/>
        <v>4089.5699400000003</v>
      </c>
      <c r="T76" s="198">
        <f>VAR!C71/1000</f>
        <v>241.14099999999999</v>
      </c>
    </row>
    <row r="77" spans="14:20" x14ac:dyDescent="0.15">
      <c r="N77" s="197">
        <f>'5-DAY'!A108</f>
        <v>37203</v>
      </c>
      <c r="O77" s="198">
        <f>'5-DAY'!C108/1000</f>
        <v>-185.05500000000001</v>
      </c>
      <c r="P77" s="198">
        <f t="shared" si="39"/>
        <v>-284.63506000000007</v>
      </c>
      <c r="Q77" s="182">
        <f t="shared" si="36"/>
        <v>-284.36806000000007</v>
      </c>
      <c r="R77" s="198">
        <f t="shared" si="37"/>
        <v>-1017.0340600000002</v>
      </c>
      <c r="S77" s="198">
        <f t="shared" si="38"/>
        <v>3904.5149400000005</v>
      </c>
      <c r="T77" s="198">
        <f>VAR!C72/1000</f>
        <v>248.95099999999999</v>
      </c>
    </row>
    <row r="78" spans="14:20" x14ac:dyDescent="0.15">
      <c r="N78" s="197">
        <f>'5-DAY'!A109</f>
        <v>37204</v>
      </c>
      <c r="O78" s="198">
        <f>'5-DAY'!C109/1000</f>
        <v>48.972000000000001</v>
      </c>
      <c r="P78" s="198">
        <f t="shared" si="39"/>
        <v>-247.89899999999997</v>
      </c>
      <c r="Q78" s="182">
        <f t="shared" si="36"/>
        <v>-235.39606000000006</v>
      </c>
      <c r="R78" s="198">
        <f t="shared" si="37"/>
        <v>-968.0620600000002</v>
      </c>
      <c r="S78" s="198">
        <f t="shared" si="38"/>
        <v>3953.4869400000007</v>
      </c>
      <c r="T78" s="198">
        <f>VAR!C73/1000</f>
        <v>112.54300000000001</v>
      </c>
    </row>
    <row r="79" spans="14:20" x14ac:dyDescent="0.15">
      <c r="N79" s="197">
        <f>'5-DAY'!A110</f>
        <v>37207</v>
      </c>
      <c r="O79" s="198">
        <f>'5-DAY'!C110/1000</f>
        <v>93.606999999999999</v>
      </c>
      <c r="P79" s="198">
        <f t="shared" si="39"/>
        <v>-43.596000000000004</v>
      </c>
      <c r="Q79" s="182">
        <f t="shared" ref="Q79:Q84" si="40">Q78+O79</f>
        <v>-141.78906000000006</v>
      </c>
      <c r="R79" s="198">
        <f t="shared" si="37"/>
        <v>-874.45506000000023</v>
      </c>
      <c r="S79" s="198">
        <f t="shared" si="38"/>
        <v>4047.0939400000007</v>
      </c>
      <c r="T79" s="198">
        <f>VAR!C74/1000</f>
        <v>238.102</v>
      </c>
    </row>
    <row r="80" spans="14:20" x14ac:dyDescent="0.15">
      <c r="N80" s="197">
        <f>'5-DAY'!A111</f>
        <v>37208</v>
      </c>
      <c r="O80" s="198">
        <f>'5-DAY'!C111/1000</f>
        <v>-99.569000000000003</v>
      </c>
      <c r="P80" s="198">
        <f t="shared" si="39"/>
        <v>-152.57600000000002</v>
      </c>
      <c r="Q80" s="182">
        <f t="shared" si="40"/>
        <v>-241.35806000000008</v>
      </c>
      <c r="R80" s="198">
        <f t="shared" ref="R80:R85" si="41">R79+O80</f>
        <v>-974.02406000000019</v>
      </c>
      <c r="S80" s="198">
        <f t="shared" si="38"/>
        <v>3947.5249400000007</v>
      </c>
      <c r="T80" s="198">
        <f>VAR!C75/1000</f>
        <v>242.38300000000001</v>
      </c>
    </row>
    <row r="81" spans="14:20" x14ac:dyDescent="0.15">
      <c r="N81" s="197">
        <f>'5-DAY'!A112</f>
        <v>37209</v>
      </c>
      <c r="O81" s="198">
        <f>'5-DAY'!C112/1000</f>
        <v>121.148</v>
      </c>
      <c r="P81" s="198">
        <f t="shared" si="39"/>
        <v>-20.89700000000002</v>
      </c>
      <c r="Q81" s="182">
        <f t="shared" si="40"/>
        <v>-120.21006000000008</v>
      </c>
      <c r="R81" s="198">
        <f t="shared" si="41"/>
        <v>-852.87606000000017</v>
      </c>
      <c r="S81" s="198">
        <f t="shared" ref="S81:S86" si="42">S80+O81</f>
        <v>4068.6729400000008</v>
      </c>
      <c r="T81" s="198">
        <f>VAR!C76/1000</f>
        <v>371.495</v>
      </c>
    </row>
    <row r="82" spans="14:20" x14ac:dyDescent="0.15">
      <c r="N82" s="197">
        <f>'5-DAY'!A113</f>
        <v>37210</v>
      </c>
      <c r="O82" s="198">
        <f>'5-DAY'!C113/1000</f>
        <v>181.96799999999999</v>
      </c>
      <c r="P82" s="198">
        <f>SUM(O78:O82)</f>
        <v>346.12599999999998</v>
      </c>
      <c r="Q82" s="182">
        <f t="shared" si="40"/>
        <v>61.757939999999905</v>
      </c>
      <c r="R82" s="198">
        <f t="shared" si="41"/>
        <v>-670.90806000000021</v>
      </c>
      <c r="S82" s="198">
        <f t="shared" si="42"/>
        <v>4250.6409400000011</v>
      </c>
      <c r="T82" s="198">
        <f>VAR!C77/1000</f>
        <v>89.16</v>
      </c>
    </row>
    <row r="83" spans="14:20" x14ac:dyDescent="0.15">
      <c r="N83" s="197">
        <f>'5-DAY'!A114</f>
        <v>37211</v>
      </c>
      <c r="O83" s="198">
        <f>'5-DAY'!C114/1000</f>
        <v>-44.698</v>
      </c>
      <c r="P83" s="198">
        <f>SUM(O79:O83)</f>
        <v>252.45599999999999</v>
      </c>
      <c r="Q83" s="182">
        <f t="shared" si="40"/>
        <v>17.059939999999905</v>
      </c>
      <c r="R83" s="198">
        <f t="shared" si="41"/>
        <v>-715.60606000000018</v>
      </c>
      <c r="S83" s="198">
        <f t="shared" si="42"/>
        <v>4205.9429400000008</v>
      </c>
      <c r="T83" s="198">
        <f>VAR!C78/1000</f>
        <v>91.760999999999996</v>
      </c>
    </row>
    <row r="84" spans="14:20" x14ac:dyDescent="0.15">
      <c r="N84" s="197">
        <f>'5-DAY'!A115</f>
        <v>37214</v>
      </c>
      <c r="O84" s="198">
        <f>'5-DAY'!C115/1000</f>
        <v>9.8209999999999997</v>
      </c>
      <c r="P84" s="198">
        <f>SUM(O80:O84)</f>
        <v>168.66999999999996</v>
      </c>
      <c r="Q84" s="182">
        <f t="shared" si="40"/>
        <v>26.880939999999903</v>
      </c>
      <c r="R84" s="198">
        <f t="shared" si="41"/>
        <v>-705.78506000000016</v>
      </c>
      <c r="S84" s="198">
        <f t="shared" si="42"/>
        <v>4215.7639400000007</v>
      </c>
      <c r="T84" s="198">
        <f>VAR!C79/1000</f>
        <v>73.632999999999996</v>
      </c>
    </row>
    <row r="85" spans="14:20" x14ac:dyDescent="0.15">
      <c r="N85" s="197">
        <f>'5-DAY'!A116</f>
        <v>37215</v>
      </c>
      <c r="O85" s="198">
        <f>'5-DAY'!C116/1000</f>
        <v>-59.188000000000002</v>
      </c>
      <c r="P85" s="198">
        <f>SUM(O81:O85)</f>
        <v>209.05100000000004</v>
      </c>
      <c r="Q85" s="182">
        <f>Q84+O85</f>
        <v>-32.307060000000099</v>
      </c>
      <c r="R85" s="198">
        <f t="shared" si="41"/>
        <v>-764.97306000000015</v>
      </c>
      <c r="S85" s="198">
        <f t="shared" si="42"/>
        <v>4156.5759400000006</v>
      </c>
      <c r="T85" s="198">
        <f>VAR!C80/1000</f>
        <v>207.17400000000001</v>
      </c>
    </row>
    <row r="86" spans="14:20" x14ac:dyDescent="0.15">
      <c r="N86" s="197">
        <f>'5-DAY'!A117</f>
        <v>37216</v>
      </c>
      <c r="O86" s="198">
        <f>'5-DAY'!C117/1000</f>
        <v>109.52</v>
      </c>
      <c r="P86" s="198">
        <f>SUM(O82:O86)</f>
        <v>197.42299999999997</v>
      </c>
      <c r="Q86" s="182">
        <f>Q85+O86</f>
        <v>77.21293999999989</v>
      </c>
      <c r="R86" s="198">
        <f>R85+O86</f>
        <v>-655.45306000000016</v>
      </c>
      <c r="S86" s="198">
        <f t="shared" si="42"/>
        <v>4266.0959400000011</v>
      </c>
      <c r="T86" s="198">
        <f>VAR!C81/1000</f>
        <v>73.108000000000004</v>
      </c>
    </row>
    <row r="87" spans="14:20" x14ac:dyDescent="0.15">
      <c r="N87" s="197">
        <f>'5-DAY'!A118</f>
        <v>37221</v>
      </c>
      <c r="O87" s="198"/>
      <c r="P87" s="198"/>
      <c r="Q87" s="182"/>
      <c r="R87" s="198"/>
      <c r="S87" s="198"/>
      <c r="T87" s="198"/>
    </row>
    <row r="88" spans="14:20" x14ac:dyDescent="0.15">
      <c r="N88" s="197">
        <f>'5-DAY'!A119</f>
        <v>37222</v>
      </c>
      <c r="O88" s="198"/>
      <c r="P88" s="198"/>
      <c r="Q88" s="182"/>
      <c r="R88" s="198"/>
      <c r="S88" s="198"/>
      <c r="T88" s="198"/>
    </row>
    <row r="89" spans="14:20" x14ac:dyDescent="0.15">
      <c r="N89" s="197">
        <f>'5-DAY'!A120</f>
        <v>37223</v>
      </c>
      <c r="O89" s="198"/>
      <c r="P89" s="198"/>
      <c r="Q89" s="182"/>
      <c r="R89" s="198"/>
      <c r="S89" s="198"/>
      <c r="T89" s="198"/>
    </row>
    <row r="90" spans="14:20" x14ac:dyDescent="0.15">
      <c r="N90" s="197">
        <f>'5-DAY'!A121</f>
        <v>37224</v>
      </c>
      <c r="O90" s="198"/>
      <c r="P90" s="198"/>
      <c r="Q90" s="211"/>
      <c r="R90" s="198"/>
      <c r="S90" s="198"/>
      <c r="T90" s="198"/>
    </row>
    <row r="91" spans="14:20" x14ac:dyDescent="0.15">
      <c r="N91" s="178">
        <f>'5-DAY'!A122</f>
        <v>37225</v>
      </c>
      <c r="O91" s="179"/>
      <c r="P91" s="179"/>
      <c r="Q91" s="194"/>
      <c r="R91" s="179"/>
      <c r="S91" s="179"/>
      <c r="T91" s="179"/>
    </row>
    <row r="92" spans="14:20" x14ac:dyDescent="0.15">
      <c r="N92" s="197"/>
    </row>
    <row r="93" spans="14:20" x14ac:dyDescent="0.15">
      <c r="N93" s="197"/>
    </row>
    <row r="94" spans="14:20" x14ac:dyDescent="0.15">
      <c r="N94" s="197"/>
    </row>
    <row r="95" spans="14:20" x14ac:dyDescent="0.15">
      <c r="N95" s="197"/>
    </row>
    <row r="96" spans="14:20" x14ac:dyDescent="0.15">
      <c r="N96" s="197"/>
    </row>
    <row r="97" spans="14:14" x14ac:dyDescent="0.15">
      <c r="N97" s="197"/>
    </row>
    <row r="98" spans="14:14" x14ac:dyDescent="0.15">
      <c r="N98" s="197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15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150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151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152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3"/>
      <c r="C6" s="16" t="s">
        <v>153</v>
      </c>
      <c r="D6" s="16" t="s">
        <v>154</v>
      </c>
      <c r="E6" s="16" t="s">
        <v>155</v>
      </c>
      <c r="F6" s="16" t="s">
        <v>156</v>
      </c>
      <c r="G6" s="16" t="s">
        <v>157</v>
      </c>
      <c r="H6" s="16" t="s">
        <v>158</v>
      </c>
      <c r="I6" s="16" t="s">
        <v>159</v>
      </c>
      <c r="J6" s="16" t="s">
        <v>160</v>
      </c>
      <c r="K6" s="16" t="s">
        <v>161</v>
      </c>
      <c r="L6" s="16" t="s">
        <v>162</v>
      </c>
      <c r="M6" s="16" t="s">
        <v>163</v>
      </c>
      <c r="N6" s="16" t="s">
        <v>164</v>
      </c>
      <c r="O6" s="16" t="s">
        <v>165</v>
      </c>
      <c r="P6" s="16" t="s">
        <v>166</v>
      </c>
      <c r="Q6" s="16" t="s">
        <v>167</v>
      </c>
      <c r="R6" s="16" t="s">
        <v>168</v>
      </c>
      <c r="S6" s="16" t="s">
        <v>169</v>
      </c>
      <c r="T6" s="16" t="s">
        <v>170</v>
      </c>
      <c r="U6" s="16" t="s">
        <v>171</v>
      </c>
      <c r="V6" s="16" t="s">
        <v>172</v>
      </c>
      <c r="W6" s="16" t="s">
        <v>173</v>
      </c>
      <c r="X6" s="16" t="s">
        <v>174</v>
      </c>
      <c r="Y6" s="16" t="s">
        <v>175</v>
      </c>
      <c r="Z6" s="16" t="s">
        <v>176</v>
      </c>
      <c r="AA6" s="16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-1181.2440999999999</v>
      </c>
      <c r="D7" s="17">
        <f>SUM(($D$16+$D$28))</f>
        <v>-7275.1678000000002</v>
      </c>
      <c r="E7" s="17">
        <f>SUM(($E$16+$E$28))</f>
        <v>-2565.4546</v>
      </c>
      <c r="F7" s="17">
        <f>SUM(($F$16+$F$28))</f>
        <v>692.60640000000001</v>
      </c>
      <c r="G7" s="17">
        <f>SUM(($G$16+$G$28))</f>
        <v>-10788.496800000001</v>
      </c>
      <c r="H7" s="17">
        <f>SUM(($H$16+$H$28))</f>
        <v>7381.3957</v>
      </c>
      <c r="I7" s="17">
        <f>SUM(($I$16+$I$28))</f>
        <v>-1716.0785000000001</v>
      </c>
      <c r="J7" s="17">
        <f>SUM(($J$16+$J$28))</f>
        <v>-15653.680700000001</v>
      </c>
      <c r="K7" s="17">
        <f>SUM(($K$16+$K$28))</f>
        <v>-18105.293600000001</v>
      </c>
      <c r="L7" s="17">
        <f>SUM(($L$16+$L$28))</f>
        <v>-13682.745199999999</v>
      </c>
      <c r="M7" s="17">
        <f>SUM(($M$16+$M$28))</f>
        <v>-10137.5839</v>
      </c>
      <c r="N7" s="17">
        <f>SUM(($N$16+$N$28))</f>
        <v>-6143.6269000000002</v>
      </c>
      <c r="O7" s="17">
        <f>SUM(($O$16+$O$28))</f>
        <v>-6172.6925000000001</v>
      </c>
      <c r="P7" s="17">
        <f>SUM(($P$16+$P$28))</f>
        <v>-8334.0151000000005</v>
      </c>
      <c r="Q7" s="17">
        <f>SUM(($Q$16+$Q$28))</f>
        <v>-5365.0888000000004</v>
      </c>
      <c r="R7" s="17">
        <f>SUM(($R$16+$R$28))</f>
        <v>-2237.2085999999999</v>
      </c>
      <c r="S7" s="17">
        <f>SUM(($S$16+$S$28))</f>
        <v>-4055.1635000000001</v>
      </c>
      <c r="T7" s="17">
        <f>SUM(($T$16+$T$28))</f>
        <v>-6296.0236999999997</v>
      </c>
      <c r="U7" s="17">
        <f>SUM(($U$16+$U$28))</f>
        <v>-6455.1301000000003</v>
      </c>
      <c r="V7" s="17">
        <f>SUM(($V$16+$V$28))</f>
        <v>-15715.442999999999</v>
      </c>
      <c r="W7" s="17">
        <f>SUM(($W$16+$W$28))</f>
        <v>-19457.3462</v>
      </c>
      <c r="X7" s="17">
        <f>SUM(($X$16+$X$28))</f>
        <v>-17188.496800000001</v>
      </c>
      <c r="Y7" s="17">
        <f>SUM(($Y$16+$Y$28))</f>
        <v>-12973.4753</v>
      </c>
      <c r="Z7" s="17">
        <f>SUM(($Z$16+$Z$28))</f>
        <v>-23700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-10193.5484</v>
      </c>
      <c r="D8" s="17">
        <f>SUM(($D$17+$D$29))</f>
        <v>-6064.4838999999993</v>
      </c>
      <c r="E8" s="17">
        <f>SUM(($E$17+$E$29))</f>
        <v>-5750</v>
      </c>
      <c r="F8" s="17">
        <f>SUM(($F$17+$F$29))</f>
        <v>-13870.967699999999</v>
      </c>
      <c r="G8" s="17">
        <f>SUM(($G$17+$G$29))</f>
        <v>-12500</v>
      </c>
      <c r="H8" s="17">
        <f>SUM(($H$17+$H$29))</f>
        <v>-26645.1613</v>
      </c>
      <c r="I8" s="17">
        <f>SUM(($I$17+$I$29))</f>
        <v>-11633.3</v>
      </c>
      <c r="J8" s="17">
        <f>SUM(($J$17+$J$29))</f>
        <v>-41193.5484</v>
      </c>
      <c r="K8" s="17">
        <f>SUM(($K$17+$K$29))</f>
        <v>-41741.9355</v>
      </c>
      <c r="L8" s="17">
        <f>SUM(($L$17+$L$29))</f>
        <v>-29033.333299999998</v>
      </c>
      <c r="M8" s="17">
        <f>SUM(($M$17+$M$29))</f>
        <v>-19161.290300000001</v>
      </c>
      <c r="N8" s="17">
        <f>SUM(($N$17+$N$29))</f>
        <v>-8433.2999999999993</v>
      </c>
      <c r="O8" s="17">
        <f>SUM(($O$17+$O$29))</f>
        <v>-14225.7742</v>
      </c>
      <c r="P8" s="17">
        <f>SUM(($P$17+$P$29))</f>
        <v>-12741.9355</v>
      </c>
      <c r="Q8" s="17">
        <f>SUM(($Q$17+$Q$29))</f>
        <v>-12464.25</v>
      </c>
      <c r="R8" s="17">
        <f>SUM(($R$17+$R$29))</f>
        <v>-2774.2258000000002</v>
      </c>
      <c r="S8" s="17">
        <f>SUM(($S$17+$S$29))</f>
        <v>-26366.666700000002</v>
      </c>
      <c r="T8" s="17">
        <f>SUM(($T$17+$T$29))</f>
        <v>-16612.870999999999</v>
      </c>
      <c r="U8" s="17">
        <f>SUM(($U$17+$U$29))</f>
        <v>-17600</v>
      </c>
      <c r="V8" s="17">
        <f>SUM(($V$17+$V$29))</f>
        <v>-45032.290300000001</v>
      </c>
      <c r="W8" s="17">
        <f>SUM(($W$17+$W$29))</f>
        <v>-53032.258099999999</v>
      </c>
      <c r="X8" s="17">
        <f>SUM(($X$17+$X$29))</f>
        <v>-45900</v>
      </c>
      <c r="Y8" s="17">
        <f>SUM(($Y$17+$Y$29))</f>
        <v>-33709.6774</v>
      </c>
      <c r="Z8" s="17">
        <f>SUM(($Z$17+$Z$29))</f>
        <v>-34066.666700000002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15000</v>
      </c>
      <c r="H9" s="17">
        <f>SUM(($H$18+$H$30))</f>
        <v>30000</v>
      </c>
      <c r="I9" s="17">
        <f>SUM(($I$18+$I$30))</f>
        <v>30000</v>
      </c>
      <c r="J9" s="17">
        <f>SUM(($J$18+$J$30))</f>
        <v>50000</v>
      </c>
      <c r="K9" s="17">
        <f>SUM(($K$18+$K$30))</f>
        <v>50000</v>
      </c>
      <c r="L9" s="17">
        <f>SUM(($L$18+$L$30))</f>
        <v>50000</v>
      </c>
      <c r="M9" s="17">
        <f>SUM(($M$18+$M$30))</f>
        <v>50000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12173.5946</v>
      </c>
      <c r="D11" s="19">
        <f>SUM($D$7:$D$10)</f>
        <v>10208.735400000001</v>
      </c>
      <c r="E11" s="19">
        <f>SUM($E$7:$E$10)</f>
        <v>11684.545399999999</v>
      </c>
      <c r="F11" s="19">
        <f>SUM($F$7:$F$10)</f>
        <v>-3178.3612999999987</v>
      </c>
      <c r="G11" s="19">
        <f>SUM($G$7:$G$10)</f>
        <v>-8288.4968000000008</v>
      </c>
      <c r="H11" s="19">
        <f>SUM($H$7:$H$10)</f>
        <v>10736.234400000001</v>
      </c>
      <c r="I11" s="19">
        <f>SUM($I$7:$I$10)</f>
        <v>16650.621500000001</v>
      </c>
      <c r="J11" s="19">
        <f>SUM($J$7:$J$10)</f>
        <v>-6847.2290999999968</v>
      </c>
      <c r="K11" s="19">
        <f>SUM($K$7:$K$10)</f>
        <v>-9847.2290999999968</v>
      </c>
      <c r="L11" s="19">
        <f>SUM($L$7:$L$10)</f>
        <v>7283.921500000004</v>
      </c>
      <c r="M11" s="19">
        <f>SUM($M$7:$M$10)</f>
        <v>20701.125800000002</v>
      </c>
      <c r="N11" s="19">
        <f>SUM($N$7:$N$10)</f>
        <v>10423.073100000001</v>
      </c>
      <c r="O11" s="19">
        <f>SUM($O$7:$O$10)</f>
        <v>4601.5332999999991</v>
      </c>
      <c r="P11" s="19">
        <f>SUM($P$7:$P$10)</f>
        <v>3924.0493999999999</v>
      </c>
      <c r="Q11" s="19">
        <f>SUM($Q$7:$Q$10)</f>
        <v>7170.6611999999986</v>
      </c>
      <c r="R11" s="19">
        <f>SUM($R$7:$R$10)</f>
        <v>19988.565600000002</v>
      </c>
      <c r="S11" s="19">
        <f>SUM($S$7:$S$10)</f>
        <v>-25421.8302</v>
      </c>
      <c r="T11" s="19">
        <f>SUM($T$7:$T$10)</f>
        <v>-17908.894699999997</v>
      </c>
      <c r="U11" s="19">
        <f>SUM($U$7:$U$10)</f>
        <v>-19055.130100000002</v>
      </c>
      <c r="V11" s="19">
        <f>SUM($V$7:$V$10)</f>
        <v>-55747.7333</v>
      </c>
      <c r="W11" s="19">
        <f>SUM($W$7:$W$10)</f>
        <v>-67489.604300000006</v>
      </c>
      <c r="X11" s="19">
        <f>SUM($X$7:$X$10)</f>
        <v>-58088.496800000001</v>
      </c>
      <c r="Y11" s="19">
        <f>SUM($Y$7:$Y$10)</f>
        <v>-41683.152699999999</v>
      </c>
      <c r="Z11" s="20">
        <f>SUM($Z$7:$Z$10)</f>
        <v>-57766.666700000002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0</v>
      </c>
      <c r="H20" s="19">
        <f>SUM($H$16:$H$19)</f>
        <v>0</v>
      </c>
      <c r="I20" s="19">
        <f>SUM($I$16:$I$19)</f>
        <v>0</v>
      </c>
      <c r="J20" s="19">
        <f>SUM($J$16:$J$19)</f>
        <v>0</v>
      </c>
      <c r="K20" s="19">
        <f>SUM($K$16:$K$19)</f>
        <v>0</v>
      </c>
      <c r="L20" s="19">
        <f>SUM($L$16:$L$19)</f>
        <v>0</v>
      </c>
      <c r="M20" s="19">
        <f>SUM($M$16:$M$19)</f>
        <v>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178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179</v>
      </c>
      <c r="B23" s="19"/>
      <c r="C23" s="19">
        <f>#N/A</f>
        <v>0</v>
      </c>
      <c r="D23" s="19">
        <f>#N/A</f>
        <v>0</v>
      </c>
      <c r="E23" s="19">
        <f>IF((ABS($E$20)&gt;$E$22),((ABS($E$20)-$E$22)*(ABS($E$20)/$E$20)),0)</f>
        <v>0</v>
      </c>
      <c r="F23" s="19">
        <f>IF((ABS($F$20)&gt;$F$22),((ABS($F$20)-$F$22)*(ABS($F$20)/$F$20)),0)</f>
        <v>0</v>
      </c>
      <c r="G23" s="19">
        <f>IF((ABS($G$20)&gt;$G$22),((ABS($G$20)-$G$22)*(ABS($G$20)/$G$20)),0)</f>
        <v>0</v>
      </c>
      <c r="H23" s="19">
        <f>IF((ABS($H$20)&gt;$H$22),((ABS($H$20)-$H$22)*(ABS($H$20)/$H$20)),0)</f>
        <v>0</v>
      </c>
      <c r="I23" s="19">
        <f>IF((ABS($I$20)&gt;$I$22),((ABS($I$20)-$I$22)*(ABS($I$20)/$I$20)),0)</f>
        <v>0</v>
      </c>
      <c r="J23" s="19">
        <f>IF((ABS($J$20)&gt;$J$22),((ABS($J$20)-$J$22)*(ABS($J$20)/$J$20)),0)</f>
        <v>0</v>
      </c>
      <c r="K23" s="19">
        <f>IF((ABS($K$20)&gt;$K$22),((ABS($K$20)-$K$22)*(ABS($K$20)/$K$20)),0)</f>
        <v>0</v>
      </c>
      <c r="L23" s="19">
        <f>IF((ABS($L$20)&gt;$L$22),((ABS($L$20)-$L$22)*(ABS($L$20)/$L$20)),0)</f>
        <v>0</v>
      </c>
      <c r="M23" s="19">
        <f>IF((ABS($M$20)&gt;$M$22),((ABS($M$20)-$M$22)*(ABS($M$20)/$M$20)),0)</f>
        <v>0</v>
      </c>
      <c r="N23" s="19">
        <f>IF((ABS($N$20)&gt;$N$22),((ABS($N$20)-$N$22)*(ABS($N$20)/$N$20)),0)</f>
        <v>0</v>
      </c>
      <c r="O23" s="19">
        <f>IF((ABS($O$20)&gt;$O$22),((ABS($O$20)-$O$22)*(ABS($O$20)/$O$20)),0)</f>
        <v>0</v>
      </c>
      <c r="P23" s="19">
        <f>IF((ABS($P$20)&gt;$P$22),((ABS($P$20)-$P$22)*(ABS($P$20)/$P$20)),0)</f>
        <v>0</v>
      </c>
      <c r="Q23" s="19">
        <f>IF((ABS($Q$20)&gt;$Q$22),((ABS($Q$20)-$Q$22)*(ABS($Q$20)/$Q$20)),0)</f>
        <v>0</v>
      </c>
      <c r="R23" s="19">
        <f>IF((ABS($R$20)&gt;$R$22),((ABS($R$20)-$R$22)*(ABS($R$20)/$R$20)),0)</f>
        <v>0</v>
      </c>
      <c r="S23" s="19">
        <f>IF((ABS($S$20)&gt;$S$22),((ABS($S$20)-$S$22)*(ABS($S$20)/$S$20)),0)</f>
        <v>0</v>
      </c>
      <c r="T23" s="19">
        <f>IF((ABS($T$20)&gt;$T$22),((ABS($T$20)-$T$22)*(ABS($T$20)/$T$20)),0)</f>
        <v>0</v>
      </c>
      <c r="U23" s="19">
        <f>IF((ABS($U$20)&gt;$U$22),((ABS($U$20)-$U$22)*(ABS($U$20)/$U$20)),0)</f>
        <v>0</v>
      </c>
      <c r="V23" s="19">
        <f>IF((ABS($V$20)&gt;$V$22),((ABS($V$20)-$V$22)*(ABS($V$20)/$V$20)),0)</f>
        <v>0</v>
      </c>
      <c r="W23" s="19">
        <f>IF((ABS($W$20)&gt;$W$22),((ABS($W$20)-$W$22)*(ABS($W$20)/$W$20)),0)</f>
        <v>0</v>
      </c>
      <c r="X23" s="19">
        <f>IF((ABS($X$20)&gt;$X$22),((ABS($X$20)-$X$22)*(ABS($X$20)/$X$20)),0)</f>
        <v>0</v>
      </c>
      <c r="Y23" s="19">
        <f>IF((ABS($Y$20)&gt;$Y$22),((ABS($Y$20)-$Y$22)*(ABS($Y$20)/$Y$20)),0)</f>
        <v>0</v>
      </c>
      <c r="Z23" s="19">
        <f>IF((ABS($Z$20)&gt;$Z$22),((ABS($Z$20)-$Z$22)*(ABS($Z$20)/$Z$20)),0)</f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180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-1181.2440999999999</v>
      </c>
      <c r="D28" s="17">
        <v>-7275.1678000000002</v>
      </c>
      <c r="E28" s="17">
        <v>-2565.4546</v>
      </c>
      <c r="F28" s="17">
        <v>692.60640000000001</v>
      </c>
      <c r="G28" s="17">
        <v>-10788.496800000001</v>
      </c>
      <c r="H28" s="17">
        <v>7381.3957</v>
      </c>
      <c r="I28" s="17">
        <v>-1716.0785000000001</v>
      </c>
      <c r="J28" s="17">
        <v>-15653.680700000001</v>
      </c>
      <c r="K28" s="17">
        <v>-18105.293600000001</v>
      </c>
      <c r="L28" s="17">
        <v>-13682.745199999999</v>
      </c>
      <c r="M28" s="17">
        <v>-10137.5839</v>
      </c>
      <c r="N28" s="17">
        <v>-6143.6269000000002</v>
      </c>
      <c r="O28" s="17">
        <v>-6172.6925000000001</v>
      </c>
      <c r="P28" s="17">
        <v>-8334.0151000000005</v>
      </c>
      <c r="Q28" s="17">
        <v>-5365.0888000000004</v>
      </c>
      <c r="R28" s="17">
        <v>-2237.2085999999999</v>
      </c>
      <c r="S28" s="17">
        <v>-4055.1635000000001</v>
      </c>
      <c r="T28" s="17">
        <v>-6296.0236999999997</v>
      </c>
      <c r="U28" s="17">
        <v>-6455.1301000000003</v>
      </c>
      <c r="V28" s="17">
        <v>-15715.442999999999</v>
      </c>
      <c r="W28" s="17">
        <v>-19457.3462</v>
      </c>
      <c r="X28" s="17">
        <v>-17188.496800000001</v>
      </c>
      <c r="Y28" s="17">
        <v>-12973.4753</v>
      </c>
      <c r="Z28" s="17">
        <v>-23700</v>
      </c>
      <c r="AA28" s="14"/>
    </row>
    <row r="29" spans="1:27" customFormat="1" ht="11.25" customHeight="1" x14ac:dyDescent="0.2">
      <c r="A29" s="17" t="s">
        <v>111</v>
      </c>
      <c r="B29" s="14"/>
      <c r="C29" s="17">
        <f>14806.4516-25000</f>
        <v>-10193.5484</v>
      </c>
      <c r="D29" s="17">
        <f>18935.5161-25000</f>
        <v>-6064.4838999999993</v>
      </c>
      <c r="E29" s="17">
        <f>19250-25000</f>
        <v>-5750</v>
      </c>
      <c r="F29" s="17">
        <f>11129.0323-25000</f>
        <v>-13870.967699999999</v>
      </c>
      <c r="G29" s="17">
        <v>-12500</v>
      </c>
      <c r="H29" s="17">
        <v>-26645.1613</v>
      </c>
      <c r="I29" s="17">
        <v>-11633.3</v>
      </c>
      <c r="J29" s="17">
        <v>-41193.5484</v>
      </c>
      <c r="K29" s="17">
        <v>-41741.9355</v>
      </c>
      <c r="L29" s="17">
        <v>-29033.333299999998</v>
      </c>
      <c r="M29" s="17">
        <v>-19161.290300000001</v>
      </c>
      <c r="N29" s="17">
        <v>-8433.2999999999993</v>
      </c>
      <c r="O29" s="17">
        <v>-14225.7742</v>
      </c>
      <c r="P29" s="17">
        <v>-12741.9355</v>
      </c>
      <c r="Q29" s="17">
        <v>-12464.25</v>
      </c>
      <c r="R29" s="17">
        <v>-2774.2258000000002</v>
      </c>
      <c r="S29" s="17">
        <v>-26366.666700000002</v>
      </c>
      <c r="T29" s="17">
        <v>-16612.870999999999</v>
      </c>
      <c r="U29" s="17">
        <v>-17600</v>
      </c>
      <c r="V29" s="17">
        <v>-45032.290300000001</v>
      </c>
      <c r="W29" s="17">
        <v>-53032.258099999999</v>
      </c>
      <c r="X29" s="17">
        <v>-45900</v>
      </c>
      <c r="Y29" s="17">
        <v>-33709.6774</v>
      </c>
      <c r="Z29" s="17">
        <v>-34066.666700000002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15000</v>
      </c>
      <c r="H30" s="17">
        <v>30000</v>
      </c>
      <c r="I30" s="17">
        <v>30000</v>
      </c>
      <c r="J30" s="17">
        <v>50000</v>
      </c>
      <c r="K30" s="17">
        <v>50000</v>
      </c>
      <c r="L30" s="17">
        <v>50000</v>
      </c>
      <c r="M30" s="17">
        <v>50000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18625.2075</v>
      </c>
      <c r="D32" s="19">
        <f>SUM($D$28:$D$31)</f>
        <v>16660.348300000001</v>
      </c>
      <c r="E32" s="19">
        <f>SUM($E$28:$E$31)</f>
        <v>11684.545399999999</v>
      </c>
      <c r="F32" s="19">
        <f>SUM($F$28:$F$31)</f>
        <v>-3178.3612999999987</v>
      </c>
      <c r="G32" s="19">
        <f>SUM($G$28:$G$31)</f>
        <v>-8288.4968000000008</v>
      </c>
      <c r="H32" s="19">
        <f>SUM($H$28:$H$31)</f>
        <v>10736.234400000001</v>
      </c>
      <c r="I32" s="19">
        <f>SUM($I$28:$I$31)</f>
        <v>16650.621500000001</v>
      </c>
      <c r="J32" s="19">
        <f>SUM($J$28:$J$31)</f>
        <v>-6847.2290999999968</v>
      </c>
      <c r="K32" s="19">
        <f>SUM($K$28:$K$31)</f>
        <v>-9847.2290999999968</v>
      </c>
      <c r="L32" s="19">
        <f>SUM($L$28:$L$31)</f>
        <v>7283.921500000004</v>
      </c>
      <c r="M32" s="19">
        <f>SUM($M$28:$M$31)</f>
        <v>20701.125800000002</v>
      </c>
      <c r="N32" s="19">
        <f>SUM($N$28:$N$31)</f>
        <v>10423.073100000001</v>
      </c>
      <c r="O32" s="19">
        <f>SUM($O$28:$O$31)</f>
        <v>4601.5332999999991</v>
      </c>
      <c r="P32" s="19">
        <f>SUM($P$28:$P$31)</f>
        <v>3924.0493999999999</v>
      </c>
      <c r="Q32" s="19">
        <f>SUM($Q$28:$Q$31)</f>
        <v>7170.6611999999986</v>
      </c>
      <c r="R32" s="19">
        <f>SUM($R$28:$R$31)</f>
        <v>19988.565600000002</v>
      </c>
      <c r="S32" s="19">
        <f>SUM($S$28:$S$31)</f>
        <v>-25421.8302</v>
      </c>
      <c r="T32" s="19">
        <f>SUM($T$28:$T$31)</f>
        <v>-17908.894699999997</v>
      </c>
      <c r="U32" s="19">
        <f>SUM($U$28:$U$31)</f>
        <v>-19055.130100000002</v>
      </c>
      <c r="V32" s="19">
        <f>SUM($V$28:$V$31)</f>
        <v>-55747.7333</v>
      </c>
      <c r="W32" s="19">
        <f>SUM($W$28:$W$31)</f>
        <v>-67489.604300000006</v>
      </c>
      <c r="X32" s="19">
        <f>SUM($X$28:$X$31)</f>
        <v>-58088.496800000001</v>
      </c>
      <c r="Y32" s="19">
        <f>SUM($Y$28:$Y$31)</f>
        <v>-41683.152699999999</v>
      </c>
      <c r="Z32" s="20">
        <f>SUM($Z$28:$Z$31)</f>
        <v>-57766.666700000002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181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179</v>
      </c>
      <c r="B35" s="19"/>
      <c r="C35" s="19">
        <f>IF((ABS($C$32)&gt;$C$34),((ABS($C$32)-$C$34)*(ABS($C$32)/$C$32)),0)</f>
        <v>0</v>
      </c>
      <c r="D35" s="19">
        <f>IF((ABS($D$32)&gt;$D$34),((ABS($D$32)-$D$34)*(ABS($D$32)/$D$32)),0)</f>
        <v>0</v>
      </c>
      <c r="E35" s="19">
        <f>IF((ABS($E$32)&gt;$E$34),((ABS($E$32)-$E$34)*(ABS($E$32)/$E$32)),0)</f>
        <v>0</v>
      </c>
      <c r="F35" s="19">
        <f>IF((ABS($F$32)&gt;$F$34),((ABS($F$32)-$F$34)*(ABS($F$32)/$F$32)),0)</f>
        <v>0</v>
      </c>
      <c r="G35" s="19">
        <f>IF((ABS($G$32)&gt;$G$34),((ABS($G$32)-$G$34)*(ABS($G$32)/$G$32)),0)</f>
        <v>0</v>
      </c>
      <c r="H35" s="19">
        <f>IF((ABS($H$32)&gt;$H$34),((ABS($H$32)-$H$34)*(ABS($H$32)/$H$32)),0)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701.12580000000162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-15747.7333</v>
      </c>
      <c r="W35" s="19">
        <f>IF((ABS($W$32)&gt;$W$34),((ABS($W$32)-$W$34)*(ABS($W$32)/$W$32)),0)</f>
        <v>-27489.604300000006</v>
      </c>
      <c r="X35" s="19">
        <f>IF((ABS($X$32)&gt;$X$34),((ABS($X$32)-$X$34)*(ABS($X$32)/$X$32)),0)</f>
        <v>-18088.496800000001</v>
      </c>
      <c r="Y35" s="19">
        <f>IF((ABS($Y$32)&gt;$Y$34),((ABS($Y$32)-$Y$34)*(ABS($Y$32)/$Y$32)),0)</f>
        <v>-1683.1526999999987</v>
      </c>
      <c r="Z35" s="20">
        <f>IF((ABS($Z$32)&gt;$Z$34),((ABS($Z$32)-$Z$34)*(ABS($Z$32)/$Z$32)),0)</f>
        <v>-17766.666700000002</v>
      </c>
      <c r="AA35" s="14"/>
    </row>
    <row r="36" spans="1:27" ht="13.5" customHeight="1" thickBot="1" x14ac:dyDescent="0.2">
      <c r="U36" s="27" t="s">
        <v>115</v>
      </c>
    </row>
    <row r="37" spans="1:27" ht="13.5" hidden="1" customHeight="1" x14ac:dyDescent="0.15"/>
    <row r="38" spans="1:27" ht="13.5" hidden="1" customHeight="1" thickBot="1" x14ac:dyDescent="0.2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15">
      <c r="A40" s="31" t="s">
        <v>110</v>
      </c>
      <c r="B40" s="29"/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0</v>
      </c>
      <c r="I40" s="201">
        <v>0</v>
      </c>
      <c r="J40" s="201">
        <v>0</v>
      </c>
      <c r="K40" s="201">
        <v>0</v>
      </c>
      <c r="L40" s="201">
        <v>0</v>
      </c>
      <c r="M40" s="201">
        <v>0</v>
      </c>
      <c r="N40" s="201">
        <v>0</v>
      </c>
      <c r="O40" s="201">
        <v>0</v>
      </c>
      <c r="P40" s="201">
        <v>0</v>
      </c>
      <c r="Q40" s="201">
        <v>0</v>
      </c>
      <c r="R40" s="201">
        <v>0</v>
      </c>
      <c r="S40" s="201">
        <v>0</v>
      </c>
      <c r="T40" s="201">
        <v>0</v>
      </c>
      <c r="U40" s="201">
        <v>0</v>
      </c>
      <c r="V40" s="201">
        <v>0</v>
      </c>
      <c r="W40" s="201">
        <v>0</v>
      </c>
      <c r="X40" s="201">
        <v>0</v>
      </c>
      <c r="Y40" s="201">
        <v>0</v>
      </c>
      <c r="Z40" s="201">
        <v>0</v>
      </c>
      <c r="AA40" s="29"/>
    </row>
    <row r="41" spans="1:27" s="30" customFormat="1" ht="11.25" customHeight="1" x14ac:dyDescent="0.15">
      <c r="A41" s="31" t="s">
        <v>111</v>
      </c>
      <c r="B41" s="29"/>
      <c r="C41" s="201">
        <v>25000</v>
      </c>
      <c r="D41" s="201">
        <v>25000</v>
      </c>
      <c r="E41" s="201">
        <v>25000</v>
      </c>
      <c r="F41" s="201">
        <v>25000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9"/>
    </row>
    <row r="42" spans="1:27" s="30" customFormat="1" ht="11.25" customHeight="1" x14ac:dyDescent="0.15">
      <c r="A42" s="31" t="s">
        <v>112</v>
      </c>
      <c r="B42" s="29"/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201">
        <v>0</v>
      </c>
      <c r="L42" s="201">
        <v>0</v>
      </c>
      <c r="M42" s="201">
        <v>0</v>
      </c>
      <c r="N42" s="201">
        <v>0</v>
      </c>
      <c r="O42" s="201">
        <v>0</v>
      </c>
      <c r="P42" s="201">
        <v>0</v>
      </c>
      <c r="Q42" s="201">
        <v>0</v>
      </c>
      <c r="R42" s="201">
        <v>0</v>
      </c>
      <c r="S42" s="201">
        <v>0</v>
      </c>
      <c r="T42" s="201">
        <v>0</v>
      </c>
      <c r="U42" s="201">
        <v>0</v>
      </c>
      <c r="V42" s="201">
        <v>0</v>
      </c>
      <c r="W42" s="201">
        <v>0</v>
      </c>
      <c r="X42" s="201">
        <v>0</v>
      </c>
      <c r="Y42" s="201">
        <v>0</v>
      </c>
      <c r="Z42" s="201">
        <v>0</v>
      </c>
      <c r="AA42" s="29"/>
    </row>
    <row r="43" spans="1:27" s="30" customFormat="1" ht="11.25" customHeight="1" thickBot="1" x14ac:dyDescent="0.2">
      <c r="A43" s="31" t="s">
        <v>113</v>
      </c>
      <c r="B43" s="29"/>
      <c r="C43" s="201">
        <v>0</v>
      </c>
      <c r="D43" s="201">
        <v>0</v>
      </c>
      <c r="E43" s="201">
        <v>0</v>
      </c>
      <c r="F43" s="201">
        <v>0</v>
      </c>
      <c r="G43" s="201">
        <v>0</v>
      </c>
      <c r="H43" s="201">
        <v>0</v>
      </c>
      <c r="I43" s="201">
        <v>0</v>
      </c>
      <c r="J43" s="201">
        <v>0</v>
      </c>
      <c r="K43" s="201">
        <v>0</v>
      </c>
      <c r="L43" s="201">
        <v>0</v>
      </c>
      <c r="M43" s="201">
        <v>0</v>
      </c>
      <c r="N43" s="201">
        <v>0</v>
      </c>
      <c r="O43" s="201">
        <v>0</v>
      </c>
      <c r="P43" s="201">
        <v>0</v>
      </c>
      <c r="Q43" s="201">
        <v>0</v>
      </c>
      <c r="R43" s="201">
        <v>0</v>
      </c>
      <c r="S43" s="201">
        <v>0</v>
      </c>
      <c r="T43" s="201">
        <v>0</v>
      </c>
      <c r="U43" s="201">
        <v>0</v>
      </c>
      <c r="V43" s="201">
        <v>0</v>
      </c>
      <c r="W43" s="201">
        <v>0</v>
      </c>
      <c r="X43" s="201">
        <v>0</v>
      </c>
      <c r="Y43" s="201">
        <v>0</v>
      </c>
      <c r="Z43" s="201">
        <v>0</v>
      </c>
      <c r="AA43" s="29"/>
    </row>
    <row r="44" spans="1:27" ht="11.25" customHeight="1" thickBot="1" x14ac:dyDescent="0.2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1"/>
    </row>
    <row r="45" spans="1:27" ht="13.5" customHeight="1" thickBot="1" x14ac:dyDescent="0.2"/>
    <row r="46" spans="1:27" ht="13.5" customHeight="1" thickBot="1" x14ac:dyDescent="0.2">
      <c r="A46" s="34" t="s">
        <v>103</v>
      </c>
    </row>
    <row r="47" spans="1:27" s="23" customFormat="1" ht="13.5" customHeight="1" x14ac:dyDescent="0.15">
      <c r="A47" s="9" t="s">
        <v>104</v>
      </c>
    </row>
    <row r="48" spans="1:27" s="23" customFormat="1" ht="13.5" customHeight="1" x14ac:dyDescent="0.15">
      <c r="A48" s="9" t="s">
        <v>105</v>
      </c>
      <c r="C48" s="23">
        <f>[1]Summary!E59</f>
        <v>0.8327486419906166</v>
      </c>
      <c r="D48" s="23">
        <f>[1]Summary!F59</f>
        <v>0.69569674775381496</v>
      </c>
      <c r="E48" s="23">
        <f>[1]Summary!G59</f>
        <v>0.69569337432076417</v>
      </c>
      <c r="F48" s="23">
        <f>[1]Summary!H59</f>
        <v>0.24805125430127761</v>
      </c>
      <c r="G48" s="23">
        <f>[1]Summary!I59</f>
        <v>0.20844117807887416</v>
      </c>
      <c r="H48" s="23">
        <f>[1]Summary!J59</f>
        <v>0.46187289113608965</v>
      </c>
      <c r="I48" s="23">
        <f>[1]Summary!K59</f>
        <v>0.60419430734146251</v>
      </c>
      <c r="J48" s="23">
        <f>[1]Summary!L59</f>
        <v>0.93435281670609815</v>
      </c>
      <c r="K48" s="23">
        <f>[1]Summary!M59</f>
        <v>0.97476843408532809</v>
      </c>
      <c r="L48" s="23">
        <f>[1]Summary!N59</f>
        <v>0.88742679688544024</v>
      </c>
      <c r="M48" s="23">
        <f>[1]Summary!O59</f>
        <v>0.75790525561868927</v>
      </c>
      <c r="N48" s="23">
        <f>[1]Summary!P59</f>
        <v>0.66756381340029303</v>
      </c>
      <c r="O48" s="23">
        <f>[1]Summary!Q59</f>
        <v>0.68319136748827314</v>
      </c>
      <c r="P48" s="23">
        <f>[1]Summary!R59</f>
        <v>0.70002808918838577</v>
      </c>
      <c r="Q48" s="23">
        <f>[1]Summary!S59</f>
        <v>0.64567209520058688</v>
      </c>
      <c r="R48" s="23">
        <f>[1]Summary!T59</f>
        <v>0.56308506756102528</v>
      </c>
      <c r="S48" s="23">
        <f>[1]Summary!U59</f>
        <v>0.61934345141941838</v>
      </c>
      <c r="T48" s="23">
        <f>[1]Summary!V59</f>
        <v>0.53618135739625927</v>
      </c>
      <c r="U48" s="23">
        <f>[1]Summary!W59</f>
        <v>0.58626703550474457</v>
      </c>
      <c r="V48" s="23">
        <f>[1]Summary!X59</f>
        <v>0.84231495652433752</v>
      </c>
      <c r="W48" s="23">
        <f>[1]Summary!Y59</f>
        <v>0.88428024281744111</v>
      </c>
      <c r="X48" s="23">
        <f>[1]Summary!Z59</f>
        <v>0.8256069100485609</v>
      </c>
      <c r="Y48" s="23">
        <f>[1]Summary!AA59</f>
        <v>0.71053749562336754</v>
      </c>
      <c r="Z48" s="23">
        <f>[1]Summary!AB59</f>
        <v>0.66317975905855608</v>
      </c>
    </row>
    <row r="49" spans="1:26" s="23" customFormat="1" ht="13.5" customHeight="1" x14ac:dyDescent="0.15">
      <c r="A49" s="9" t="s">
        <v>106</v>
      </c>
      <c r="C49" s="23">
        <f>[1]Summary!E60</f>
        <v>2.7069742237641581E-2</v>
      </c>
      <c r="D49" s="23">
        <f>[1]Summary!F60</f>
        <v>0.17257852680825481</v>
      </c>
      <c r="E49" s="23">
        <f>[1]Summary!G60</f>
        <v>0.26947143638312598</v>
      </c>
      <c r="F49" s="23">
        <f>[1]Summary!H60</f>
        <v>4.2915007099668334E-2</v>
      </c>
      <c r="G49" s="23">
        <f>[1]Summary!I60</f>
        <v>2.6453160826676699E-2</v>
      </c>
      <c r="H49" s="23">
        <f>[1]Summary!J60</f>
        <v>0.14104096807839261</v>
      </c>
      <c r="I49" s="23">
        <f>[1]Summary!K60</f>
        <v>0.26511780011117225</v>
      </c>
      <c r="J49" s="23">
        <f>[1]Summary!L60</f>
        <v>0.43155557305872899</v>
      </c>
      <c r="K49" s="23">
        <f>[1]Summary!M60</f>
        <v>0.57734532706541031</v>
      </c>
      <c r="L49" s="23">
        <f>[1]Summary!N60</f>
        <v>0.46075602577903202</v>
      </c>
      <c r="M49" s="23">
        <f>[1]Summary!O60</f>
        <v>0.3058406271726804</v>
      </c>
      <c r="N49" s="23">
        <f>[1]Summary!P60</f>
        <v>0.17401175074285447</v>
      </c>
      <c r="O49" s="23">
        <f>[1]Summary!Q60</f>
        <v>0.49836533666184019</v>
      </c>
      <c r="P49" s="23">
        <f>[1]Summary!R60</f>
        <v>0.25317173666685411</v>
      </c>
      <c r="Q49" s="23">
        <f>[1]Summary!S60</f>
        <v>0.17352315499884485</v>
      </c>
      <c r="R49" s="23">
        <f>[1]Summary!T60</f>
        <v>0.41917996327362844</v>
      </c>
      <c r="S49" s="23">
        <f>[1]Summary!U60</f>
        <v>0.31272140566878925</v>
      </c>
      <c r="T49" s="23">
        <f>[1]Summary!V60</f>
        <v>0.2993008206187745</v>
      </c>
      <c r="U49" s="23">
        <f>[1]Summary!W60</f>
        <v>0.20625515153471968</v>
      </c>
      <c r="V49" s="23">
        <f>[1]Summary!X60</f>
        <v>0.53963872107411315</v>
      </c>
      <c r="W49" s="23">
        <f>[1]Summary!Y60</f>
        <v>0.57973075808478347</v>
      </c>
      <c r="X49" s="23">
        <f>[1]Summary!Z60</f>
        <v>0.55147588045624629</v>
      </c>
      <c r="Y49" s="23">
        <f>[1]Summary!AA60</f>
        <v>0.43312415029419182</v>
      </c>
      <c r="Z49" s="23">
        <f>[1]Summary!AB60</f>
        <v>0.25339950972991637</v>
      </c>
    </row>
    <row r="50" spans="1:26" s="23" customFormat="1" ht="13.5" customHeight="1" x14ac:dyDescent="0.15">
      <c r="A50" s="9" t="s">
        <v>107</v>
      </c>
    </row>
    <row r="51" spans="1:26" s="23" customFormat="1" ht="13.5" customHeight="1" x14ac:dyDescent="0.15">
      <c r="A51" s="9" t="s">
        <v>105</v>
      </c>
      <c r="C51" s="23">
        <f>[1]Summary!E62</f>
        <v>0.99890094224517934</v>
      </c>
      <c r="D51" s="23">
        <f>[1]Summary!F62</f>
        <v>0.98248166708112139</v>
      </c>
      <c r="E51" s="23">
        <f>[1]Summary!G62</f>
        <v>0.93176468602731832</v>
      </c>
      <c r="F51" s="23">
        <f>[1]Summary!H62</f>
        <v>0.91380450107721478</v>
      </c>
      <c r="G51" s="23">
        <f>[1]Summary!I62</f>
        <v>0.79229843311799808</v>
      </c>
      <c r="H51" s="23">
        <f>[1]Summary!J62</f>
        <v>0.79333964560942694</v>
      </c>
      <c r="I51" s="23">
        <f>[1]Summary!K62</f>
        <v>0.75180668477707335</v>
      </c>
      <c r="J51" s="23">
        <f>[1]Summary!L62</f>
        <v>0.98378977107984966</v>
      </c>
      <c r="K51" s="23">
        <f>[1]Summary!M62</f>
        <v>0.99485241802065416</v>
      </c>
      <c r="L51" s="23">
        <f>[1]Summary!N62</f>
        <v>0.96028423125543072</v>
      </c>
      <c r="M51" s="23">
        <f>[1]Summary!O62</f>
        <v>0.87977052519289511</v>
      </c>
      <c r="N51" s="23">
        <f>[1]Summary!P62</f>
        <v>0.88791182546343217</v>
      </c>
      <c r="O51" s="23">
        <f>[1]Summary!Q62</f>
        <v>0.90304656852762044</v>
      </c>
      <c r="P51" s="23">
        <f>[1]Summary!R62</f>
        <v>0.91724304890036346</v>
      </c>
      <c r="Q51" s="23">
        <f>[1]Summary!S62</f>
        <v>0.88540492016688932</v>
      </c>
      <c r="R51" s="23">
        <f>[1]Summary!T62</f>
        <v>0.83338651365923522</v>
      </c>
      <c r="S51" s="23">
        <f>[1]Summary!U62</f>
        <v>0.80348983025054155</v>
      </c>
      <c r="T51" s="23">
        <f>[1]Summary!V62</f>
        <v>0.72837618970568219</v>
      </c>
      <c r="U51" s="23">
        <f>[1]Summary!W62</f>
        <v>0.76689376231247064</v>
      </c>
      <c r="V51" s="23">
        <f>[1]Summary!X62</f>
        <v>0.91579833959259427</v>
      </c>
      <c r="W51" s="23">
        <f>[1]Summary!Y62</f>
        <v>0.95065368430615327</v>
      </c>
      <c r="X51" s="23">
        <f>[1]Summary!Z62</f>
        <v>0.91366859568133751</v>
      </c>
      <c r="Y51" s="23">
        <f>[1]Summary!AA62</f>
        <v>0.85243335729583591</v>
      </c>
      <c r="Z51" s="23">
        <f>[1]Summary!AB62</f>
        <v>0.86770611875998049</v>
      </c>
    </row>
    <row r="52" spans="1:26" s="23" customFormat="1" ht="13.5" customHeight="1" x14ac:dyDescent="0.15">
      <c r="A52" s="9" t="s">
        <v>106</v>
      </c>
      <c r="C52" s="23">
        <f>[1]Summary!E63</f>
        <v>0.66789250900715924</v>
      </c>
      <c r="D52" s="23">
        <f>[1]Summary!F63</f>
        <v>0.74226260087456586</v>
      </c>
      <c r="E52" s="23">
        <f>[1]Summary!G63</f>
        <v>0.65931350964212199</v>
      </c>
      <c r="F52" s="23">
        <f>[1]Summary!H63</f>
        <v>0.5465773180909278</v>
      </c>
      <c r="G52" s="23">
        <f>[1]Summary!I63</f>
        <v>0.3479664162012468</v>
      </c>
      <c r="H52" s="23">
        <f>[1]Summary!J63</f>
        <v>0.32445825875484069</v>
      </c>
      <c r="I52" s="23">
        <f>[1]Summary!K63</f>
        <v>0.41368159661532244</v>
      </c>
      <c r="J52" s="23">
        <f>[1]Summary!L63</f>
        <v>0.68788297643939822</v>
      </c>
      <c r="K52" s="23">
        <f>[1]Summary!M63</f>
        <v>0.80076773827199299</v>
      </c>
      <c r="L52" s="23">
        <f>[1]Summary!N63</f>
        <v>0.67099171658555723</v>
      </c>
      <c r="M52" s="23">
        <f>[1]Summary!O63</f>
        <v>0.52804964632846918</v>
      </c>
      <c r="N52" s="23">
        <f>[1]Summary!P63</f>
        <v>0.52495803719982193</v>
      </c>
      <c r="O52" s="23">
        <f>[1]Summary!Q63</f>
        <v>0.66102176786114086</v>
      </c>
      <c r="P52" s="23">
        <f>[1]Summary!R63</f>
        <v>0.57085774789683941</v>
      </c>
      <c r="Q52" s="23">
        <f>[1]Summary!S63</f>
        <v>0.48012928233859625</v>
      </c>
      <c r="R52" s="23">
        <f>[1]Summary!T63</f>
        <v>0.58950558008869225</v>
      </c>
      <c r="S52" s="23">
        <f>[1]Summary!U63</f>
        <v>0.48479691884792064</v>
      </c>
      <c r="T52" s="23">
        <f>[1]Summary!V63</f>
        <v>0.45838518164512715</v>
      </c>
      <c r="U52" s="23">
        <f>[1]Summary!W63</f>
        <v>0.36620175448542247</v>
      </c>
      <c r="V52" s="23">
        <f>[1]Summary!X63</f>
        <v>0.73311374620482161</v>
      </c>
      <c r="W52" s="23">
        <f>[1]Summary!Y63</f>
        <v>0.80439312551257747</v>
      </c>
      <c r="X52" s="23">
        <f>[1]Summary!Z63</f>
        <v>0.74806525349074227</v>
      </c>
      <c r="Y52" s="23">
        <f>[1]Summary!AA63</f>
        <v>0.60014371492602681</v>
      </c>
      <c r="Z52" s="23">
        <f>[1]Summary!AB63</f>
        <v>0.57503771123677483</v>
      </c>
    </row>
    <row r="53" spans="1:26" s="23" customFormat="1" ht="13.5" customHeight="1" x14ac:dyDescent="0.15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15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15">
      <c r="A2" s="183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15">
      <c r="A3" s="41" t="str">
        <f>Dth_Day!A3</f>
        <v>Valuation Date:  11/21/2001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15">
      <c r="A4" s="41" t="str">
        <f>Dth_Day!A4</f>
        <v>As of:                11/21/2001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15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15">
      <c r="A8" s="61" t="s">
        <v>110</v>
      </c>
      <c r="C8" s="42">
        <f>Dth_Day!C28</f>
        <v>-1181.2440999999999</v>
      </c>
      <c r="D8" s="42">
        <f>Dth_Day!D28</f>
        <v>-7275.1678000000002</v>
      </c>
      <c r="E8" s="42">
        <f>Dth_Day!E28</f>
        <v>-2565.4546</v>
      </c>
    </row>
    <row r="9" spans="1:27" ht="13.5" customHeight="1" x14ac:dyDescent="0.15">
      <c r="A9" s="61" t="s">
        <v>111</v>
      </c>
      <c r="C9" s="42">
        <f>Dth_Day!C29</f>
        <v>-10193.5484</v>
      </c>
      <c r="D9" s="42">
        <f>Dth_Day!D29</f>
        <v>-6064.4838999999993</v>
      </c>
      <c r="E9" s="42">
        <f>Dth_Day!E29</f>
        <v>-5750</v>
      </c>
    </row>
    <row r="10" spans="1:27" ht="13.5" customHeight="1" x14ac:dyDescent="0.15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">
      <c r="A12" s="43" t="s">
        <v>114</v>
      </c>
      <c r="B12" s="44"/>
      <c r="C12" s="44">
        <f>SUM(C8:C11)</f>
        <v>18625.2075</v>
      </c>
      <c r="D12" s="44">
        <f>SUM(D8:D11)</f>
        <v>16660.348300000001</v>
      </c>
      <c r="E12" s="44">
        <f>SUM(E8:E11)</f>
        <v>11684.545399999999</v>
      </c>
    </row>
    <row r="14" spans="1:27" ht="13.5" customHeight="1" x14ac:dyDescent="0.15">
      <c r="A14" s="47" t="s">
        <v>104</v>
      </c>
    </row>
    <row r="15" spans="1:27" ht="13.5" customHeight="1" x14ac:dyDescent="0.15">
      <c r="A15" s="47" t="s">
        <v>105</v>
      </c>
      <c r="C15" s="184">
        <f>Dth_Day!C48</f>
        <v>0.8327486419906166</v>
      </c>
      <c r="D15" s="184">
        <f>Dth_Day!D48</f>
        <v>0.69569674775381496</v>
      </c>
      <c r="E15" s="184">
        <f>Dth_Day!E48</f>
        <v>0.69569337432076417</v>
      </c>
    </row>
    <row r="16" spans="1:27" ht="13.5" customHeight="1" x14ac:dyDescent="0.15">
      <c r="A16" s="47" t="s">
        <v>106</v>
      </c>
      <c r="C16" s="184">
        <f>Dth_Day!C49</f>
        <v>2.7069742237641581E-2</v>
      </c>
      <c r="D16" s="184">
        <f>Dth_Day!D49</f>
        <v>0.17257852680825481</v>
      </c>
      <c r="E16" s="184">
        <f>Dth_Day!E49</f>
        <v>0.26947143638312598</v>
      </c>
    </row>
    <row r="17" spans="1:18" ht="13.5" customHeight="1" x14ac:dyDescent="0.15">
      <c r="A17" s="47" t="s">
        <v>107</v>
      </c>
      <c r="C17" s="184"/>
      <c r="D17" s="184"/>
      <c r="E17" s="184"/>
    </row>
    <row r="18" spans="1:18" ht="13.5" customHeight="1" x14ac:dyDescent="0.15">
      <c r="A18" s="47" t="s">
        <v>105</v>
      </c>
      <c r="C18" s="184">
        <f>Dth_Day!C51</f>
        <v>0.99890094224517934</v>
      </c>
      <c r="D18" s="184">
        <f>Dth_Day!D51</f>
        <v>0.98248166708112139</v>
      </c>
      <c r="E18" s="184">
        <f>Dth_Day!E51</f>
        <v>0.93176468602731832</v>
      </c>
    </row>
    <row r="19" spans="1:18" ht="13.5" customHeight="1" x14ac:dyDescent="0.15">
      <c r="A19" s="47" t="s">
        <v>106</v>
      </c>
      <c r="C19" s="184">
        <f>Dth_Day!C52</f>
        <v>0.66789250900715924</v>
      </c>
      <c r="D19" s="184">
        <f>Dth_Day!D52</f>
        <v>0.74226260087456586</v>
      </c>
      <c r="E19" s="184">
        <f>Dth_Day!E52</f>
        <v>0.65931350964212199</v>
      </c>
    </row>
    <row r="21" spans="1:18" ht="13.5" customHeight="1" thickBot="1" x14ac:dyDescent="0.2">
      <c r="G21" s="195"/>
    </row>
    <row r="22" spans="1:18" ht="13.5" customHeight="1" thickBot="1" x14ac:dyDescent="0.2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15">
      <c r="A23" s="61" t="s">
        <v>110</v>
      </c>
      <c r="C23" s="42">
        <f>C8+J42</f>
        <v>-7988.5177207231018</v>
      </c>
      <c r="D23" s="42">
        <f>D8+N42</f>
        <v>-13138.712774790833</v>
      </c>
      <c r="E23" s="42">
        <f>E8+R42</f>
        <v>-10721.921865684373</v>
      </c>
      <c r="H23" s="214" t="s">
        <v>133</v>
      </c>
      <c r="I23" s="214"/>
      <c r="J23" s="214"/>
      <c r="L23" s="214" t="s">
        <v>137</v>
      </c>
      <c r="M23" s="214"/>
      <c r="N23" s="214"/>
      <c r="P23" s="214" t="s">
        <v>141</v>
      </c>
      <c r="Q23" s="214"/>
      <c r="R23" s="214"/>
    </row>
    <row r="24" spans="1:18" ht="13.5" customHeight="1" x14ac:dyDescent="0.15">
      <c r="A24" s="61" t="s">
        <v>111</v>
      </c>
      <c r="C24" s="42">
        <f>C9+J32</f>
        <v>-57876.808520908089</v>
      </c>
      <c r="D24" s="42">
        <f>D9+N32</f>
        <v>-58838.191326686072</v>
      </c>
      <c r="E24" s="42">
        <f>E9+R32</f>
        <v>-49783.591864785536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15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5">
        <f>'[2]MWA Prompt'!H29</f>
        <v>401.69592716207802</v>
      </c>
      <c r="I25" s="185">
        <f>'[2]MWA Prompt'!I29</f>
        <v>456</v>
      </c>
      <c r="J25" s="185">
        <f>I25-H25</f>
        <v>54.304072837921979</v>
      </c>
      <c r="L25" s="185">
        <f>'[2]MWA Prompt'!L29</f>
        <v>315.70496643870331</v>
      </c>
      <c r="M25" s="185">
        <f>'[2]MWA Prompt'!M29</f>
        <v>446</v>
      </c>
      <c r="N25" s="185">
        <f>M25-L25</f>
        <v>130.29503356129669</v>
      </c>
      <c r="P25" s="185">
        <f>'[2]MWA Prompt'!$P$29</f>
        <v>290.47711280513124</v>
      </c>
      <c r="Q25" s="185">
        <f>'[2]MWA Prompt'!Q29</f>
        <v>410</v>
      </c>
      <c r="R25" s="185">
        <f>Q25-P25</f>
        <v>119.52288719486876</v>
      </c>
    </row>
    <row r="26" spans="1:18" ht="13.5" customHeight="1" thickBot="1" x14ac:dyDescent="0.2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5">
        <f>'[2]MWA Prompt'!H30</f>
        <v>19.012555244044723</v>
      </c>
      <c r="I26" s="185">
        <f>'[2]MWA Prompt'!I30</f>
        <v>456</v>
      </c>
      <c r="J26" s="185">
        <f>I26-H26</f>
        <v>436.98744475595527</v>
      </c>
      <c r="L26" s="185">
        <f>'[2]MWA Prompt'!L30</f>
        <v>72.550627046274457</v>
      </c>
      <c r="M26" s="185">
        <f>'[2]MWA Prompt'!M30</f>
        <v>446</v>
      </c>
      <c r="N26" s="185">
        <f>M26-L26</f>
        <v>373.44937295372551</v>
      </c>
      <c r="P26" s="185">
        <f>'[2]MWA Prompt'!$P$30</f>
        <v>111.90775670918006</v>
      </c>
      <c r="Q26" s="185">
        <f>'[2]MWA Prompt'!Q30</f>
        <v>410</v>
      </c>
      <c r="R26" s="185">
        <f>Q26-P26</f>
        <v>298.09224329081997</v>
      </c>
    </row>
    <row r="27" spans="1:18" ht="13.5" customHeight="1" thickBot="1" x14ac:dyDescent="0.2">
      <c r="A27" s="43" t="s">
        <v>114</v>
      </c>
      <c r="B27" s="44"/>
      <c r="C27" s="44">
        <f>SUM(C23:C26)</f>
        <v>-35865.326241631192</v>
      </c>
      <c r="D27" s="44">
        <f>SUM(D23:D26)</f>
        <v>-41976.904101476903</v>
      </c>
      <c r="E27" s="44">
        <f>SUM(E23:E26)</f>
        <v>-40505.513730469909</v>
      </c>
      <c r="G27" s="42" t="s">
        <v>126</v>
      </c>
      <c r="H27" s="185">
        <f>((H25*H46)+(H26*H47))/H48</f>
        <v>240.91754406094458</v>
      </c>
      <c r="I27" s="185">
        <f>((I25*I46)+(I26*I47))/I48</f>
        <v>456</v>
      </c>
      <c r="J27" s="185">
        <f>((J25*J46)+(J26*J47))/J48</f>
        <v>215.08245593905542</v>
      </c>
      <c r="L27" s="185">
        <f>((L25*L46)+(L26*L47))/L48</f>
        <v>207.6363711531794</v>
      </c>
      <c r="M27" s="185">
        <f>((M25*M46)+(M26*M47))/M48</f>
        <v>446</v>
      </c>
      <c r="N27" s="185">
        <f>((N25*N46)+(N26*N47))/N48</f>
        <v>238.3636288468206</v>
      </c>
      <c r="P27" s="185">
        <f>((P25*P46)+(P26*P47))/P48</f>
        <v>211.11295454026404</v>
      </c>
      <c r="Q27" s="185">
        <f>((Q25*Q46)+(Q26*Q47))/Q48</f>
        <v>410</v>
      </c>
      <c r="R27" s="185">
        <f>((R25*R46)+(R26*R47))/R48</f>
        <v>198.88704545973596</v>
      </c>
    </row>
    <row r="28" spans="1:18" ht="13.5" customHeight="1" x14ac:dyDescent="0.15">
      <c r="G28" s="42" t="s">
        <v>127</v>
      </c>
      <c r="H28" s="186"/>
      <c r="I28" s="186"/>
      <c r="J28" s="186">
        <v>9.2249999999999996</v>
      </c>
      <c r="K28" s="187"/>
      <c r="L28" s="186"/>
      <c r="M28" s="186"/>
      <c r="N28" s="186">
        <v>9.2249999999999996</v>
      </c>
      <c r="P28" s="186"/>
      <c r="Q28" s="186"/>
      <c r="R28" s="186">
        <v>9.2249999999999996</v>
      </c>
    </row>
    <row r="29" spans="1:18" ht="13.5" customHeight="1" x14ac:dyDescent="0.15">
      <c r="G29" s="42" t="s">
        <v>128</v>
      </c>
      <c r="H29" s="185"/>
      <c r="I29" s="185"/>
      <c r="J29" s="185">
        <f>J48</f>
        <v>745</v>
      </c>
      <c r="L29" s="185"/>
      <c r="M29" s="185"/>
      <c r="N29" s="185">
        <v>720</v>
      </c>
      <c r="P29" s="185"/>
      <c r="Q29" s="185"/>
      <c r="R29" s="185">
        <v>720</v>
      </c>
    </row>
    <row r="30" spans="1:18" ht="13.5" customHeight="1" x14ac:dyDescent="0.15">
      <c r="G30" s="42" t="s">
        <v>129</v>
      </c>
      <c r="H30" s="185"/>
      <c r="I30" s="185"/>
      <c r="J30" s="185">
        <f>J27*J28*J29</f>
        <v>1478181.0637481508</v>
      </c>
      <c r="L30" s="185"/>
      <c r="M30" s="185"/>
      <c r="N30" s="185">
        <f>N27*N28*N29</f>
        <v>1583211.2228005822</v>
      </c>
      <c r="P30" s="185"/>
      <c r="Q30" s="185"/>
      <c r="R30" s="185">
        <f>R27*R28*R29</f>
        <v>1321007.7559435661</v>
      </c>
    </row>
    <row r="31" spans="1:18" ht="13.5" customHeight="1" x14ac:dyDescent="0.15">
      <c r="G31" s="42" t="s">
        <v>49</v>
      </c>
      <c r="H31" s="185"/>
      <c r="I31" s="185"/>
      <c r="J31" s="185">
        <v>31</v>
      </c>
      <c r="L31" s="185"/>
      <c r="M31" s="185"/>
      <c r="N31" s="185">
        <v>30</v>
      </c>
      <c r="P31" s="185"/>
      <c r="Q31" s="185"/>
      <c r="R31" s="185">
        <v>30</v>
      </c>
    </row>
    <row r="32" spans="1:18" ht="13.5" customHeight="1" x14ac:dyDescent="0.15">
      <c r="G32" s="42" t="s">
        <v>130</v>
      </c>
      <c r="H32" s="185"/>
      <c r="I32" s="185"/>
      <c r="J32" s="185">
        <f>J30/-J31</f>
        <v>-47683.260120908089</v>
      </c>
      <c r="L32" s="185"/>
      <c r="M32" s="185"/>
      <c r="N32" s="185">
        <f>N30/-N31</f>
        <v>-52773.707426686073</v>
      </c>
      <c r="P32" s="185"/>
      <c r="Q32" s="185"/>
      <c r="R32" s="185">
        <f>R30/-R31</f>
        <v>-44033.591864785536</v>
      </c>
    </row>
    <row r="34" spans="7:18" ht="13.5" customHeight="1" x14ac:dyDescent="0.15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15">
      <c r="G35" s="42" t="s">
        <v>124</v>
      </c>
      <c r="H35" s="185">
        <f>'[2]MWA Prompt'!H33</f>
        <v>230.58609823017702</v>
      </c>
      <c r="I35" s="185">
        <f>'[2]MWA Prompt'!I33</f>
        <v>231</v>
      </c>
      <c r="J35" s="185">
        <f>I35-H35</f>
        <v>0.41390176982298499</v>
      </c>
      <c r="L35" s="185">
        <f>'[2]MWA Prompt'!L33</f>
        <v>228.05191448119345</v>
      </c>
      <c r="M35" s="185">
        <f>'[2]MWA Prompt'!M33</f>
        <v>233</v>
      </c>
      <c r="N35" s="185">
        <f>M35-L35</f>
        <v>4.9480855188065505</v>
      </c>
      <c r="P35" s="185">
        <f>'[2]MWA Prompt'!P33</f>
        <v>211.61530954369323</v>
      </c>
      <c r="Q35" s="185">
        <f>'[2]MWA Prompt'!Q33</f>
        <v>228</v>
      </c>
      <c r="R35" s="185">
        <f>Q35-P35</f>
        <v>16.384690456306771</v>
      </c>
    </row>
    <row r="36" spans="7:18" ht="13.5" customHeight="1" x14ac:dyDescent="0.15">
      <c r="G36" s="42" t="s">
        <v>125</v>
      </c>
      <c r="H36" s="185">
        <f>'[2]MWA Prompt'!H34</f>
        <v>139.08802391268708</v>
      </c>
      <c r="I36" s="185">
        <f>'[2]MWA Prompt'!I34</f>
        <v>231</v>
      </c>
      <c r="J36" s="185">
        <f>I36-H36</f>
        <v>91.911976087312922</v>
      </c>
      <c r="L36" s="185">
        <f>'[2]MWA Prompt'!L34</f>
        <v>163.77943592640386</v>
      </c>
      <c r="M36" s="185">
        <f>'[2]MWA Prompt'!M34</f>
        <v>233</v>
      </c>
      <c r="N36" s="185">
        <f>M36-L36</f>
        <v>69.220564073596137</v>
      </c>
      <c r="P36" s="185">
        <f>'[2]MWA Prompt'!P34</f>
        <v>143.58802271950418</v>
      </c>
      <c r="Q36" s="185">
        <f>'[2]MWA Prompt'!Q34</f>
        <v>228</v>
      </c>
      <c r="R36" s="185">
        <f>Q36-P36</f>
        <v>84.411977280495819</v>
      </c>
    </row>
    <row r="37" spans="7:18" ht="13.5" customHeight="1" x14ac:dyDescent="0.15">
      <c r="G37" s="42" t="s">
        <v>126</v>
      </c>
      <c r="H37" s="185">
        <f>((H35*H46)+(H36*H47))/H48</f>
        <v>192.14462539611748</v>
      </c>
      <c r="I37" s="185">
        <f>((I35*I46)+(I36*I47))/I48</f>
        <v>231</v>
      </c>
      <c r="J37" s="185">
        <f>((J35*J46)+(J36*J47))/J48</f>
        <v>38.855374603882517</v>
      </c>
      <c r="L37" s="185">
        <f>((L35*L46)+(L36*L47))/L48</f>
        <v>199.48636845684251</v>
      </c>
      <c r="M37" s="185">
        <f>((M35*M46)+(M36*M47))/M48</f>
        <v>233</v>
      </c>
      <c r="N37" s="185">
        <f>((N35*N46)+(N36*N47))/N48</f>
        <v>33.51363154315748</v>
      </c>
      <c r="P37" s="185">
        <f>((P35*P46)+(P36*P47))/P48</f>
        <v>181.38095984405365</v>
      </c>
      <c r="Q37" s="185">
        <f>((Q35*Q46)+(Q36*Q47))/Q48</f>
        <v>228</v>
      </c>
      <c r="R37" s="185">
        <f>((R35*R46)+(R36*R47))/R48</f>
        <v>46.619040155946351</v>
      </c>
    </row>
    <row r="38" spans="7:18" ht="13.5" customHeight="1" x14ac:dyDescent="0.15">
      <c r="G38" s="42" t="s">
        <v>127</v>
      </c>
      <c r="H38" s="185"/>
      <c r="I38" s="185"/>
      <c r="J38" s="186">
        <v>7.29</v>
      </c>
      <c r="L38" s="185"/>
      <c r="M38" s="185"/>
      <c r="N38" s="186">
        <v>7.29</v>
      </c>
      <c r="P38" s="185"/>
      <c r="Q38" s="185"/>
      <c r="R38" s="186">
        <v>7.29</v>
      </c>
    </row>
    <row r="39" spans="7:18" ht="13.5" customHeight="1" x14ac:dyDescent="0.15">
      <c r="G39" s="42" t="s">
        <v>128</v>
      </c>
      <c r="H39" s="185"/>
      <c r="I39" s="185"/>
      <c r="J39" s="185">
        <f>J48</f>
        <v>745</v>
      </c>
      <c r="L39" s="185"/>
      <c r="M39" s="185"/>
      <c r="N39" s="185">
        <f>N48</f>
        <v>720</v>
      </c>
      <c r="P39" s="185"/>
      <c r="Q39" s="185"/>
      <c r="R39" s="185">
        <f>R48</f>
        <v>720</v>
      </c>
    </row>
    <row r="40" spans="7:18" ht="13.5" customHeight="1" x14ac:dyDescent="0.15">
      <c r="G40" s="42" t="s">
        <v>129</v>
      </c>
      <c r="H40" s="185"/>
      <c r="I40" s="185"/>
      <c r="J40" s="185">
        <f>J37*J38*J39</f>
        <v>211025.48224241615</v>
      </c>
      <c r="L40" s="185"/>
      <c r="M40" s="185"/>
      <c r="N40" s="185">
        <f>N37*N38*N39</f>
        <v>175906.34924372498</v>
      </c>
      <c r="P40" s="185"/>
      <c r="Q40" s="185"/>
      <c r="R40" s="185">
        <f>R37*R38*R39</f>
        <v>244694.01797053122</v>
      </c>
    </row>
    <row r="41" spans="7:18" ht="13.5" customHeight="1" x14ac:dyDescent="0.15">
      <c r="G41" s="42" t="s">
        <v>49</v>
      </c>
      <c r="H41" s="185"/>
      <c r="I41" s="185"/>
      <c r="J41" s="185">
        <v>31</v>
      </c>
      <c r="L41" s="185"/>
      <c r="M41" s="185"/>
      <c r="N41" s="185">
        <v>30</v>
      </c>
      <c r="P41" s="185"/>
      <c r="Q41" s="185"/>
      <c r="R41" s="185">
        <v>30</v>
      </c>
    </row>
    <row r="42" spans="7:18" ht="13.5" customHeight="1" x14ac:dyDescent="0.15">
      <c r="G42" s="42" t="s">
        <v>131</v>
      </c>
      <c r="H42" s="185"/>
      <c r="I42" s="185"/>
      <c r="J42" s="185">
        <f>J40/-J41</f>
        <v>-6807.2736207231019</v>
      </c>
      <c r="L42" s="185"/>
      <c r="M42" s="185"/>
      <c r="N42" s="185">
        <f>N40/-N41</f>
        <v>-5863.5449747908324</v>
      </c>
      <c r="P42" s="185"/>
      <c r="Q42" s="185"/>
      <c r="R42" s="185">
        <f>R40/-R41</f>
        <v>-8156.4672656843741</v>
      </c>
    </row>
    <row r="43" spans="7:18" ht="13.5" customHeight="1" x14ac:dyDescent="0.15">
      <c r="H43" s="188"/>
      <c r="I43" s="188"/>
      <c r="J43" s="188"/>
      <c r="K43" s="188"/>
      <c r="L43" s="188"/>
      <c r="M43" s="188"/>
      <c r="N43" s="188"/>
      <c r="P43" s="188"/>
      <c r="Q43" s="188"/>
      <c r="R43" s="188"/>
    </row>
    <row r="44" spans="7:18" ht="13.5" customHeight="1" x14ac:dyDescent="0.15">
      <c r="J44" s="42">
        <f>J32+J42</f>
        <v>-54490.533741631189</v>
      </c>
      <c r="N44" s="42">
        <f>N32+N42</f>
        <v>-58637.252401476908</v>
      </c>
      <c r="R44" s="42">
        <f>R32+R42</f>
        <v>-52190.059130469912</v>
      </c>
    </row>
    <row r="46" spans="7:18" ht="13.5" customHeight="1" x14ac:dyDescent="0.15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15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15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3" customWidth="1"/>
    <col min="2" max="2" width="4" style="203" customWidth="1"/>
    <col min="3" max="26" width="13.33203125" style="203" customWidth="1"/>
    <col min="27" max="27" width="16" style="203" customWidth="1"/>
  </cols>
  <sheetData>
    <row r="1" spans="1:27" ht="12" customHeight="1" x14ac:dyDescent="0.2">
      <c r="A1" s="202" t="s">
        <v>182</v>
      </c>
    </row>
    <row r="2" spans="1:27" ht="12" customHeight="1" x14ac:dyDescent="0.2">
      <c r="A2" s="202" t="s">
        <v>151</v>
      </c>
    </row>
    <row r="3" spans="1:27" ht="12" customHeight="1" x14ac:dyDescent="0.2">
      <c r="A3" s="202" t="s">
        <v>183</v>
      </c>
    </row>
    <row r="4" spans="1:27" ht="12" customHeight="1" x14ac:dyDescent="0.2">
      <c r="A4" s="202" t="s">
        <v>184</v>
      </c>
    </row>
    <row r="6" spans="1:27" ht="12" customHeight="1" x14ac:dyDescent="0.2">
      <c r="A6" s="204" t="s">
        <v>185</v>
      </c>
      <c r="C6" s="12" t="s">
        <v>153</v>
      </c>
      <c r="D6" s="12" t="s">
        <v>154</v>
      </c>
      <c r="E6" s="12" t="s">
        <v>155</v>
      </c>
      <c r="F6" s="12" t="s">
        <v>156</v>
      </c>
      <c r="G6" s="12" t="s">
        <v>157</v>
      </c>
      <c r="H6" s="12" t="s">
        <v>158</v>
      </c>
      <c r="I6" s="12" t="s">
        <v>159</v>
      </c>
      <c r="J6" s="12" t="s">
        <v>160</v>
      </c>
      <c r="K6" s="12" t="s">
        <v>161</v>
      </c>
      <c r="L6" s="12" t="s">
        <v>162</v>
      </c>
      <c r="M6" s="12" t="s">
        <v>163</v>
      </c>
      <c r="N6" s="12" t="s">
        <v>164</v>
      </c>
      <c r="O6" s="12" t="s">
        <v>165</v>
      </c>
      <c r="P6" s="12" t="s">
        <v>166</v>
      </c>
      <c r="Q6" s="12" t="s">
        <v>167</v>
      </c>
      <c r="R6" s="12" t="s">
        <v>168</v>
      </c>
      <c r="S6" s="12" t="s">
        <v>169</v>
      </c>
      <c r="T6" s="12" t="s">
        <v>170</v>
      </c>
      <c r="U6" s="12" t="s">
        <v>171</v>
      </c>
      <c r="V6" s="12" t="s">
        <v>172</v>
      </c>
      <c r="W6" s="12" t="s">
        <v>173</v>
      </c>
      <c r="X6" s="12" t="s">
        <v>174</v>
      </c>
      <c r="Y6" s="12" t="s">
        <v>175</v>
      </c>
      <c r="Z6" s="12" t="s">
        <v>176</v>
      </c>
      <c r="AA6" s="12" t="s">
        <v>40</v>
      </c>
    </row>
    <row r="7" spans="1:27" ht="11.25" customHeight="1" x14ac:dyDescent="0.2">
      <c r="A7" s="205" t="s">
        <v>110</v>
      </c>
      <c r="C7" s="205">
        <v>33173.594599999997</v>
      </c>
      <c r="D7" s="205">
        <v>28434.509600000001</v>
      </c>
      <c r="E7" s="205">
        <v>28434.509600000001</v>
      </c>
      <c r="F7" s="205">
        <v>28434.509600000001</v>
      </c>
      <c r="G7" s="205">
        <v>9478.1699000000008</v>
      </c>
      <c r="H7" s="205">
        <v>9478.1699000000008</v>
      </c>
      <c r="I7" s="205">
        <v>14217.254800000001</v>
      </c>
      <c r="J7" s="205">
        <v>14217.254800000001</v>
      </c>
      <c r="K7" s="205">
        <v>14217.254800000001</v>
      </c>
      <c r="L7" s="205">
        <v>14217.254800000001</v>
      </c>
      <c r="M7" s="205">
        <v>14217.254800000001</v>
      </c>
      <c r="N7" s="205">
        <v>18956.339800000002</v>
      </c>
      <c r="O7" s="205">
        <v>18956.339800000002</v>
      </c>
      <c r="P7" s="205">
        <v>18956.339800000002</v>
      </c>
      <c r="Q7" s="205">
        <v>18956.339800000002</v>
      </c>
      <c r="R7" s="205">
        <v>18956.339800000002</v>
      </c>
      <c r="S7" s="205">
        <v>9478.1699000000008</v>
      </c>
      <c r="T7" s="205">
        <v>9478.1699000000008</v>
      </c>
      <c r="U7" s="205">
        <v>9478.1699000000008</v>
      </c>
      <c r="V7" s="205">
        <v>9478.1699000000008</v>
      </c>
      <c r="W7" s="205">
        <v>9478.1699000000008</v>
      </c>
      <c r="X7" s="205">
        <v>9478.1699000000008</v>
      </c>
      <c r="Y7" s="205">
        <v>9478.1699000000008</v>
      </c>
      <c r="Z7" s="205">
        <v>0</v>
      </c>
    </row>
    <row r="8" spans="1:27" ht="11.25" customHeight="1" thickBot="1" x14ac:dyDescent="0.25">
      <c r="A8" s="205" t="s">
        <v>186</v>
      </c>
      <c r="C8" s="205">
        <v>-34354.8387</v>
      </c>
      <c r="D8" s="205">
        <v>-35709.6774</v>
      </c>
      <c r="E8" s="205">
        <v>-30999.9643</v>
      </c>
      <c r="F8" s="205">
        <v>-27741.903200000001</v>
      </c>
      <c r="G8" s="205">
        <v>-20266.666700000002</v>
      </c>
      <c r="H8" s="205">
        <v>-2096.7741999999998</v>
      </c>
      <c r="I8" s="205">
        <v>-15933.3333</v>
      </c>
      <c r="J8" s="205">
        <v>-29870.9355</v>
      </c>
      <c r="K8" s="205">
        <v>-32322.5484</v>
      </c>
      <c r="L8" s="205">
        <v>-27900</v>
      </c>
      <c r="M8" s="205">
        <v>-24354.8387</v>
      </c>
      <c r="N8" s="205">
        <v>-25099.966700000001</v>
      </c>
      <c r="O8" s="205">
        <v>-25129.032299999999</v>
      </c>
      <c r="P8" s="205">
        <v>-27290.354800000001</v>
      </c>
      <c r="Q8" s="205">
        <v>-24321.428599999999</v>
      </c>
      <c r="R8" s="205">
        <v>-21193.5484</v>
      </c>
      <c r="S8" s="205">
        <v>-13533.3333</v>
      </c>
      <c r="T8" s="205">
        <v>-15774.193499999999</v>
      </c>
      <c r="U8" s="205">
        <v>-15933.3</v>
      </c>
      <c r="V8" s="205">
        <v>-25193.6129</v>
      </c>
      <c r="W8" s="205">
        <v>-28935.516100000001</v>
      </c>
      <c r="X8" s="205">
        <v>-26666.666700000002</v>
      </c>
      <c r="Y8" s="205">
        <v>-22451.645199999999</v>
      </c>
      <c r="Z8" s="205">
        <v>-23700</v>
      </c>
    </row>
    <row r="9" spans="1:27" ht="11.25" customHeight="1" x14ac:dyDescent="0.2">
      <c r="A9" s="202" t="s">
        <v>187</v>
      </c>
      <c r="C9" s="11">
        <f>SUM($C$7:$C$8)</f>
        <v>-1181.2441000000035</v>
      </c>
      <c r="D9" s="11">
        <f>SUM($D$7:$D$8)</f>
        <v>-7275.1677999999993</v>
      </c>
      <c r="E9" s="11">
        <f>SUM($E$7:$E$8)</f>
        <v>-2565.4546999999984</v>
      </c>
      <c r="F9" s="11">
        <f>SUM($F$7:$F$8)</f>
        <v>692.60640000000058</v>
      </c>
      <c r="G9" s="11">
        <f>SUM($G$7:$G$8)</f>
        <v>-10788.496800000001</v>
      </c>
      <c r="H9" s="11">
        <f>SUM($H$7:$H$8)</f>
        <v>7381.3957000000009</v>
      </c>
      <c r="I9" s="11">
        <f>SUM($I$7:$I$8)</f>
        <v>-1716.0784999999996</v>
      </c>
      <c r="J9" s="11">
        <f>SUM($J$7:$J$8)</f>
        <v>-15653.680699999999</v>
      </c>
      <c r="K9" s="11">
        <f>SUM($K$7:$K$8)</f>
        <v>-18105.293599999997</v>
      </c>
      <c r="L9" s="11">
        <f>SUM($L$7:$L$8)</f>
        <v>-13682.745199999999</v>
      </c>
      <c r="M9" s="11">
        <f>SUM($M$7:$M$8)</f>
        <v>-10137.5839</v>
      </c>
      <c r="N9" s="11">
        <f>SUM($N$7:$N$8)</f>
        <v>-6143.6268999999993</v>
      </c>
      <c r="O9" s="11">
        <f>SUM($O$7:$O$8)</f>
        <v>-6172.6924999999974</v>
      </c>
      <c r="P9" s="11">
        <f>SUM($P$7:$P$8)</f>
        <v>-8334.0149999999994</v>
      </c>
      <c r="Q9" s="11">
        <f>SUM($Q$7:$Q$8)</f>
        <v>-5365.0887999999977</v>
      </c>
      <c r="R9" s="11">
        <f>SUM($R$7:$R$8)</f>
        <v>-2237.2085999999981</v>
      </c>
      <c r="S9" s="11">
        <f>SUM($S$7:$S$8)</f>
        <v>-4055.1633999999995</v>
      </c>
      <c r="T9" s="11">
        <f>SUM($T$7:$T$8)</f>
        <v>-6296.0235999999986</v>
      </c>
      <c r="U9" s="11">
        <f>SUM($U$7:$U$8)</f>
        <v>-6455.1300999999985</v>
      </c>
      <c r="V9" s="11">
        <f>SUM($V$7:$V$8)</f>
        <v>-15715.442999999999</v>
      </c>
      <c r="W9" s="11">
        <f>SUM($W$7:$W$8)</f>
        <v>-19457.3462</v>
      </c>
      <c r="X9" s="11">
        <f>SUM($X$7:$X$8)</f>
        <v>-17188.496800000001</v>
      </c>
      <c r="Y9" s="11">
        <f>SUM($Y$7:$Y$8)</f>
        <v>-12973.475299999998</v>
      </c>
      <c r="Z9" s="11">
        <f>SUM($Z$7:$Z$8)</f>
        <v>-23700</v>
      </c>
    </row>
    <row r="11" spans="1:27" ht="11.25" customHeight="1" x14ac:dyDescent="0.2">
      <c r="A11" s="205" t="s">
        <v>111</v>
      </c>
      <c r="C11" s="205">
        <f>60000-25000</f>
        <v>35000</v>
      </c>
      <c r="D11" s="205">
        <f>60000-25000</f>
        <v>35000</v>
      </c>
      <c r="E11" s="205">
        <f>60000-25000</f>
        <v>35000</v>
      </c>
      <c r="F11" s="205">
        <f>20000-25000</f>
        <v>-5000</v>
      </c>
      <c r="G11" s="205">
        <v>-5000</v>
      </c>
      <c r="H11" s="205">
        <v>-5000</v>
      </c>
      <c r="I11" s="205">
        <v>15000</v>
      </c>
      <c r="J11" s="205">
        <v>20000</v>
      </c>
      <c r="K11" s="205">
        <v>25000</v>
      </c>
      <c r="L11" s="205">
        <v>25000</v>
      </c>
      <c r="M11" s="205">
        <v>25000</v>
      </c>
      <c r="N11" s="205">
        <v>25000</v>
      </c>
      <c r="O11" s="205">
        <v>25000</v>
      </c>
      <c r="P11" s="205">
        <v>25000</v>
      </c>
      <c r="Q11" s="205">
        <v>20000</v>
      </c>
      <c r="R11" s="205">
        <v>20000</v>
      </c>
      <c r="S11" s="205">
        <v>5000</v>
      </c>
      <c r="T11" s="205">
        <v>5000</v>
      </c>
      <c r="U11" s="205">
        <v>5000</v>
      </c>
      <c r="V11" s="205">
        <v>5000</v>
      </c>
      <c r="W11" s="205">
        <v>5000</v>
      </c>
      <c r="X11" s="205">
        <v>5000</v>
      </c>
      <c r="Y11" s="205">
        <v>5000</v>
      </c>
      <c r="Z11" s="205">
        <v>0</v>
      </c>
    </row>
    <row r="12" spans="1:27" ht="11.25" customHeight="1" x14ac:dyDescent="0.2">
      <c r="A12" s="205" t="s">
        <v>112</v>
      </c>
      <c r="C12" s="205">
        <v>30000</v>
      </c>
      <c r="D12" s="205">
        <v>30000</v>
      </c>
      <c r="E12" s="205">
        <v>20000</v>
      </c>
      <c r="F12" s="205">
        <v>10000</v>
      </c>
      <c r="G12" s="205">
        <v>15000</v>
      </c>
      <c r="H12" s="205">
        <v>30000</v>
      </c>
      <c r="I12" s="205">
        <v>30000</v>
      </c>
      <c r="J12" s="205">
        <v>50000</v>
      </c>
      <c r="K12" s="205">
        <v>50000</v>
      </c>
      <c r="L12" s="205">
        <v>50000</v>
      </c>
      <c r="M12" s="205">
        <v>50000</v>
      </c>
      <c r="N12" s="205">
        <v>25000</v>
      </c>
      <c r="O12" s="205">
        <v>25000</v>
      </c>
      <c r="P12" s="205">
        <v>25000</v>
      </c>
      <c r="Q12" s="205">
        <v>25000</v>
      </c>
      <c r="R12" s="205">
        <v>25000</v>
      </c>
      <c r="S12" s="205">
        <v>5000</v>
      </c>
      <c r="T12" s="205">
        <v>5000</v>
      </c>
      <c r="U12" s="205">
        <v>5000</v>
      </c>
      <c r="V12" s="205">
        <v>5000</v>
      </c>
      <c r="W12" s="205">
        <v>5000</v>
      </c>
      <c r="X12" s="205">
        <v>5000</v>
      </c>
      <c r="Y12" s="205">
        <v>5000</v>
      </c>
      <c r="Z12" s="205">
        <v>0</v>
      </c>
    </row>
    <row r="13" spans="1:27" ht="11.25" customHeight="1" x14ac:dyDescent="0.2">
      <c r="A13" s="205" t="s">
        <v>188</v>
      </c>
      <c r="C13" s="205">
        <v>-45193.5484</v>
      </c>
      <c r="D13" s="205">
        <v>-41064.483899999999</v>
      </c>
      <c r="E13" s="205">
        <v>-40750</v>
      </c>
      <c r="F13" s="205">
        <v>-8870.9676999999992</v>
      </c>
      <c r="G13" s="205">
        <v>-7500</v>
      </c>
      <c r="H13" s="205">
        <v>-21645.1613</v>
      </c>
      <c r="I13" s="205">
        <v>-26633.3</v>
      </c>
      <c r="J13" s="205">
        <v>-61193.5484</v>
      </c>
      <c r="K13" s="205">
        <v>-66741.935500000007</v>
      </c>
      <c r="L13" s="205">
        <v>-54033.333299999998</v>
      </c>
      <c r="M13" s="205">
        <v>-44161.290300000001</v>
      </c>
      <c r="N13" s="205">
        <v>-33433.300000000003</v>
      </c>
      <c r="O13" s="205">
        <v>-39225.7742</v>
      </c>
      <c r="P13" s="205">
        <v>-37741.9355</v>
      </c>
      <c r="Q13" s="205">
        <v>-32464.25</v>
      </c>
      <c r="R13" s="205">
        <v>-22774.2258</v>
      </c>
      <c r="S13" s="205">
        <v>-31366.666700000002</v>
      </c>
      <c r="T13" s="205">
        <v>-21612.870999999999</v>
      </c>
      <c r="U13" s="205">
        <v>-22600</v>
      </c>
      <c r="V13" s="205">
        <v>-50032.290300000001</v>
      </c>
      <c r="W13" s="205">
        <v>-58032.258099999999</v>
      </c>
      <c r="X13" s="205">
        <v>-50900</v>
      </c>
      <c r="Y13" s="205">
        <v>-38709.6774</v>
      </c>
      <c r="Z13" s="205">
        <v>-34066.666700000002</v>
      </c>
    </row>
    <row r="14" spans="1:27" ht="11.25" customHeight="1" thickBot="1" x14ac:dyDescent="0.25">
      <c r="A14" s="205" t="s">
        <v>189</v>
      </c>
      <c r="C14" s="205">
        <v>0</v>
      </c>
      <c r="D14" s="205">
        <v>0</v>
      </c>
      <c r="E14" s="205">
        <v>0</v>
      </c>
      <c r="F14" s="205">
        <v>0</v>
      </c>
      <c r="G14" s="205">
        <v>0</v>
      </c>
      <c r="H14" s="205">
        <v>0</v>
      </c>
      <c r="I14" s="205">
        <v>0</v>
      </c>
      <c r="J14" s="205">
        <v>0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5">
        <v>0</v>
      </c>
      <c r="U14" s="205">
        <v>0</v>
      </c>
      <c r="V14" s="205">
        <v>0</v>
      </c>
      <c r="W14" s="205">
        <v>0</v>
      </c>
      <c r="X14" s="205">
        <v>0</v>
      </c>
      <c r="Y14" s="205">
        <v>0</v>
      </c>
      <c r="Z14" s="205">
        <v>0</v>
      </c>
    </row>
    <row r="15" spans="1:27" ht="11.25" customHeight="1" x14ac:dyDescent="0.2">
      <c r="A15" s="202" t="s">
        <v>190</v>
      </c>
      <c r="C15" s="11">
        <f>SUM($C$11:$C$14)</f>
        <v>19806.4516</v>
      </c>
      <c r="D15" s="11">
        <f>SUM($D$11:$D$14)</f>
        <v>23935.516100000001</v>
      </c>
      <c r="E15" s="11">
        <f>SUM($E$11:$E$14)</f>
        <v>14250</v>
      </c>
      <c r="F15" s="11">
        <f>SUM($F$11:$F$14)</f>
        <v>-3870.9676999999992</v>
      </c>
      <c r="G15" s="11">
        <f>SUM($G$11:$G$14)</f>
        <v>2500</v>
      </c>
      <c r="H15" s="11">
        <f>SUM($H$11:$H$14)</f>
        <v>3354.8387000000002</v>
      </c>
      <c r="I15" s="11">
        <f>SUM($I$11:$I$14)</f>
        <v>18366.7</v>
      </c>
      <c r="J15" s="11">
        <f>SUM($J$11:$J$14)</f>
        <v>8806.4516000000003</v>
      </c>
      <c r="K15" s="11">
        <f>SUM($K$11:$K$14)</f>
        <v>8258.0644999999931</v>
      </c>
      <c r="L15" s="11">
        <f>SUM($L$11:$L$14)</f>
        <v>20966.666700000002</v>
      </c>
      <c r="M15" s="11">
        <f>SUM($M$11:$M$14)</f>
        <v>30838.709699999999</v>
      </c>
      <c r="N15" s="11">
        <f>SUM($N$11:$N$14)</f>
        <v>16566.699999999997</v>
      </c>
      <c r="O15" s="11">
        <f>SUM($O$11:$O$14)</f>
        <v>10774.2258</v>
      </c>
      <c r="P15" s="11">
        <f>SUM($P$11:$P$14)</f>
        <v>12258.0645</v>
      </c>
      <c r="Q15" s="11">
        <f>SUM($Q$11:$Q$14)</f>
        <v>12535.75</v>
      </c>
      <c r="R15" s="11">
        <f>SUM($R$11:$R$14)</f>
        <v>22225.7742</v>
      </c>
      <c r="S15" s="11">
        <f>SUM($S$11:$S$14)</f>
        <v>-21366.666700000002</v>
      </c>
      <c r="T15" s="11">
        <f>SUM($T$11:$T$14)</f>
        <v>-11612.870999999999</v>
      </c>
      <c r="U15" s="11">
        <f>SUM($U$11:$U$14)</f>
        <v>-12600</v>
      </c>
      <c r="V15" s="11">
        <f>SUM($V$11:$V$14)</f>
        <v>-40032.290300000001</v>
      </c>
      <c r="W15" s="11">
        <f>SUM($W$11:$W$14)</f>
        <v>-48032.258099999999</v>
      </c>
      <c r="X15" s="11">
        <f>SUM($X$11:$X$14)</f>
        <v>-40900</v>
      </c>
      <c r="Y15" s="11">
        <f>SUM($Y$11:$Y$14)</f>
        <v>-28709.6774</v>
      </c>
      <c r="Z15" s="11">
        <f>SUM($Z$11:$Z$14)</f>
        <v>-34066.666700000002</v>
      </c>
    </row>
    <row r="17" spans="1:27" ht="11.25" customHeight="1" x14ac:dyDescent="0.2">
      <c r="A17" s="205" t="s">
        <v>113</v>
      </c>
      <c r="C17" s="205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5">
        <v>0</v>
      </c>
      <c r="U17" s="205">
        <v>0</v>
      </c>
      <c r="V17" s="205">
        <v>0</v>
      </c>
      <c r="W17" s="205">
        <v>0</v>
      </c>
      <c r="X17" s="205">
        <v>0</v>
      </c>
      <c r="Y17" s="205">
        <v>0</v>
      </c>
      <c r="Z17" s="205">
        <v>0</v>
      </c>
    </row>
    <row r="18" spans="1:27" ht="13.5" customHeight="1" thickBot="1" x14ac:dyDescent="0.25"/>
    <row r="19" spans="1:27" ht="11.25" customHeight="1" thickBot="1" x14ac:dyDescent="0.25">
      <c r="A19" s="206" t="s">
        <v>114</v>
      </c>
      <c r="B19" s="207"/>
      <c r="C19" s="207">
        <f>SUM((($C$9+$C$15)+$C$17))</f>
        <v>18625.207499999997</v>
      </c>
      <c r="D19" s="207">
        <f>SUM((($D$9+$D$15)+$D$17))</f>
        <v>16660.348300000001</v>
      </c>
      <c r="E19" s="207">
        <f>SUM((($E$9+$E$15)+$E$17))</f>
        <v>11684.545300000002</v>
      </c>
      <c r="F19" s="207">
        <f>SUM((($F$9+$F$15)+$F$17))</f>
        <v>-3178.3612999999987</v>
      </c>
      <c r="G19" s="207">
        <f>SUM((($G$9+$G$15)+$G$17))</f>
        <v>-8288.4968000000008</v>
      </c>
      <c r="H19" s="207">
        <f>SUM((($H$9+$H$15)+$H$17))</f>
        <v>10736.234400000001</v>
      </c>
      <c r="I19" s="207">
        <f>SUM((($I$9+$I$15)+$I$17))</f>
        <v>16650.621500000001</v>
      </c>
      <c r="J19" s="207">
        <f>SUM((($J$9+$J$15)+$J$17))</f>
        <v>-6847.2290999999987</v>
      </c>
      <c r="K19" s="207">
        <f>SUM((($K$9+$K$15)+$K$17))</f>
        <v>-9847.2291000000041</v>
      </c>
      <c r="L19" s="207">
        <f>SUM((($L$9+$L$15)+$L$17))</f>
        <v>7283.9215000000022</v>
      </c>
      <c r="M19" s="207">
        <f>SUM((($M$9+$M$15)+$M$17))</f>
        <v>20701.125800000002</v>
      </c>
      <c r="N19" s="207">
        <f>SUM((($N$9+$N$15)+$N$17))</f>
        <v>10423.073099999998</v>
      </c>
      <c r="O19" s="207">
        <f>SUM((($O$9+$O$15)+$O$17))</f>
        <v>4601.5333000000028</v>
      </c>
      <c r="P19" s="207">
        <f>SUM((($P$9+$P$15)+$P$17))</f>
        <v>3924.049500000001</v>
      </c>
      <c r="Q19" s="207">
        <f>SUM((($Q$9+$Q$15)+$Q$17))</f>
        <v>7170.6612000000023</v>
      </c>
      <c r="R19" s="207">
        <f>SUM((($R$9+$R$15)+$R$17))</f>
        <v>19988.565600000002</v>
      </c>
      <c r="S19" s="207">
        <f>SUM((($S$9+$S$15)+$S$17))</f>
        <v>-25421.830099999999</v>
      </c>
      <c r="T19" s="207">
        <f>SUM((($T$9+$T$15)+$T$17))</f>
        <v>-17908.8946</v>
      </c>
      <c r="U19" s="207">
        <f>SUM((($U$9+$U$15)+$U$17))</f>
        <v>-19055.130099999998</v>
      </c>
      <c r="V19" s="207">
        <f>SUM((($V$9+$V$15)+$V$17))</f>
        <v>-55747.7333</v>
      </c>
      <c r="W19" s="207">
        <f>SUM((($W$9+$W$15)+$W$17))</f>
        <v>-67489.604300000006</v>
      </c>
      <c r="X19" s="207">
        <f>SUM((($X$9+$X$15)+$X$17))</f>
        <v>-58088.496800000001</v>
      </c>
      <c r="Y19" s="207">
        <f>SUM((($Y$9+$Y$15)+$Y$17))</f>
        <v>-41683.152699999999</v>
      </c>
      <c r="Z19" s="24">
        <f>SUM((($Z$9+$Z$15)+$Z$17))</f>
        <v>-57766.666700000002</v>
      </c>
    </row>
    <row r="21" spans="1:27" ht="11.25" customHeight="1" x14ac:dyDescent="0.2">
      <c r="A21" s="205" t="s">
        <v>191</v>
      </c>
      <c r="C21" s="205">
        <f>46625.2075-25000</f>
        <v>21625.207499999997</v>
      </c>
      <c r="D21" s="205">
        <f>48595.8322-25000</f>
        <v>23595.832199999997</v>
      </c>
      <c r="E21" s="205">
        <f>41827.4025-25000</f>
        <v>16827.402499999997</v>
      </c>
      <c r="F21" s="205">
        <f>26305.5096-25000</f>
        <v>1305.5096000000012</v>
      </c>
      <c r="G21" s="205">
        <v>-7188.4967999999999</v>
      </c>
      <c r="H21" s="205">
        <v>11607.2021</v>
      </c>
      <c r="I21" s="205">
        <v>18050.621500000001</v>
      </c>
      <c r="J21" s="205">
        <v>-4105.2936</v>
      </c>
      <c r="K21" s="205">
        <v>-7556.9065000000001</v>
      </c>
      <c r="L21" s="205">
        <v>10350.5882</v>
      </c>
      <c r="M21" s="205">
        <v>24314.028999999999</v>
      </c>
      <c r="N21" s="205">
        <v>13423.0731</v>
      </c>
      <c r="O21" s="205">
        <v>7537.0172000000002</v>
      </c>
      <c r="P21" s="205">
        <v>6698.2430000000004</v>
      </c>
      <c r="Q21" s="205">
        <v>9813.5182999999997</v>
      </c>
      <c r="R21" s="205">
        <v>22117.5978</v>
      </c>
      <c r="S21" s="205">
        <v>-22388.496800000001</v>
      </c>
      <c r="T21" s="205">
        <v>-14908.8946</v>
      </c>
      <c r="U21" s="205">
        <v>-16055.1301</v>
      </c>
      <c r="V21" s="205">
        <v>-52715.475299999998</v>
      </c>
      <c r="W21" s="205">
        <v>-64489.604299999999</v>
      </c>
      <c r="X21" s="205">
        <v>-54855.163500000002</v>
      </c>
      <c r="Y21" s="205">
        <v>-38263.797899999998</v>
      </c>
      <c r="Z21" s="205">
        <v>-53833.333299999998</v>
      </c>
    </row>
    <row r="22" spans="1:27" ht="11.25" customHeight="1" x14ac:dyDescent="0.2">
      <c r="A22" s="205" t="s">
        <v>0</v>
      </c>
      <c r="C22" s="208">
        <f>SUM(($C$19-$C$21))</f>
        <v>-3000</v>
      </c>
      <c r="D22" s="208">
        <f>SUM(($D$19-$D$21))</f>
        <v>-6935.4838999999956</v>
      </c>
      <c r="E22" s="208">
        <f>SUM(($E$19-$E$21))</f>
        <v>-5142.8571999999949</v>
      </c>
      <c r="F22" s="208">
        <f>SUM(($F$19-$F$21))</f>
        <v>-4483.8708999999999</v>
      </c>
      <c r="G22" s="208">
        <f>SUM(($G$19-$G$21))</f>
        <v>-1100.0000000000009</v>
      </c>
      <c r="H22" s="208">
        <f>SUM(($H$19-$H$21))</f>
        <v>-870.96769999999924</v>
      </c>
      <c r="I22" s="208">
        <f>SUM(($I$19-$I$21))</f>
        <v>-1400</v>
      </c>
      <c r="J22" s="208">
        <f>SUM(($J$19-$J$21))</f>
        <v>-2741.9354999999987</v>
      </c>
      <c r="K22" s="208">
        <f>SUM(($K$19-$K$21))</f>
        <v>-2290.3226000000041</v>
      </c>
      <c r="L22" s="208">
        <f>SUM(($L$19-$L$21))</f>
        <v>-3066.6666999999979</v>
      </c>
      <c r="M22" s="208">
        <f>SUM(($M$19-$M$21))</f>
        <v>-3612.903199999997</v>
      </c>
      <c r="N22" s="208">
        <f>SUM(($N$19-$N$21))</f>
        <v>-3000.0000000000018</v>
      </c>
      <c r="O22" s="208">
        <f>SUM(($O$19-$O$21))</f>
        <v>-2935.4838999999974</v>
      </c>
      <c r="P22" s="208">
        <f>SUM(($P$19-$P$21))</f>
        <v>-2774.1934999999994</v>
      </c>
      <c r="Q22" s="208">
        <f>SUM(($Q$19-$Q$21))</f>
        <v>-2642.8570999999974</v>
      </c>
      <c r="R22" s="208">
        <f>SUM(($R$19-$R$21))</f>
        <v>-2129.0321999999978</v>
      </c>
      <c r="S22" s="208">
        <f>SUM(($S$19-$S$21))</f>
        <v>-3033.3332999999984</v>
      </c>
      <c r="T22" s="208">
        <f>SUM(($T$19-$T$21))</f>
        <v>-3000</v>
      </c>
      <c r="U22" s="208">
        <f>SUM(($U$19-$U$21))</f>
        <v>-2999.9999999999982</v>
      </c>
      <c r="V22" s="208">
        <f>SUM(($V$19-$V$21))</f>
        <v>-3032.2580000000016</v>
      </c>
      <c r="W22" s="208">
        <f>SUM(($W$19-$W$21))</f>
        <v>-3000.0000000000073</v>
      </c>
      <c r="X22" s="208">
        <f>SUM(($X$19-$X$21))</f>
        <v>-3233.3332999999984</v>
      </c>
      <c r="Y22" s="208">
        <f>SUM(($Y$19-$Y$21))</f>
        <v>-3419.354800000001</v>
      </c>
      <c r="Z22" s="208">
        <f>SUM(($Z$19-$Z$21))</f>
        <v>-3933.3334000000032</v>
      </c>
    </row>
    <row r="24" spans="1:27" ht="12" customHeight="1" x14ac:dyDescent="0.2">
      <c r="A24" s="204" t="s">
        <v>1</v>
      </c>
    </row>
    <row r="25" spans="1:27" ht="11.25" customHeight="1" x14ac:dyDescent="0.2">
      <c r="A25" s="205" t="s">
        <v>192</v>
      </c>
      <c r="C25" s="205">
        <v>-5529608</v>
      </c>
      <c r="D25" s="205">
        <v>-4997455</v>
      </c>
      <c r="E25" s="205">
        <v>-4327483</v>
      </c>
      <c r="F25" s="205">
        <v>-4073418</v>
      </c>
      <c r="G25" s="205">
        <v>-2351067</v>
      </c>
      <c r="H25" s="205">
        <v>-2689760</v>
      </c>
      <c r="I25" s="205">
        <v>-2963907</v>
      </c>
      <c r="J25" s="205">
        <v>-3532317</v>
      </c>
      <c r="K25" s="205">
        <v>-3794190</v>
      </c>
      <c r="L25" s="205">
        <v>-3647172</v>
      </c>
      <c r="M25" s="205">
        <v>-3701353</v>
      </c>
      <c r="N25" s="205">
        <v>-5142415</v>
      </c>
      <c r="O25" s="205">
        <v>-4919965</v>
      </c>
      <c r="P25" s="205">
        <v>-4691923</v>
      </c>
      <c r="Q25" s="205">
        <v>-4207160</v>
      </c>
      <c r="R25" s="205">
        <v>-4860051</v>
      </c>
      <c r="S25" s="205">
        <v>112679</v>
      </c>
      <c r="T25" s="205">
        <v>111881</v>
      </c>
      <c r="U25" s="205">
        <v>124960</v>
      </c>
      <c r="V25" s="205">
        <v>145029</v>
      </c>
      <c r="W25" s="205">
        <v>162785</v>
      </c>
      <c r="X25" s="205">
        <v>156931</v>
      </c>
      <c r="Y25" s="205">
        <v>181573</v>
      </c>
      <c r="Z25" s="205">
        <v>0</v>
      </c>
      <c r="AA25" s="205">
        <f>SUM($C$25:$Z$25)</f>
        <v>-64433406</v>
      </c>
    </row>
    <row r="26" spans="1:27" ht="11.25" customHeight="1" thickBot="1" x14ac:dyDescent="0.25">
      <c r="A26" s="205" t="s">
        <v>193</v>
      </c>
      <c r="C26" s="205">
        <v>14605347</v>
      </c>
      <c r="D26" s="205">
        <v>14590662</v>
      </c>
      <c r="E26" s="205">
        <v>11178095</v>
      </c>
      <c r="F26" s="205">
        <v>4219916</v>
      </c>
      <c r="G26" s="205">
        <v>1670384</v>
      </c>
      <c r="H26" s="205">
        <v>2271274</v>
      </c>
      <c r="I26" s="205">
        <v>4067160</v>
      </c>
      <c r="J26" s="205">
        <v>5609399</v>
      </c>
      <c r="K26" s="205">
        <v>5143227</v>
      </c>
      <c r="L26" s="205">
        <v>5783204</v>
      </c>
      <c r="M26" s="205">
        <v>6125069</v>
      </c>
      <c r="N26" s="205">
        <v>6015489</v>
      </c>
      <c r="O26" s="205">
        <v>6063040</v>
      </c>
      <c r="P26" s="205">
        <v>2131679</v>
      </c>
      <c r="Q26" s="205">
        <v>1467655</v>
      </c>
      <c r="R26" s="205">
        <v>1721860</v>
      </c>
      <c r="S26" s="205">
        <v>32726</v>
      </c>
      <c r="T26" s="205">
        <v>-53427</v>
      </c>
      <c r="U26" s="205">
        <v>99120</v>
      </c>
      <c r="V26" s="205">
        <v>106330</v>
      </c>
      <c r="W26" s="205">
        <v>111098</v>
      </c>
      <c r="X26" s="205">
        <v>185863</v>
      </c>
      <c r="Y26" s="205">
        <v>243120</v>
      </c>
      <c r="Z26" s="205">
        <v>2030723</v>
      </c>
      <c r="AA26" s="205">
        <f>SUM($C$26:$Z$26)</f>
        <v>95419013</v>
      </c>
    </row>
    <row r="27" spans="1:27" ht="11.25" customHeight="1" thickBot="1" x14ac:dyDescent="0.25">
      <c r="A27" s="206" t="s">
        <v>194</v>
      </c>
      <c r="B27" s="207"/>
      <c r="C27" s="207">
        <f>SUM($C$25:$C$26)</f>
        <v>9075739</v>
      </c>
      <c r="D27" s="207">
        <f>SUM($D$25:$D$26)</f>
        <v>9593207</v>
      </c>
      <c r="E27" s="207">
        <f>SUM($E$25:$E$26)</f>
        <v>6850612</v>
      </c>
      <c r="F27" s="207">
        <f>SUM($F$25:$F$26)</f>
        <v>146498</v>
      </c>
      <c r="G27" s="207">
        <f>SUM($G$25:$G$26)</f>
        <v>-680683</v>
      </c>
      <c r="H27" s="207">
        <f>SUM($H$25:$H$26)</f>
        <v>-418486</v>
      </c>
      <c r="I27" s="207">
        <f>SUM($I$25:$I$26)</f>
        <v>1103253</v>
      </c>
      <c r="J27" s="207">
        <f>SUM($J$25:$J$26)</f>
        <v>2077082</v>
      </c>
      <c r="K27" s="207">
        <f>SUM($K$25:$K$26)</f>
        <v>1349037</v>
      </c>
      <c r="L27" s="207">
        <f>SUM($L$25:$L$26)</f>
        <v>2136032</v>
      </c>
      <c r="M27" s="207">
        <f>SUM($M$25:$M$26)</f>
        <v>2423716</v>
      </c>
      <c r="N27" s="207">
        <f>SUM($N$25:$N$26)</f>
        <v>873074</v>
      </c>
      <c r="O27" s="207">
        <f>SUM($O$25:$O$26)</f>
        <v>1143075</v>
      </c>
      <c r="P27" s="207">
        <f>SUM($P$25:$P$26)</f>
        <v>-2560244</v>
      </c>
      <c r="Q27" s="207">
        <f>SUM($Q$25:$Q$26)</f>
        <v>-2739505</v>
      </c>
      <c r="R27" s="207">
        <f>SUM($R$25:$R$26)</f>
        <v>-3138191</v>
      </c>
      <c r="S27" s="207">
        <f>SUM($S$25:$S$26)</f>
        <v>145405</v>
      </c>
      <c r="T27" s="207">
        <f>SUM($T$25:$T$26)</f>
        <v>58454</v>
      </c>
      <c r="U27" s="207">
        <f>SUM($U$25:$U$26)</f>
        <v>224080</v>
      </c>
      <c r="V27" s="207">
        <f>SUM($V$25:$V$26)</f>
        <v>251359</v>
      </c>
      <c r="W27" s="207">
        <f>SUM($W$25:$W$26)</f>
        <v>273883</v>
      </c>
      <c r="X27" s="207">
        <f>SUM($X$25:$X$26)</f>
        <v>342794</v>
      </c>
      <c r="Y27" s="207">
        <f>SUM($Y$25:$Y$26)</f>
        <v>424693</v>
      </c>
      <c r="Z27" s="207">
        <f>SUM($Z$25:$Z$26)</f>
        <v>2030723</v>
      </c>
      <c r="AA27" s="24">
        <f>SUM($AA$25:$AA$26)</f>
        <v>30985607</v>
      </c>
    </row>
    <row r="28" spans="1:27" ht="11.25" customHeight="1" x14ac:dyDescent="0.2">
      <c r="A28" s="205" t="s">
        <v>2</v>
      </c>
      <c r="C28" s="205">
        <v>9024046</v>
      </c>
      <c r="D28" s="205">
        <v>9594884</v>
      </c>
      <c r="E28" s="205">
        <v>6841995</v>
      </c>
      <c r="F28" s="205">
        <v>131308</v>
      </c>
      <c r="G28" s="205">
        <v>-702777</v>
      </c>
      <c r="H28" s="205">
        <v>-393613</v>
      </c>
      <c r="I28" s="205">
        <v>1138694</v>
      </c>
      <c r="J28" s="205">
        <v>2053728</v>
      </c>
      <c r="K28" s="205">
        <v>1328447</v>
      </c>
      <c r="L28" s="205">
        <v>2145953</v>
      </c>
      <c r="M28" s="205">
        <v>2485795</v>
      </c>
      <c r="N28" s="205">
        <v>922421</v>
      </c>
      <c r="O28" s="205">
        <v>1177558</v>
      </c>
      <c r="P28" s="205">
        <v>-2526740</v>
      </c>
      <c r="Q28" s="205">
        <v>-2699335</v>
      </c>
      <c r="R28" s="205">
        <v>-3057688</v>
      </c>
      <c r="S28" s="205">
        <v>59092</v>
      </c>
      <c r="T28" s="205">
        <v>-6355</v>
      </c>
      <c r="U28" s="205">
        <v>156686</v>
      </c>
      <c r="V28" s="205">
        <v>14740</v>
      </c>
      <c r="W28" s="205">
        <v>-14549</v>
      </c>
      <c r="X28" s="205">
        <v>91744</v>
      </c>
      <c r="Y28" s="205">
        <v>235798</v>
      </c>
      <c r="Z28" s="205">
        <v>1776840</v>
      </c>
      <c r="AA28" s="205">
        <f>SUM($C$28:$Z$28)</f>
        <v>29778672</v>
      </c>
    </row>
    <row r="29" spans="1:27" ht="11.25" customHeight="1" x14ac:dyDescent="0.2">
      <c r="A29" s="205" t="s">
        <v>0</v>
      </c>
      <c r="C29" s="208">
        <f>SUM(($C$27-$C$28))</f>
        <v>51693</v>
      </c>
      <c r="D29" s="208">
        <f>SUM(($D$27-$D$28))</f>
        <v>-1677</v>
      </c>
      <c r="E29" s="208">
        <f>SUM(($E$27-$E$28))</f>
        <v>8617</v>
      </c>
      <c r="F29" s="208">
        <f>SUM(($F$27-$F$28))</f>
        <v>15190</v>
      </c>
      <c r="G29" s="208">
        <f>SUM(($G$27-$G$28))</f>
        <v>22094</v>
      </c>
      <c r="H29" s="208">
        <f>SUM(($H$27-$H$28))</f>
        <v>-24873</v>
      </c>
      <c r="I29" s="208">
        <f>SUM(($I$27-$I$28))</f>
        <v>-35441</v>
      </c>
      <c r="J29" s="208">
        <f>SUM(($J$27-$J$28))</f>
        <v>23354</v>
      </c>
      <c r="K29" s="208">
        <f>SUM(($K$27-$K$28))</f>
        <v>20590</v>
      </c>
      <c r="L29" s="208">
        <f>SUM(($L$27-$L$28))</f>
        <v>-9921</v>
      </c>
      <c r="M29" s="208">
        <f>SUM(($M$27-$M$28))</f>
        <v>-62079</v>
      </c>
      <c r="N29" s="208">
        <f>SUM(($N$27-$N$28))</f>
        <v>-49347</v>
      </c>
      <c r="O29" s="208">
        <f>SUM(($O$27-$O$28))</f>
        <v>-34483</v>
      </c>
      <c r="P29" s="208">
        <f>SUM(($P$27-$P$28))</f>
        <v>-33504</v>
      </c>
      <c r="Q29" s="208">
        <f>SUM(($Q$27-$Q$28))</f>
        <v>-40170</v>
      </c>
      <c r="R29" s="208">
        <f>SUM(($R$27-$R$28))</f>
        <v>-80503</v>
      </c>
      <c r="S29" s="208">
        <f>SUM(($S$27-$S$28))</f>
        <v>86313</v>
      </c>
      <c r="T29" s="208">
        <f>SUM(($T$27-$T$28))</f>
        <v>64809</v>
      </c>
      <c r="U29" s="208">
        <f>SUM(($U$27-$U$28))</f>
        <v>67394</v>
      </c>
      <c r="V29" s="208">
        <f>SUM(($V$27-$V$28))</f>
        <v>236619</v>
      </c>
      <c r="W29" s="208">
        <f>SUM(($W$27-$W$28))</f>
        <v>288432</v>
      </c>
      <c r="X29" s="208">
        <f>SUM(($X$27-$X$28))</f>
        <v>251050</v>
      </c>
      <c r="Y29" s="208">
        <f>SUM(($Y$27-$Y$28))</f>
        <v>188895</v>
      </c>
      <c r="Z29" s="208">
        <f>SUM(($Z$27-$Z$28))</f>
        <v>253883</v>
      </c>
      <c r="AA29" s="208">
        <f>SUM(($AA$27-$AA$28))</f>
        <v>1206935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206</v>
      </c>
    </row>
    <row r="2" spans="1:27" ht="12" customHeight="1" x14ac:dyDescent="0.2">
      <c r="A2" s="35" t="s">
        <v>151</v>
      </c>
    </row>
    <row r="3" spans="1:27" ht="12" customHeight="1" x14ac:dyDescent="0.2">
      <c r="A3" s="35" t="s">
        <v>183</v>
      </c>
    </row>
    <row r="4" spans="1:27" ht="12" customHeight="1" x14ac:dyDescent="0.2">
      <c r="A4" s="35" t="s">
        <v>184</v>
      </c>
    </row>
    <row r="6" spans="1:27" ht="12" customHeight="1" x14ac:dyDescent="0.2">
      <c r="A6" s="36" t="s">
        <v>185</v>
      </c>
      <c r="C6" s="192" t="s">
        <v>153</v>
      </c>
      <c r="D6" s="192" t="s">
        <v>154</v>
      </c>
      <c r="E6" s="192" t="s">
        <v>155</v>
      </c>
      <c r="F6" s="192" t="s">
        <v>156</v>
      </c>
      <c r="G6" s="192" t="s">
        <v>157</v>
      </c>
      <c r="H6" s="192" t="s">
        <v>158</v>
      </c>
      <c r="I6" s="192" t="s">
        <v>159</v>
      </c>
      <c r="J6" s="192" t="s">
        <v>160</v>
      </c>
      <c r="K6" s="192" t="s">
        <v>161</v>
      </c>
      <c r="L6" s="192" t="s">
        <v>162</v>
      </c>
      <c r="M6" s="192" t="s">
        <v>163</v>
      </c>
      <c r="N6" s="192" t="s">
        <v>164</v>
      </c>
      <c r="O6" s="192" t="s">
        <v>165</v>
      </c>
      <c r="P6" s="192" t="s">
        <v>166</v>
      </c>
      <c r="Q6" s="192" t="s">
        <v>167</v>
      </c>
      <c r="R6" s="192" t="s">
        <v>168</v>
      </c>
      <c r="S6" s="192" t="s">
        <v>169</v>
      </c>
      <c r="T6" s="192" t="s">
        <v>170</v>
      </c>
      <c r="U6" s="192" t="s">
        <v>171</v>
      </c>
      <c r="V6" s="192" t="s">
        <v>172</v>
      </c>
      <c r="W6" s="192" t="s">
        <v>173</v>
      </c>
      <c r="X6" s="192" t="s">
        <v>174</v>
      </c>
      <c r="Y6" s="192" t="s">
        <v>175</v>
      </c>
      <c r="Z6" s="192" t="s">
        <v>176</v>
      </c>
      <c r="AA6" s="192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186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187</v>
      </c>
      <c r="C9" s="57">
        <f>SUM($C$7:$C$8)</f>
        <v>0</v>
      </c>
      <c r="D9" s="57">
        <f>SUM($D$7:$D$8)</f>
        <v>0</v>
      </c>
      <c r="E9" s="57">
        <f>SUM($E$7:$E$8)</f>
        <v>0</v>
      </c>
      <c r="F9" s="57">
        <f>SUM($F$7:$F$8)</f>
        <v>0</v>
      </c>
      <c r="G9" s="57">
        <f>SUM($G$7:$G$8)</f>
        <v>0</v>
      </c>
      <c r="H9" s="57">
        <f>SUM($H$7:$H$8)</f>
        <v>0</v>
      </c>
      <c r="I9" s="57">
        <f>SUM($I$7:$I$8)</f>
        <v>0</v>
      </c>
      <c r="J9" s="57">
        <f>SUM($J$7:$J$8)</f>
        <v>0</v>
      </c>
      <c r="K9" s="57">
        <f>SUM($K$7:$K$8)</f>
        <v>0</v>
      </c>
      <c r="L9" s="57">
        <f>SUM($L$7:$L$8)</f>
        <v>0</v>
      </c>
      <c r="M9" s="57">
        <f>SUM($M$7:$M$8)</f>
        <v>0</v>
      </c>
      <c r="N9" s="57">
        <f>SUM($N$7:$N$8)</f>
        <v>0</v>
      </c>
      <c r="O9" s="57">
        <f>SUM($O$7:$O$8)</f>
        <v>0</v>
      </c>
      <c r="P9" s="57">
        <f>SUM($P$7:$P$8)</f>
        <v>0</v>
      </c>
      <c r="Q9" s="57">
        <f>SUM($Q$7:$Q$8)</f>
        <v>0</v>
      </c>
      <c r="R9" s="57">
        <f>SUM($R$7:$R$8)</f>
        <v>0</v>
      </c>
      <c r="S9" s="57">
        <f>SUM($S$7:$S$8)</f>
        <v>0</v>
      </c>
      <c r="T9" s="57">
        <f>SUM($T$7:$T$8)</f>
        <v>0</v>
      </c>
      <c r="U9" s="57">
        <f>SUM($U$7:$U$8)</f>
        <v>0</v>
      </c>
      <c r="V9" s="57">
        <f>SUM($V$7:$V$8)</f>
        <v>0</v>
      </c>
      <c r="W9" s="57">
        <f>SUM($W$7:$W$8)</f>
        <v>0</v>
      </c>
      <c r="X9" s="57">
        <f>SUM($X$7:$X$8)</f>
        <v>0</v>
      </c>
      <c r="Y9" s="57">
        <f>SUM($Y$7:$Y$8)</f>
        <v>0</v>
      </c>
      <c r="Z9" s="57">
        <f>SUM($Z$7:$Z$8)</f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188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189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190</v>
      </c>
      <c r="C15" s="57">
        <f>SUM($C$11:$C$14)</f>
        <v>0</v>
      </c>
      <c r="D15" s="57">
        <f>SUM($D$11:$D$14)</f>
        <v>0</v>
      </c>
      <c r="E15" s="57">
        <f>SUM($E$11:$E$14)</f>
        <v>0</v>
      </c>
      <c r="F15" s="57">
        <f>SUM($F$11:$F$14)</f>
        <v>0</v>
      </c>
      <c r="G15" s="57">
        <f>SUM($G$11:$G$14)</f>
        <v>0</v>
      </c>
      <c r="H15" s="57">
        <f>SUM($H$11:$H$14)</f>
        <v>0</v>
      </c>
      <c r="I15" s="57">
        <f>SUM($I$11:$I$14)</f>
        <v>0</v>
      </c>
      <c r="J15" s="57">
        <f>SUM($J$11:$J$14)</f>
        <v>0</v>
      </c>
      <c r="K15" s="57">
        <f>SUM($K$11:$K$14)</f>
        <v>0</v>
      </c>
      <c r="L15" s="57">
        <f>SUM($L$11:$L$14)</f>
        <v>0</v>
      </c>
      <c r="M15" s="57">
        <f>SUM($M$11:$M$14)</f>
        <v>0</v>
      </c>
      <c r="N15" s="57">
        <f>SUM($N$11:$N$14)</f>
        <v>0</v>
      </c>
      <c r="O15" s="57">
        <f>SUM($O$11:$O$14)</f>
        <v>0</v>
      </c>
      <c r="P15" s="57">
        <f>SUM($P$11:$P$14)</f>
        <v>0</v>
      </c>
      <c r="Q15" s="57">
        <f>SUM($Q$11:$Q$14)</f>
        <v>0</v>
      </c>
      <c r="R15" s="57">
        <f>SUM($R$11:$R$14)</f>
        <v>0</v>
      </c>
      <c r="S15" s="57">
        <f>SUM($S$11:$S$14)</f>
        <v>0</v>
      </c>
      <c r="T15" s="57">
        <f>SUM($T$11:$T$14)</f>
        <v>0</v>
      </c>
      <c r="U15" s="57">
        <f>SUM($U$11:$U$14)</f>
        <v>0</v>
      </c>
      <c r="V15" s="57">
        <f>SUM($V$11:$V$14)</f>
        <v>0</v>
      </c>
      <c r="W15" s="57">
        <f>SUM($W$11:$W$14)</f>
        <v>0</v>
      </c>
      <c r="X15" s="57">
        <f>SUM($X$11:$X$14)</f>
        <v>0</v>
      </c>
      <c r="Y15" s="57">
        <f>SUM($Y$11:$Y$14)</f>
        <v>0</v>
      </c>
      <c r="Z15" s="57">
        <f>SUM($Z$11:$Z$14)</f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200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f>SUM((($C$9+$C$15)+$C$17))</f>
        <v>-6451.6129000000001</v>
      </c>
      <c r="D19" s="58">
        <f>SUM((($D$9+$D$15)+$D$17))</f>
        <v>-6451.6129000000001</v>
      </c>
      <c r="E19" s="58">
        <f>SUM((($E$9+$E$15)+$E$17))</f>
        <v>0</v>
      </c>
      <c r="F19" s="58">
        <f>SUM((($F$9+$F$15)+$F$17))</f>
        <v>0</v>
      </c>
      <c r="G19" s="58">
        <f>SUM((($G$9+$G$15)+$G$17))</f>
        <v>0</v>
      </c>
      <c r="H19" s="58">
        <f>SUM((($H$9+$H$15)+$H$17))</f>
        <v>0</v>
      </c>
      <c r="I19" s="58">
        <f>SUM((($I$9+$I$15)+$I$17))</f>
        <v>0</v>
      </c>
      <c r="J19" s="58">
        <f>SUM((($J$9+$J$15)+$J$17))</f>
        <v>0</v>
      </c>
      <c r="K19" s="58">
        <f>SUM((($K$9+$K$15)+$K$17))</f>
        <v>0</v>
      </c>
      <c r="L19" s="58">
        <f>SUM((($L$9+$L$15)+$L$17))</f>
        <v>0</v>
      </c>
      <c r="M19" s="58">
        <f>SUM((($M$9+$M$15)+$M$17))</f>
        <v>0</v>
      </c>
      <c r="N19" s="58">
        <f>SUM((($N$9+$N$15)+$N$17))</f>
        <v>0</v>
      </c>
      <c r="O19" s="58">
        <f>SUM((($O$9+$O$15)+$O$17))</f>
        <v>0</v>
      </c>
      <c r="P19" s="58">
        <f>SUM((($P$9+$P$15)+$P$17))</f>
        <v>0</v>
      </c>
      <c r="Q19" s="58">
        <f>SUM((($Q$9+$Q$15)+$Q$17))</f>
        <v>0</v>
      </c>
      <c r="R19" s="58">
        <f>SUM((($R$9+$R$15)+$R$17))</f>
        <v>0</v>
      </c>
      <c r="S19" s="58">
        <f>SUM((($S$9+$S$15)+$S$17))</f>
        <v>0</v>
      </c>
      <c r="T19" s="58">
        <f>SUM((($T$9+$T$15)+$T$17))</f>
        <v>0</v>
      </c>
      <c r="U19" s="58">
        <f>SUM((($U$9+$U$15)+$U$17))</f>
        <v>0</v>
      </c>
      <c r="V19" s="58">
        <f>SUM((($V$9+$V$15)+$V$17))</f>
        <v>0</v>
      </c>
      <c r="W19" s="58">
        <f>SUM((($W$9+$W$15)+$W$17))</f>
        <v>0</v>
      </c>
      <c r="X19" s="58">
        <f>SUM((($X$9+$X$15)+$X$17))</f>
        <v>0</v>
      </c>
      <c r="Y19" s="58">
        <f>SUM((($Y$9+$Y$15)+$Y$17))</f>
        <v>0</v>
      </c>
      <c r="Z19" s="59">
        <f>SUM((($Z$9+$Z$15)+$Z$17))</f>
        <v>0</v>
      </c>
    </row>
    <row r="21" spans="1:27" ht="11.25" customHeight="1" x14ac:dyDescent="0.2">
      <c r="A21" s="55" t="s">
        <v>191</v>
      </c>
      <c r="C21" s="55">
        <v>-6451.6129000000001</v>
      </c>
      <c r="D21" s="55">
        <v>-6451.6129000000001</v>
      </c>
      <c r="E21" s="55">
        <v>0</v>
      </c>
      <c r="F21" s="55">
        <v>0</v>
      </c>
      <c r="G21" s="55">
        <v>-5000</v>
      </c>
      <c r="H21" s="55">
        <v>-5000</v>
      </c>
      <c r="I21" s="55">
        <v>-5000</v>
      </c>
      <c r="J21" s="55">
        <v>-5000</v>
      </c>
      <c r="K21" s="55">
        <v>-5000</v>
      </c>
      <c r="L21" s="55">
        <v>-5000</v>
      </c>
      <c r="M21" s="55">
        <v>-5000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f>SUM(($C$19-$C$21))</f>
        <v>0</v>
      </c>
      <c r="D22" s="39">
        <f>SUM(($D$19-$D$21))</f>
        <v>0</v>
      </c>
      <c r="E22" s="39">
        <f>SUM(($E$19-$E$21))</f>
        <v>0</v>
      </c>
      <c r="F22" s="39">
        <f>SUM(($F$19-$F$21))</f>
        <v>0</v>
      </c>
      <c r="G22" s="39">
        <f>SUM(($G$19-$G$21))</f>
        <v>5000</v>
      </c>
      <c r="H22" s="39">
        <f>SUM(($H$19-$H$21))</f>
        <v>5000</v>
      </c>
      <c r="I22" s="39">
        <f>SUM(($I$19-$I$21))</f>
        <v>5000</v>
      </c>
      <c r="J22" s="39">
        <f>SUM(($J$19-$J$21))</f>
        <v>5000</v>
      </c>
      <c r="K22" s="39">
        <f>SUM(($K$19-$K$21))</f>
        <v>5000</v>
      </c>
      <c r="L22" s="39">
        <f>SUM(($L$19-$L$21))</f>
        <v>5000</v>
      </c>
      <c r="M22" s="39">
        <f>SUM(($M$19-$M$21))</f>
        <v>5000</v>
      </c>
      <c r="N22" s="39">
        <f>SUM(($N$19-$N$21))</f>
        <v>0</v>
      </c>
      <c r="O22" s="39">
        <f>SUM(($O$19-$O$21))</f>
        <v>0</v>
      </c>
      <c r="P22" s="39">
        <f>SUM(($P$19-$P$21))</f>
        <v>0</v>
      </c>
      <c r="Q22" s="39">
        <f>SUM(($Q$19-$Q$21))</f>
        <v>0</v>
      </c>
      <c r="R22" s="39">
        <f>SUM(($R$19-$R$21))</f>
        <v>0</v>
      </c>
      <c r="S22" s="39">
        <f>SUM(($S$19-$S$21))</f>
        <v>0</v>
      </c>
      <c r="T22" s="39">
        <f>SUM(($T$19-$T$21))</f>
        <v>0</v>
      </c>
      <c r="U22" s="39">
        <f>SUM(($U$19-$U$21))</f>
        <v>0</v>
      </c>
      <c r="V22" s="39">
        <f>SUM(($V$19-$V$21))</f>
        <v>0</v>
      </c>
      <c r="W22" s="39">
        <f>SUM(($W$19-$W$21))</f>
        <v>0</v>
      </c>
      <c r="X22" s="39">
        <f>SUM(($X$19-$X$21))</f>
        <v>0</v>
      </c>
      <c r="Y22" s="39">
        <f>SUM(($Y$19-$Y$21))</f>
        <v>0</v>
      </c>
      <c r="Z22" s="39">
        <f>SUM(($Z$19-$Z$21))</f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192</v>
      </c>
      <c r="C25" s="55">
        <v>74038</v>
      </c>
      <c r="D25" s="55">
        <v>149208</v>
      </c>
      <c r="E25" s="55">
        <v>137486</v>
      </c>
      <c r="F25" s="55">
        <v>145861</v>
      </c>
      <c r="G25" s="55">
        <v>-19521</v>
      </c>
      <c r="H25" s="55">
        <v>-20127</v>
      </c>
      <c r="I25" s="55">
        <v>-19433</v>
      </c>
      <c r="J25" s="55">
        <v>-20027</v>
      </c>
      <c r="K25" s="55">
        <v>-19981</v>
      </c>
      <c r="L25" s="55">
        <v>-19299</v>
      </c>
      <c r="M25" s="55">
        <v>-19895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f>SUM($C$25:$Z$25)</f>
        <v>368310</v>
      </c>
    </row>
    <row r="26" spans="1:27" ht="11.25" customHeight="1" x14ac:dyDescent="0.2">
      <c r="A26" s="55" t="s">
        <v>193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f>SUM($C$26:$Z$26)</f>
        <v>0</v>
      </c>
    </row>
    <row r="27" spans="1:27" ht="11.25" customHeight="1" x14ac:dyDescent="0.2">
      <c r="A27" s="37" t="s">
        <v>194</v>
      </c>
      <c r="B27" s="58"/>
      <c r="C27" s="58">
        <f>SUM($C$25:$C$26)</f>
        <v>74038</v>
      </c>
      <c r="D27" s="58">
        <f>SUM($D$25:$D$26)</f>
        <v>149208</v>
      </c>
      <c r="E27" s="58">
        <f>SUM($E$25:$E$26)</f>
        <v>137486</v>
      </c>
      <c r="F27" s="58">
        <f>SUM($F$25:$F$26)</f>
        <v>145861</v>
      </c>
      <c r="G27" s="58">
        <f>SUM($G$25:$G$26)</f>
        <v>-19521</v>
      </c>
      <c r="H27" s="58">
        <f>SUM($H$25:$H$26)</f>
        <v>-20127</v>
      </c>
      <c r="I27" s="58">
        <f>SUM($I$25:$I$26)</f>
        <v>-19433</v>
      </c>
      <c r="J27" s="58">
        <f>SUM($J$25:$J$26)</f>
        <v>-20027</v>
      </c>
      <c r="K27" s="58">
        <f>SUM($K$25:$K$26)</f>
        <v>-19981</v>
      </c>
      <c r="L27" s="58">
        <f>SUM($L$25:$L$26)</f>
        <v>-19299</v>
      </c>
      <c r="M27" s="58">
        <f>SUM($M$25:$M$26)</f>
        <v>-19895</v>
      </c>
      <c r="N27" s="58">
        <f>SUM($N$25:$N$26)</f>
        <v>0</v>
      </c>
      <c r="O27" s="58">
        <f>SUM($O$25:$O$26)</f>
        <v>0</v>
      </c>
      <c r="P27" s="58">
        <f>SUM($P$25:$P$26)</f>
        <v>0</v>
      </c>
      <c r="Q27" s="58">
        <f>SUM($Q$25:$Q$26)</f>
        <v>0</v>
      </c>
      <c r="R27" s="58">
        <f>SUM($R$25:$R$26)</f>
        <v>0</v>
      </c>
      <c r="S27" s="58">
        <f>SUM($S$25:$S$26)</f>
        <v>0</v>
      </c>
      <c r="T27" s="58">
        <f>SUM($T$25:$T$26)</f>
        <v>0</v>
      </c>
      <c r="U27" s="58">
        <f>SUM($U$25:$U$26)</f>
        <v>0</v>
      </c>
      <c r="V27" s="58">
        <f>SUM($V$25:$V$26)</f>
        <v>0</v>
      </c>
      <c r="W27" s="58">
        <f>SUM($W$25:$W$26)</f>
        <v>0</v>
      </c>
      <c r="X27" s="58">
        <f>SUM($X$25:$X$26)</f>
        <v>0</v>
      </c>
      <c r="Y27" s="58">
        <f>SUM($Y$25:$Y$26)</f>
        <v>0</v>
      </c>
      <c r="Z27" s="58">
        <f>SUM($Z$25:$Z$26)</f>
        <v>0</v>
      </c>
      <c r="AA27" s="59">
        <f>SUM($AA$25:$AA$26)</f>
        <v>368310</v>
      </c>
    </row>
    <row r="28" spans="1:27" ht="11.25" customHeight="1" x14ac:dyDescent="0.2">
      <c r="A28" s="55" t="s">
        <v>2</v>
      </c>
      <c r="C28" s="55">
        <v>62042</v>
      </c>
      <c r="D28" s="55">
        <v>135240</v>
      </c>
      <c r="E28" s="55">
        <v>137476</v>
      </c>
      <c r="F28" s="55">
        <v>145851</v>
      </c>
      <c r="G28" s="55">
        <v>-15062</v>
      </c>
      <c r="H28" s="55">
        <v>-21657</v>
      </c>
      <c r="I28" s="55">
        <v>-26827</v>
      </c>
      <c r="J28" s="55">
        <v>-33751</v>
      </c>
      <c r="K28" s="55">
        <v>-39758</v>
      </c>
      <c r="L28" s="55">
        <v>-39863</v>
      </c>
      <c r="M28" s="55">
        <v>-45637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f>SUM($C$28:$Z$28)</f>
        <v>258054</v>
      </c>
    </row>
    <row r="29" spans="1:27" ht="11.25" customHeight="1" x14ac:dyDescent="0.2">
      <c r="A29" s="55" t="s">
        <v>0</v>
      </c>
      <c r="C29" s="39">
        <f>SUM(($C$27-$C$28))</f>
        <v>11996</v>
      </c>
      <c r="D29" s="39">
        <f>SUM(($D$27-$D$28))</f>
        <v>13968</v>
      </c>
      <c r="E29" s="39">
        <f>SUM(($E$27-$E$28))</f>
        <v>10</v>
      </c>
      <c r="F29" s="39">
        <f>SUM(($F$27-$F$28))</f>
        <v>10</v>
      </c>
      <c r="G29" s="39">
        <f>SUM(($G$27-$G$28))</f>
        <v>-4459</v>
      </c>
      <c r="H29" s="39">
        <f>SUM(($H$27-$H$28))</f>
        <v>1530</v>
      </c>
      <c r="I29" s="39">
        <f>SUM(($I$27-$I$28))</f>
        <v>7394</v>
      </c>
      <c r="J29" s="39">
        <f>SUM(($J$27-$J$28))</f>
        <v>13724</v>
      </c>
      <c r="K29" s="39">
        <f>SUM(($K$27-$K$28))</f>
        <v>19777</v>
      </c>
      <c r="L29" s="39">
        <f>SUM(($L$27-$L$28))</f>
        <v>20564</v>
      </c>
      <c r="M29" s="39">
        <f>SUM(($M$27-$M$28))</f>
        <v>25742</v>
      </c>
      <c r="N29" s="39">
        <f>SUM(($N$27-$N$28))</f>
        <v>0</v>
      </c>
      <c r="O29" s="39">
        <f>SUM(($O$27-$O$28))</f>
        <v>0</v>
      </c>
      <c r="P29" s="39">
        <f>SUM(($P$27-$P$28))</f>
        <v>0</v>
      </c>
      <c r="Q29" s="39">
        <f>SUM(($Q$27-$Q$28))</f>
        <v>0</v>
      </c>
      <c r="R29" s="39">
        <f>SUM(($R$27-$R$28))</f>
        <v>0</v>
      </c>
      <c r="S29" s="39">
        <f>SUM(($S$27-$S$28))</f>
        <v>0</v>
      </c>
      <c r="T29" s="39">
        <f>SUM(($T$27-$T$28))</f>
        <v>0</v>
      </c>
      <c r="U29" s="39">
        <f>SUM(($U$27-$U$28))</f>
        <v>0</v>
      </c>
      <c r="V29" s="39">
        <f>SUM(($V$27-$V$28))</f>
        <v>0</v>
      </c>
      <c r="W29" s="39">
        <f>SUM(($W$27-$W$28))</f>
        <v>0</v>
      </c>
      <c r="X29" s="39">
        <f>SUM(($X$27-$X$28))</f>
        <v>0</v>
      </c>
      <c r="Y29" s="39">
        <f>SUM(($Y$27-$Y$28))</f>
        <v>0</v>
      </c>
      <c r="Z29" s="39">
        <f>SUM(($Z$27-$Z$28))</f>
        <v>0</v>
      </c>
      <c r="AA29" s="39">
        <f>SUM(($AA$27-$AA$28))</f>
        <v>110256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195</v>
      </c>
    </row>
    <row r="2" spans="1:27" ht="12" customHeight="1" x14ac:dyDescent="0.2">
      <c r="A2" s="2" t="s">
        <v>151</v>
      </c>
    </row>
    <row r="3" spans="1:27" ht="12" customHeight="1" x14ac:dyDescent="0.2">
      <c r="A3" s="2" t="s">
        <v>183</v>
      </c>
    </row>
    <row r="4" spans="1:27" ht="12" customHeight="1" x14ac:dyDescent="0.2">
      <c r="A4" s="2" t="s">
        <v>184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153</v>
      </c>
      <c r="D8" s="51" t="s">
        <v>154</v>
      </c>
      <c r="E8" s="51" t="s">
        <v>155</v>
      </c>
      <c r="F8" s="51" t="s">
        <v>156</v>
      </c>
      <c r="G8" s="51" t="s">
        <v>157</v>
      </c>
      <c r="H8" s="51" t="s">
        <v>158</v>
      </c>
      <c r="I8" s="51" t="s">
        <v>159</v>
      </c>
      <c r="J8" s="51" t="s">
        <v>160</v>
      </c>
      <c r="K8" s="51" t="s">
        <v>161</v>
      </c>
      <c r="L8" s="51" t="s">
        <v>162</v>
      </c>
      <c r="M8" s="51" t="s">
        <v>163</v>
      </c>
      <c r="N8" s="51" t="s">
        <v>164</v>
      </c>
      <c r="O8" s="51" t="s">
        <v>165</v>
      </c>
      <c r="P8" s="51" t="s">
        <v>166</v>
      </c>
      <c r="Q8" s="51" t="s">
        <v>167</v>
      </c>
      <c r="R8" s="51" t="s">
        <v>168</v>
      </c>
      <c r="S8" s="51" t="s">
        <v>169</v>
      </c>
      <c r="T8" s="51" t="s">
        <v>170</v>
      </c>
      <c r="U8" s="51" t="s">
        <v>171</v>
      </c>
      <c r="V8" s="51" t="s">
        <v>172</v>
      </c>
      <c r="W8" s="51" t="s">
        <v>173</v>
      </c>
      <c r="X8" s="51" t="s">
        <v>174</v>
      </c>
      <c r="Y8" s="51" t="s">
        <v>175</v>
      </c>
      <c r="Z8" s="51" t="s">
        <v>176</v>
      </c>
      <c r="AA8" s="51" t="s">
        <v>40</v>
      </c>
    </row>
    <row r="9" spans="1:27" ht="12" customHeight="1" x14ac:dyDescent="0.2">
      <c r="A9" s="142" t="s">
        <v>185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f>SUM($C$10:$Z$10)</f>
        <v>0</v>
      </c>
    </row>
    <row r="11" spans="1:27" ht="11.25" customHeight="1" x14ac:dyDescent="0.2">
      <c r="A11" s="143" t="s">
        <v>196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f>SUM($C$11:$Z$11)</f>
        <v>0</v>
      </c>
    </row>
    <row r="12" spans="1:27" ht="11.25" customHeight="1" x14ac:dyDescent="0.2">
      <c r="A12" s="143" t="s">
        <v>0</v>
      </c>
      <c r="C12" s="145">
        <f>SUM(($C$10-$C$11))</f>
        <v>0</v>
      </c>
      <c r="D12" s="145">
        <f>SUM(($D$10-$D$11))</f>
        <v>0</v>
      </c>
      <c r="E12" s="145">
        <f>SUM(($E$10-$E$11))</f>
        <v>0</v>
      </c>
      <c r="F12" s="145">
        <f>SUM(($F$10-$F$11))</f>
        <v>0</v>
      </c>
      <c r="G12" s="145">
        <f>SUM(($G$10-$G$11))</f>
        <v>0</v>
      </c>
      <c r="H12" s="145">
        <f>SUM(($H$10-$H$11))</f>
        <v>0</v>
      </c>
      <c r="I12" s="145">
        <f>SUM(($I$10-$I$11))</f>
        <v>0</v>
      </c>
      <c r="J12" s="145">
        <f>SUM(($J$10-$J$11))</f>
        <v>0</v>
      </c>
      <c r="K12" s="145">
        <f>SUM(($K$10-$K$11))</f>
        <v>0</v>
      </c>
      <c r="L12" s="145">
        <f>SUM(($L$10-$L$11))</f>
        <v>0</v>
      </c>
      <c r="M12" s="145">
        <f>SUM(($M$10-$M$11))</f>
        <v>0</v>
      </c>
      <c r="N12" s="145">
        <f>SUM(($N$10-$N$11))</f>
        <v>0</v>
      </c>
      <c r="O12" s="145">
        <f>SUM(($O$10-$O$11))</f>
        <v>0</v>
      </c>
      <c r="P12" s="145">
        <f>SUM(($P$10-$P$11))</f>
        <v>0</v>
      </c>
      <c r="Q12" s="145">
        <f>SUM(($Q$10-$Q$11))</f>
        <v>0</v>
      </c>
      <c r="R12" s="145">
        <f>SUM(($R$10-$R$11))</f>
        <v>0</v>
      </c>
      <c r="S12" s="145">
        <f>SUM(($S$10-$S$11))</f>
        <v>0</v>
      </c>
      <c r="T12" s="145">
        <f>SUM(($T$10-$T$11))</f>
        <v>0</v>
      </c>
      <c r="U12" s="145">
        <f>SUM(($U$10-$U$11))</f>
        <v>0</v>
      </c>
      <c r="V12" s="145">
        <f>SUM(($V$10-$V$11))</f>
        <v>0</v>
      </c>
      <c r="W12" s="145">
        <f>SUM(($W$10-$W$11))</f>
        <v>0</v>
      </c>
      <c r="X12" s="145">
        <f>SUM(($X$10-$X$11))</f>
        <v>0</v>
      </c>
      <c r="Y12" s="145">
        <f>SUM(($Y$10-$Y$11))</f>
        <v>0</v>
      </c>
      <c r="Z12" s="145">
        <f>SUM(($Z$10-$Z$11))</f>
        <v>0</v>
      </c>
      <c r="AA12" s="145">
        <f>SUM(($AA$10-$AA$11))</f>
        <v>0</v>
      </c>
    </row>
    <row r="14" spans="1:27" ht="12" customHeight="1" x14ac:dyDescent="0.2">
      <c r="A14" s="142" t="s">
        <v>197</v>
      </c>
    </row>
    <row r="15" spans="1:27" ht="11.25" customHeight="1" x14ac:dyDescent="0.2">
      <c r="A15" s="143" t="s">
        <v>42</v>
      </c>
      <c r="C15" s="146">
        <v>2.81</v>
      </c>
      <c r="D15" s="146">
        <v>2.99</v>
      </c>
      <c r="E15" s="146">
        <v>3.04</v>
      </c>
      <c r="F15" s="146">
        <v>3.01</v>
      </c>
      <c r="G15" s="146">
        <v>2.95</v>
      </c>
      <c r="H15" s="146">
        <v>2.98</v>
      </c>
      <c r="I15" s="146">
        <v>3.02</v>
      </c>
      <c r="J15" s="146">
        <v>3.06</v>
      </c>
      <c r="K15" s="146">
        <v>3.09</v>
      </c>
      <c r="L15" s="146">
        <v>3.1</v>
      </c>
      <c r="M15" s="146">
        <v>3.12</v>
      </c>
      <c r="N15" s="146">
        <v>3.3</v>
      </c>
      <c r="O15" s="146">
        <v>3.48</v>
      </c>
      <c r="P15" s="146">
        <v>3.58</v>
      </c>
      <c r="Q15" s="146">
        <v>3.51</v>
      </c>
      <c r="R15" s="146">
        <v>3.4</v>
      </c>
      <c r="S15" s="146">
        <v>3.28</v>
      </c>
      <c r="T15" s="146">
        <v>3.27</v>
      </c>
      <c r="U15" s="146">
        <v>3.3</v>
      </c>
      <c r="V15" s="146">
        <v>3.33</v>
      </c>
      <c r="W15" s="146">
        <v>3.36</v>
      </c>
      <c r="X15" s="146">
        <v>3.36</v>
      </c>
      <c r="Y15" s="146">
        <v>3.4</v>
      </c>
      <c r="Z15" s="146">
        <v>3.54</v>
      </c>
      <c r="AA15" s="146"/>
    </row>
    <row r="16" spans="1:27" ht="11.25" customHeight="1" x14ac:dyDescent="0.2">
      <c r="A16" s="143" t="s">
        <v>196</v>
      </c>
      <c r="C16" s="146">
        <v>2.87</v>
      </c>
      <c r="D16" s="146">
        <v>3.06</v>
      </c>
      <c r="E16" s="146">
        <v>3.1</v>
      </c>
      <c r="F16" s="146">
        <v>3.06</v>
      </c>
      <c r="G16" s="146">
        <v>3.03</v>
      </c>
      <c r="H16" s="146">
        <v>3.07</v>
      </c>
      <c r="I16" s="146">
        <v>3.11</v>
      </c>
      <c r="J16" s="146">
        <v>3.15</v>
      </c>
      <c r="K16" s="146">
        <v>3.18</v>
      </c>
      <c r="L16" s="146">
        <v>3.19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f>SUM(($C$15-$C$16))</f>
        <v>-6.0000000000000053E-2</v>
      </c>
      <c r="D17" s="147">
        <f>SUM(($D$15-$D$16))</f>
        <v>-6.999999999999984E-2</v>
      </c>
      <c r="E17" s="147">
        <f>SUM(($E$15-$E$16))</f>
        <v>-6.0000000000000053E-2</v>
      </c>
      <c r="F17" s="147">
        <f>SUM(($F$15-$F$16))</f>
        <v>-5.0000000000000266E-2</v>
      </c>
      <c r="G17" s="147">
        <f>SUM(($G$15-$G$16))</f>
        <v>-7.9999999999999627E-2</v>
      </c>
      <c r="H17" s="147">
        <f>SUM(($H$15-$H$16))</f>
        <v>-8.9999999999999858E-2</v>
      </c>
      <c r="I17" s="147">
        <f>SUM(($I$15-$I$16))</f>
        <v>-8.9999999999999858E-2</v>
      </c>
      <c r="J17" s="147">
        <f>SUM(($J$15-$J$16))</f>
        <v>-8.9999999999999858E-2</v>
      </c>
      <c r="K17" s="147">
        <f>SUM(($K$15-$K$16))</f>
        <v>-9.0000000000000302E-2</v>
      </c>
      <c r="L17" s="147">
        <f>SUM(($L$15-$L$16))</f>
        <v>-8.9999999999999858E-2</v>
      </c>
      <c r="M17" s="147">
        <f>SUM(($M$15-$M$16))</f>
        <v>-0.10000000000000009</v>
      </c>
      <c r="N17" s="147">
        <f>SUM(($N$15-$N$16))</f>
        <v>-0.11000000000000032</v>
      </c>
      <c r="O17" s="147">
        <f>SUM(($O$15-$O$16))</f>
        <v>-0.10999999999999988</v>
      </c>
      <c r="P17" s="147">
        <f>SUM(($P$15-$P$16))</f>
        <v>-0.12000000000000011</v>
      </c>
      <c r="Q17" s="147">
        <f>SUM(($Q$15-$Q$16))</f>
        <v>-0.12000000000000011</v>
      </c>
      <c r="R17" s="147">
        <f>SUM(($R$15-$R$16))</f>
        <v>-0.12000000000000011</v>
      </c>
      <c r="S17" s="147">
        <f>SUM(($S$15-$S$16))</f>
        <v>-0.13000000000000034</v>
      </c>
      <c r="T17" s="147">
        <f>SUM(($T$15-$T$16))</f>
        <v>-0.14999999999999991</v>
      </c>
      <c r="U17" s="147">
        <f>SUM(($U$15-$U$16))</f>
        <v>-0.15000000000000036</v>
      </c>
      <c r="V17" s="147">
        <f>SUM(($V$15-$V$16))</f>
        <v>-0.14999999999999991</v>
      </c>
      <c r="W17" s="147">
        <f>SUM(($W$15-$W$16))</f>
        <v>-0.14999999999999991</v>
      </c>
      <c r="X17" s="147">
        <f>SUM(($X$15-$X$16))</f>
        <v>-0.16000000000000014</v>
      </c>
      <c r="Y17" s="147">
        <f>SUM(($Y$15-$Y$16))</f>
        <v>-0.16000000000000014</v>
      </c>
      <c r="Z17" s="147">
        <f>SUM(($Z$15-$Z$16))</f>
        <v>-0.16999999999999993</v>
      </c>
      <c r="AA17" s="146"/>
    </row>
    <row r="19" spans="1:27" ht="12" customHeight="1" x14ac:dyDescent="0.2">
      <c r="A19" s="142" t="s">
        <v>198</v>
      </c>
    </row>
    <row r="20" spans="1:27" ht="11.25" customHeight="1" x14ac:dyDescent="0.2">
      <c r="A20" s="143" t="s">
        <v>199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f>SUM($C$20:$Z$20)</f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f>SUM($C$21:$Z$21)</f>
        <v>0</v>
      </c>
    </row>
    <row r="22" spans="1:27" ht="11.25" customHeight="1" x14ac:dyDescent="0.2">
      <c r="A22" s="143" t="s">
        <v>0</v>
      </c>
      <c r="C22" s="145">
        <f>SUM(($C$20-$C$21))</f>
        <v>0</v>
      </c>
      <c r="D22" s="145">
        <f>SUM(($D$20-$D$21))</f>
        <v>0</v>
      </c>
      <c r="E22" s="145">
        <f>SUM(($E$20-$E$21))</f>
        <v>0</v>
      </c>
      <c r="F22" s="145">
        <f>SUM(($F$20-$F$21))</f>
        <v>0</v>
      </c>
      <c r="G22" s="145">
        <f>SUM(($G$20-$G$21))</f>
        <v>0</v>
      </c>
      <c r="H22" s="145">
        <f>SUM(($H$20-$H$21))</f>
        <v>0</v>
      </c>
      <c r="I22" s="145">
        <f>SUM(($I$20-$I$21))</f>
        <v>0</v>
      </c>
      <c r="J22" s="145">
        <f>SUM(($J$20-$J$21))</f>
        <v>0</v>
      </c>
      <c r="K22" s="145">
        <f>SUM(($K$20-$K$21))</f>
        <v>0</v>
      </c>
      <c r="L22" s="145">
        <f>SUM(($L$20-$L$21))</f>
        <v>0</v>
      </c>
      <c r="M22" s="145">
        <f>SUM(($M$20-$M$21))</f>
        <v>0</v>
      </c>
      <c r="N22" s="145">
        <f>SUM(($N$20-$N$21))</f>
        <v>0</v>
      </c>
      <c r="O22" s="145">
        <f>SUM(($O$20-$O$21))</f>
        <v>0</v>
      </c>
      <c r="P22" s="145">
        <f>SUM(($P$20-$P$21))</f>
        <v>0</v>
      </c>
      <c r="Q22" s="145">
        <f>SUM(($Q$20-$Q$21))</f>
        <v>0</v>
      </c>
      <c r="R22" s="145">
        <f>SUM(($R$20-$R$21))</f>
        <v>0</v>
      </c>
      <c r="S22" s="145">
        <f>SUM(($S$20-$S$21))</f>
        <v>0</v>
      </c>
      <c r="T22" s="145">
        <f>SUM(($T$20-$T$21))</f>
        <v>0</v>
      </c>
      <c r="U22" s="145">
        <f>SUM(($U$20-$U$21))</f>
        <v>0</v>
      </c>
      <c r="V22" s="145">
        <f>SUM(($V$20-$V$21))</f>
        <v>0</v>
      </c>
      <c r="W22" s="145">
        <f>SUM(($W$20-$W$21))</f>
        <v>0</v>
      </c>
      <c r="X22" s="145">
        <f>SUM(($X$20-$X$21))</f>
        <v>0</v>
      </c>
      <c r="Y22" s="145">
        <f>SUM(($Y$20-$Y$21))</f>
        <v>0</v>
      </c>
      <c r="Z22" s="145">
        <f>SUM(($Z$20-$Z$21))</f>
        <v>0</v>
      </c>
      <c r="AA22" s="145">
        <f>SUM(($AA$20-$AA$21))</f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200</v>
      </c>
      <c r="C26" s="51" t="s">
        <v>153</v>
      </c>
      <c r="D26" s="51" t="s">
        <v>154</v>
      </c>
      <c r="E26" s="51" t="s">
        <v>155</v>
      </c>
      <c r="F26" s="51" t="s">
        <v>156</v>
      </c>
      <c r="G26" s="51" t="s">
        <v>157</v>
      </c>
      <c r="H26" s="51" t="s">
        <v>158</v>
      </c>
      <c r="I26" s="51" t="s">
        <v>159</v>
      </c>
      <c r="J26" s="51" t="s">
        <v>160</v>
      </c>
      <c r="K26" s="51" t="s">
        <v>161</v>
      </c>
      <c r="L26" s="51" t="s">
        <v>162</v>
      </c>
      <c r="M26" s="51" t="s">
        <v>163</v>
      </c>
      <c r="N26" s="51" t="s">
        <v>164</v>
      </c>
      <c r="O26" s="51" t="s">
        <v>165</v>
      </c>
      <c r="P26" s="51" t="s">
        <v>166</v>
      </c>
      <c r="Q26" s="51" t="s">
        <v>167</v>
      </c>
      <c r="R26" s="51" t="s">
        <v>168</v>
      </c>
      <c r="S26" s="51" t="s">
        <v>169</v>
      </c>
      <c r="T26" s="51" t="s">
        <v>170</v>
      </c>
      <c r="U26" s="51" t="s">
        <v>171</v>
      </c>
      <c r="V26" s="51" t="s">
        <v>172</v>
      </c>
      <c r="W26" s="51" t="s">
        <v>173</v>
      </c>
      <c r="X26" s="51" t="s">
        <v>174</v>
      </c>
      <c r="Y26" s="51" t="s">
        <v>175</v>
      </c>
      <c r="Z26" s="51" t="s">
        <v>176</v>
      </c>
      <c r="AA26" s="51" t="s">
        <v>40</v>
      </c>
    </row>
    <row r="27" spans="1:27" ht="11.25" customHeight="1" x14ac:dyDescent="0.2">
      <c r="A27" s="143" t="s">
        <v>201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f>SUM($C$27:$Z$27)</f>
        <v>303301.43599999993</v>
      </c>
    </row>
    <row r="28" spans="1:27" ht="11.25" customHeight="1" x14ac:dyDescent="0.2">
      <c r="A28" s="143" t="s">
        <v>202</v>
      </c>
      <c r="C28" s="144">
        <v>-34354.8387</v>
      </c>
      <c r="D28" s="144">
        <v>-35709.6774</v>
      </c>
      <c r="E28" s="144">
        <v>-30999.9643</v>
      </c>
      <c r="F28" s="144">
        <v>-27741.903200000001</v>
      </c>
      <c r="G28" s="144">
        <v>-20266.666700000002</v>
      </c>
      <c r="H28" s="144">
        <v>-2096.7741999999998</v>
      </c>
      <c r="I28" s="144">
        <v>-15933.3333</v>
      </c>
      <c r="J28" s="144">
        <v>-29870.9355</v>
      </c>
      <c r="K28" s="144">
        <v>-32322.5484</v>
      </c>
      <c r="L28" s="144">
        <v>-27900</v>
      </c>
      <c r="M28" s="144">
        <v>-24354.8387</v>
      </c>
      <c r="N28" s="144">
        <v>-25099.966700000001</v>
      </c>
      <c r="O28" s="144">
        <v>-25129.032299999999</v>
      </c>
      <c r="P28" s="144">
        <v>-27290.354800000001</v>
      </c>
      <c r="Q28" s="144">
        <v>-24321.428599999999</v>
      </c>
      <c r="R28" s="144">
        <v>-21193.5484</v>
      </c>
      <c r="S28" s="144">
        <v>-13533.3333</v>
      </c>
      <c r="T28" s="144">
        <v>-15774.193499999999</v>
      </c>
      <c r="U28" s="144">
        <v>-15933.3</v>
      </c>
      <c r="V28" s="144">
        <v>-25193.6129</v>
      </c>
      <c r="W28" s="144">
        <v>-28935.516100000001</v>
      </c>
      <c r="X28" s="144">
        <v>-26666.666700000002</v>
      </c>
      <c r="Y28" s="144">
        <v>-22451.645199999999</v>
      </c>
      <c r="Z28" s="144">
        <v>-23700</v>
      </c>
      <c r="AA28" s="144">
        <f>SUM($C$28:$Z$28)</f>
        <v>-576774.07889999996</v>
      </c>
    </row>
    <row r="29" spans="1:27" ht="11.25" customHeight="1" x14ac:dyDescent="0.2">
      <c r="A29" s="143" t="s">
        <v>203</v>
      </c>
      <c r="C29" s="145">
        <f>SUM($C$27:$C$28)</f>
        <v>-1181.2441000000035</v>
      </c>
      <c r="D29" s="145">
        <f>SUM($D$27:$D$28)</f>
        <v>-2536.0828000000038</v>
      </c>
      <c r="E29" s="145">
        <f>SUM($E$27:$E$28)</f>
        <v>2173.6302999999971</v>
      </c>
      <c r="F29" s="145">
        <f>SUM($F$27:$F$28)</f>
        <v>5431.6913999999961</v>
      </c>
      <c r="G29" s="145">
        <f>SUM($G$27:$G$28)</f>
        <v>-6049.411900000001</v>
      </c>
      <c r="H29" s="145">
        <f>SUM($H$27:$H$28)</f>
        <v>12120.480600000001</v>
      </c>
      <c r="I29" s="145">
        <f>SUM($I$27:$I$28)</f>
        <v>-1716.0784999999996</v>
      </c>
      <c r="J29" s="145">
        <f>SUM($J$27:$J$28)</f>
        <v>-15653.680699999999</v>
      </c>
      <c r="K29" s="145">
        <f>SUM($K$27:$K$28)</f>
        <v>-18105.293599999997</v>
      </c>
      <c r="L29" s="145">
        <f>SUM($L$27:$L$28)</f>
        <v>-13682.745199999999</v>
      </c>
      <c r="M29" s="145">
        <f>SUM($M$27:$M$28)</f>
        <v>-10137.5839</v>
      </c>
      <c r="N29" s="145">
        <f>SUM($N$27:$N$28)</f>
        <v>-10882.7119</v>
      </c>
      <c r="O29" s="145">
        <f>SUM($O$27:$O$28)</f>
        <v>-10911.777499999998</v>
      </c>
      <c r="P29" s="145">
        <f>SUM($P$27:$P$28)</f>
        <v>-13073.1</v>
      </c>
      <c r="Q29" s="145">
        <f>SUM($Q$27:$Q$28)</f>
        <v>-10104.173799999999</v>
      </c>
      <c r="R29" s="145">
        <f>SUM($R$27:$R$28)</f>
        <v>-6976.2935999999991</v>
      </c>
      <c r="S29" s="145">
        <f>SUM($S$27:$S$28)</f>
        <v>-13533.3333</v>
      </c>
      <c r="T29" s="145">
        <f>SUM($T$27:$T$28)</f>
        <v>-15774.193499999999</v>
      </c>
      <c r="U29" s="145">
        <f>SUM($U$27:$U$28)</f>
        <v>-15933.3</v>
      </c>
      <c r="V29" s="145">
        <f>SUM($V$27:$V$28)</f>
        <v>-25193.6129</v>
      </c>
      <c r="W29" s="145">
        <f>SUM($W$27:$W$28)</f>
        <v>-28935.516100000001</v>
      </c>
      <c r="X29" s="145">
        <f>SUM($X$27:$X$28)</f>
        <v>-26666.666700000002</v>
      </c>
      <c r="Y29" s="145">
        <f>SUM($Y$27:$Y$28)</f>
        <v>-22451.645199999999</v>
      </c>
      <c r="Z29" s="145">
        <f>SUM($Z$27:$Z$28)</f>
        <v>-23700</v>
      </c>
      <c r="AA29" s="145">
        <f>SUM($AA$27:$AA$28)</f>
        <v>-273472.64290000004</v>
      </c>
    </row>
    <row r="30" spans="1:27" ht="13.5" customHeight="1" thickBot="1" x14ac:dyDescent="0.25"/>
    <row r="31" spans="1:27" ht="12" customHeight="1" thickBot="1" x14ac:dyDescent="0.25">
      <c r="A31" s="50" t="s">
        <v>204</v>
      </c>
      <c r="C31" s="51" t="s">
        <v>153</v>
      </c>
      <c r="D31" s="51" t="s">
        <v>154</v>
      </c>
      <c r="E31" s="51" t="s">
        <v>155</v>
      </c>
      <c r="F31" s="51" t="s">
        <v>156</v>
      </c>
      <c r="G31" s="51" t="s">
        <v>157</v>
      </c>
      <c r="H31" s="51" t="s">
        <v>158</v>
      </c>
      <c r="I31" s="51" t="s">
        <v>159</v>
      </c>
      <c r="J31" s="51" t="s">
        <v>160</v>
      </c>
      <c r="K31" s="51" t="s">
        <v>161</v>
      </c>
      <c r="L31" s="51" t="s">
        <v>162</v>
      </c>
      <c r="M31" s="51" t="s">
        <v>163</v>
      </c>
      <c r="N31" s="51" t="s">
        <v>164</v>
      </c>
      <c r="O31" s="51" t="s">
        <v>165</v>
      </c>
      <c r="P31" s="51" t="s">
        <v>166</v>
      </c>
      <c r="Q31" s="51" t="s">
        <v>167</v>
      </c>
      <c r="R31" s="51" t="s">
        <v>168</v>
      </c>
      <c r="S31" s="51" t="s">
        <v>169</v>
      </c>
      <c r="T31" s="51" t="s">
        <v>170</v>
      </c>
      <c r="U31" s="51" t="s">
        <v>171</v>
      </c>
      <c r="V31" s="51" t="s">
        <v>172</v>
      </c>
      <c r="W31" s="51" t="s">
        <v>173</v>
      </c>
      <c r="X31" s="51" t="s">
        <v>174</v>
      </c>
      <c r="Y31" s="51" t="s">
        <v>175</v>
      </c>
      <c r="Z31" s="51" t="s">
        <v>176</v>
      </c>
      <c r="AA31" s="51" t="s">
        <v>40</v>
      </c>
    </row>
    <row r="32" spans="1:27" ht="11.25" customHeight="1" x14ac:dyDescent="0.2">
      <c r="A32" s="143" t="s">
        <v>204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f>SUM($C$32:$Z$32)</f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203</v>
      </c>
      <c r="B34" s="149"/>
      <c r="C34" s="150">
        <f>SUM(($C$29+$C$32))</f>
        <v>-1181.2441000000035</v>
      </c>
      <c r="D34" s="150">
        <f>SUM(($D$29+$D$32))</f>
        <v>-7275.1677000000036</v>
      </c>
      <c r="E34" s="150">
        <f>SUM(($E$29+$E$32))</f>
        <v>-2565.4546000000028</v>
      </c>
      <c r="F34" s="150">
        <f>SUM(($F$29+$F$32))</f>
        <v>692.60649999999623</v>
      </c>
      <c r="G34" s="150">
        <f>SUM(($G$29+$G$32))</f>
        <v>-10788.496800000001</v>
      </c>
      <c r="H34" s="150">
        <f>SUM(($H$29+$H$32))</f>
        <v>7381.3957000000009</v>
      </c>
      <c r="I34" s="150">
        <f>SUM(($I$29+$I$32))</f>
        <v>-1716.0784999999996</v>
      </c>
      <c r="J34" s="150">
        <f>SUM(($J$29+$J$32))</f>
        <v>-15653.680699999999</v>
      </c>
      <c r="K34" s="150">
        <f>SUM(($K$29+$K$32))</f>
        <v>-18105.293599999997</v>
      </c>
      <c r="L34" s="150">
        <f>SUM(($L$29+$L$32))</f>
        <v>-13682.745199999999</v>
      </c>
      <c r="M34" s="150">
        <f>SUM(($M$29+$M$32))</f>
        <v>-10137.5839</v>
      </c>
      <c r="N34" s="150">
        <f>SUM(($N$29+$N$32))</f>
        <v>-6143.6270000000004</v>
      </c>
      <c r="O34" s="150">
        <f>SUM(($O$29+$O$32))</f>
        <v>-6172.6925999999985</v>
      </c>
      <c r="P34" s="150">
        <f>SUM(($P$29+$P$32))</f>
        <v>-8334.0151000000005</v>
      </c>
      <c r="Q34" s="150">
        <f>SUM(($Q$29+$Q$32))</f>
        <v>-5365.0888999999988</v>
      </c>
      <c r="R34" s="150">
        <f>SUM(($R$29+$R$32))</f>
        <v>-2237.2086999999992</v>
      </c>
      <c r="S34" s="150">
        <f>SUM(($S$29+$S$32))</f>
        <v>-4055.1633999999995</v>
      </c>
      <c r="T34" s="150">
        <f>SUM(($T$29+$T$32))</f>
        <v>-6296.0235999999986</v>
      </c>
      <c r="U34" s="150">
        <f>SUM(($U$29+$U$32))</f>
        <v>-6455.1300999999985</v>
      </c>
      <c r="V34" s="150">
        <f>SUM(($V$29+$V$32))</f>
        <v>-15715.442999999999</v>
      </c>
      <c r="W34" s="150">
        <f>SUM(($W$29+$W$32))</f>
        <v>-19457.3462</v>
      </c>
      <c r="X34" s="150">
        <f>SUM(($X$29+$X$32))</f>
        <v>-17188.496800000001</v>
      </c>
      <c r="Y34" s="150">
        <f>SUM(($Y$29+$Y$32))</f>
        <v>-12973.475299999998</v>
      </c>
      <c r="Z34" s="150">
        <f>SUM(($Z$29+$Z$32))</f>
        <v>-23700</v>
      </c>
      <c r="AA34" s="151">
        <f>SUM(($AA$29+$AA$32))</f>
        <v>-207125.45360000004</v>
      </c>
    </row>
    <row r="36" spans="1:27" ht="12" customHeight="1" x14ac:dyDescent="0.2">
      <c r="A36" s="142" t="s">
        <v>196</v>
      </c>
    </row>
    <row r="37" spans="1:27" ht="11.25" customHeight="1" x14ac:dyDescent="0.2">
      <c r="A37" s="143" t="s">
        <v>201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f>SUM($C$37:$Z$37)</f>
        <v>303301.43599999993</v>
      </c>
    </row>
    <row r="38" spans="1:27" ht="11.25" customHeight="1" x14ac:dyDescent="0.2">
      <c r="A38" s="143" t="s">
        <v>202</v>
      </c>
      <c r="C38" s="144">
        <v>-33032.258099999999</v>
      </c>
      <c r="D38" s="144">
        <v>-34741.9355</v>
      </c>
      <c r="E38" s="144">
        <v>-30249.9643</v>
      </c>
      <c r="F38" s="144">
        <v>-27225.7742</v>
      </c>
      <c r="G38" s="144">
        <v>-19366.666700000002</v>
      </c>
      <c r="H38" s="144">
        <v>-2000</v>
      </c>
      <c r="I38" s="144">
        <v>-15366.6667</v>
      </c>
      <c r="J38" s="144">
        <v>-29225.7742</v>
      </c>
      <c r="K38" s="144">
        <v>-31806.419399999999</v>
      </c>
      <c r="L38" s="144">
        <v>-27100</v>
      </c>
      <c r="M38" s="144">
        <v>-23290.3226</v>
      </c>
      <c r="N38" s="144">
        <v>-24033.3</v>
      </c>
      <c r="O38" s="144">
        <v>-24225.806499999999</v>
      </c>
      <c r="P38" s="144">
        <v>-26419.3871</v>
      </c>
      <c r="Q38" s="144">
        <v>-23464.2857</v>
      </c>
      <c r="R38" s="144">
        <v>-20419.354800000001</v>
      </c>
      <c r="S38" s="144">
        <v>-12900</v>
      </c>
      <c r="T38" s="144">
        <v>-14838.709699999999</v>
      </c>
      <c r="U38" s="144">
        <v>-14999.966700000001</v>
      </c>
      <c r="V38" s="144">
        <v>-24483.9355</v>
      </c>
      <c r="W38" s="144">
        <v>-28322.6129</v>
      </c>
      <c r="X38" s="144">
        <v>-26000</v>
      </c>
      <c r="Y38" s="144">
        <v>-21677.4516</v>
      </c>
      <c r="Z38" s="144">
        <v>-22733.333299999998</v>
      </c>
      <c r="AA38" s="144">
        <f>SUM($C$38:$Z$38)</f>
        <v>-557923.9254999999</v>
      </c>
    </row>
    <row r="39" spans="1:27" ht="11.25" customHeight="1" x14ac:dyDescent="0.2">
      <c r="A39" s="143" t="s">
        <v>204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f>SUM($C$39:$Z$39)</f>
        <v>66347.189299999998</v>
      </c>
    </row>
    <row r="40" spans="1:27" ht="11.25" customHeight="1" x14ac:dyDescent="0.2">
      <c r="A40" s="143" t="s">
        <v>203</v>
      </c>
      <c r="C40" s="145">
        <f>SUM($C$37:$C$39)</f>
        <v>141.33649999999761</v>
      </c>
      <c r="D40" s="145">
        <f>SUM($D$37:$D$39)</f>
        <v>-6307.4258000000027</v>
      </c>
      <c r="E40" s="145">
        <f>SUM($E$37:$E$39)</f>
        <v>-1815.4546000000028</v>
      </c>
      <c r="F40" s="145">
        <f>SUM($F$37:$F$39)</f>
        <v>1208.735499999997</v>
      </c>
      <c r="G40" s="145">
        <f>SUM($G$37:$G$39)</f>
        <v>-9888.4968000000008</v>
      </c>
      <c r="H40" s="145">
        <f>SUM($H$37:$H$39)</f>
        <v>7478.1699000000008</v>
      </c>
      <c r="I40" s="145">
        <f>SUM($I$37:$I$39)</f>
        <v>-1149.4118999999992</v>
      </c>
      <c r="J40" s="145">
        <f>SUM($J$37:$J$39)</f>
        <v>-15008.519399999999</v>
      </c>
      <c r="K40" s="145">
        <f>SUM($K$37:$K$39)</f>
        <v>-17589.164599999996</v>
      </c>
      <c r="L40" s="145">
        <f>SUM($L$37:$L$39)</f>
        <v>-12882.745199999999</v>
      </c>
      <c r="M40" s="145">
        <f>SUM($M$37:$M$39)</f>
        <v>-9073.0677999999989</v>
      </c>
      <c r="N40" s="145">
        <f>SUM($N$37:$N$39)</f>
        <v>-5076.9602999999988</v>
      </c>
      <c r="O40" s="145">
        <f>SUM($O$37:$O$39)</f>
        <v>-5269.4667999999983</v>
      </c>
      <c r="P40" s="145">
        <f>SUM($P$37:$P$39)</f>
        <v>-7463.0473999999995</v>
      </c>
      <c r="Q40" s="145">
        <f>SUM($Q$37:$Q$39)</f>
        <v>-4507.9459999999999</v>
      </c>
      <c r="R40" s="145">
        <f>SUM($R$37:$R$39)</f>
        <v>-1463.0151000000005</v>
      </c>
      <c r="S40" s="145">
        <f>SUM($S$37:$S$39)</f>
        <v>-3421.8300999999992</v>
      </c>
      <c r="T40" s="145">
        <f>SUM($T$37:$T$39)</f>
        <v>-5360.5397999999986</v>
      </c>
      <c r="U40" s="145">
        <f>SUM($U$37:$U$39)</f>
        <v>-5521.7968000000001</v>
      </c>
      <c r="V40" s="145">
        <f>SUM($V$37:$V$39)</f>
        <v>-15005.765599999999</v>
      </c>
      <c r="W40" s="145">
        <f>SUM($W$37:$W$39)</f>
        <v>-18844.442999999999</v>
      </c>
      <c r="X40" s="145">
        <f>SUM($X$37:$X$39)</f>
        <v>-16521.830099999999</v>
      </c>
      <c r="Y40" s="145">
        <f>SUM($Y$37:$Y$39)</f>
        <v>-12199.2817</v>
      </c>
      <c r="Z40" s="145">
        <f>SUM($Z$37:$Z$39)</f>
        <v>-22733.333299999998</v>
      </c>
      <c r="AA40" s="145">
        <f>SUM($AA$37:$AA$39)</f>
        <v>-188275.30019999997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201</v>
      </c>
      <c r="C43" s="144">
        <f>SUM(($C$27-$C$37))</f>
        <v>0</v>
      </c>
      <c r="D43" s="144">
        <f>SUM(($D$27-$D$37))</f>
        <v>0</v>
      </c>
      <c r="E43" s="144">
        <f>SUM(($E$27-$E$37))</f>
        <v>0</v>
      </c>
      <c r="F43" s="144">
        <f>SUM(($F$27-$F$37))</f>
        <v>0</v>
      </c>
      <c r="G43" s="144">
        <f>SUM(($G$27-$G$37))</f>
        <v>0</v>
      </c>
      <c r="H43" s="144">
        <f>SUM(($H$27-$H$37))</f>
        <v>0</v>
      </c>
      <c r="I43" s="144">
        <f>SUM(($I$27-$I$37))</f>
        <v>0</v>
      </c>
      <c r="J43" s="144">
        <f>SUM(($J$27-$J$37))</f>
        <v>0</v>
      </c>
      <c r="K43" s="144">
        <f>SUM(($K$27-$K$37))</f>
        <v>0</v>
      </c>
      <c r="L43" s="144">
        <f>SUM(($L$27-$L$37))</f>
        <v>0</v>
      </c>
      <c r="M43" s="144">
        <f>SUM(($M$27-$M$37))</f>
        <v>0</v>
      </c>
      <c r="N43" s="144">
        <f>SUM(($N$27-$N$37))</f>
        <v>0</v>
      </c>
      <c r="O43" s="144">
        <f>SUM(($O$27-$O$37))</f>
        <v>0</v>
      </c>
      <c r="P43" s="144">
        <f>SUM(($P$27-$P$37))</f>
        <v>0</v>
      </c>
      <c r="Q43" s="144">
        <f>SUM(($Q$27-$Q$37))</f>
        <v>0</v>
      </c>
      <c r="R43" s="144">
        <f>SUM(($R$27-$R$37))</f>
        <v>0</v>
      </c>
      <c r="S43" s="144">
        <f>SUM(($S$27-$S$37))</f>
        <v>0</v>
      </c>
      <c r="T43" s="144">
        <f>SUM(($T$27-$T$37))</f>
        <v>0</v>
      </c>
      <c r="U43" s="144">
        <f>SUM(($U$27-$U$37))</f>
        <v>0</v>
      </c>
      <c r="V43" s="144">
        <f>SUM(($V$27-$V$37))</f>
        <v>0</v>
      </c>
      <c r="W43" s="144">
        <f>SUM(($W$27-$W$37))</f>
        <v>0</v>
      </c>
      <c r="X43" s="144">
        <f>SUM(($X$27-$X$37))</f>
        <v>0</v>
      </c>
      <c r="Y43" s="144">
        <f>SUM(($Y$27-$Y$37))</f>
        <v>0</v>
      </c>
      <c r="Z43" s="144">
        <f>SUM(($Z$27-$Z$37))</f>
        <v>0</v>
      </c>
      <c r="AA43" s="144">
        <f>SUM(($AA$27-$AA$37))</f>
        <v>0</v>
      </c>
    </row>
    <row r="44" spans="1:27" ht="11.25" customHeight="1" x14ac:dyDescent="0.2">
      <c r="A44" s="143" t="s">
        <v>202</v>
      </c>
      <c r="C44" s="144">
        <f>SUM(($C$28-$C$38))</f>
        <v>-1322.5806000000011</v>
      </c>
      <c r="D44" s="144">
        <f>SUM(($D$28-$D$38))</f>
        <v>-967.7419000000009</v>
      </c>
      <c r="E44" s="144">
        <f>SUM(($E$28-$E$38))</f>
        <v>-750</v>
      </c>
      <c r="F44" s="144">
        <f>SUM(($F$28-$F$38))</f>
        <v>-516.12900000000081</v>
      </c>
      <c r="G44" s="144">
        <f>SUM(($G$28-$G$38))</f>
        <v>-900</v>
      </c>
      <c r="H44" s="144">
        <f>SUM(($H$28-$H$38))</f>
        <v>-96.774199999999837</v>
      </c>
      <c r="I44" s="144">
        <f>SUM(($I$28-$I$38))</f>
        <v>-566.66660000000047</v>
      </c>
      <c r="J44" s="144">
        <f>SUM(($J$28-$J$38))</f>
        <v>-645.16129999999976</v>
      </c>
      <c r="K44" s="144">
        <f>SUM(($K$28-$K$38))</f>
        <v>-516.12900000000081</v>
      </c>
      <c r="L44" s="144">
        <f>SUM(($L$28-$L$38))</f>
        <v>-800</v>
      </c>
      <c r="M44" s="144">
        <f>SUM(($M$28-$M$38))</f>
        <v>-1064.5161000000007</v>
      </c>
      <c r="N44" s="144">
        <f>SUM(($N$28-$N$38))</f>
        <v>-1066.6667000000016</v>
      </c>
      <c r="O44" s="144">
        <f>SUM(($O$28-$O$38))</f>
        <v>-903.22580000000016</v>
      </c>
      <c r="P44" s="144">
        <f>SUM(($P$28-$P$38))</f>
        <v>-870.96770000000106</v>
      </c>
      <c r="Q44" s="144">
        <f>SUM(($Q$28-$Q$38))</f>
        <v>-857.14289999999892</v>
      </c>
      <c r="R44" s="144">
        <f>SUM(($R$28-$R$38))</f>
        <v>-774.1935999999987</v>
      </c>
      <c r="S44" s="144">
        <f>SUM(($S$28-$S$38))</f>
        <v>-633.33330000000024</v>
      </c>
      <c r="T44" s="144">
        <f>SUM(($T$28-$T$38))</f>
        <v>-935.48379999999997</v>
      </c>
      <c r="U44" s="144">
        <f>SUM(($U$28-$U$38))</f>
        <v>-933.33329999999842</v>
      </c>
      <c r="V44" s="144">
        <f>SUM(($V$28-$V$38))</f>
        <v>-709.67740000000049</v>
      </c>
      <c r="W44" s="144">
        <f>SUM(($W$28-$W$38))</f>
        <v>-612.90320000000065</v>
      </c>
      <c r="X44" s="144">
        <f>SUM(($X$28-$X$38))</f>
        <v>-666.66670000000158</v>
      </c>
      <c r="Y44" s="144">
        <f>SUM(($Y$28-$Y$38))</f>
        <v>-774.1935999999987</v>
      </c>
      <c r="Z44" s="144">
        <f>SUM(($Z$28-$Z$38))</f>
        <v>-966.66670000000158</v>
      </c>
      <c r="AA44" s="144">
        <f>SUM(($AA$28-$AA$38))</f>
        <v>-18850.153400000068</v>
      </c>
    </row>
    <row r="45" spans="1:27" ht="11.25" customHeight="1" x14ac:dyDescent="0.2">
      <c r="A45" s="143" t="s">
        <v>204</v>
      </c>
      <c r="C45" s="144">
        <f>SUM(($C$32-$C$39))</f>
        <v>0</v>
      </c>
      <c r="D45" s="144">
        <f>SUM(($D$32-$D$39))</f>
        <v>0</v>
      </c>
      <c r="E45" s="144">
        <f>SUM(($E$32-$E$39))</f>
        <v>0</v>
      </c>
      <c r="F45" s="144">
        <f>SUM(($F$32-$F$39))</f>
        <v>0</v>
      </c>
      <c r="G45" s="144">
        <f>SUM(($G$32-$G$39))</f>
        <v>0</v>
      </c>
      <c r="H45" s="144">
        <f>SUM(($H$32-$H$39))</f>
        <v>0</v>
      </c>
      <c r="I45" s="144">
        <f>SUM(($I$32-$I$39))</f>
        <v>0</v>
      </c>
      <c r="J45" s="144">
        <f>SUM(($J$32-$J$39))</f>
        <v>0</v>
      </c>
      <c r="K45" s="144">
        <f>SUM(($K$32-$K$39))</f>
        <v>0</v>
      </c>
      <c r="L45" s="144">
        <f>SUM(($L$32-$L$39))</f>
        <v>0</v>
      </c>
      <c r="M45" s="144">
        <f>SUM(($M$32-$M$39))</f>
        <v>0</v>
      </c>
      <c r="N45" s="144">
        <f>SUM(($N$32-$N$39))</f>
        <v>0</v>
      </c>
      <c r="O45" s="144">
        <f>SUM(($O$32-$O$39))</f>
        <v>0</v>
      </c>
      <c r="P45" s="144">
        <f>SUM(($P$32-$P$39))</f>
        <v>0</v>
      </c>
      <c r="Q45" s="144">
        <f>SUM(($Q$32-$Q$39))</f>
        <v>0</v>
      </c>
      <c r="R45" s="144">
        <f>SUM(($R$32-$R$39))</f>
        <v>0</v>
      </c>
      <c r="S45" s="144">
        <f>SUM(($S$32-$S$39))</f>
        <v>0</v>
      </c>
      <c r="T45" s="144">
        <f>SUM(($T$32-$T$39))</f>
        <v>0</v>
      </c>
      <c r="U45" s="144">
        <f>SUM(($U$32-$U$39))</f>
        <v>0</v>
      </c>
      <c r="V45" s="144">
        <f>SUM(($V$32-$V$39))</f>
        <v>0</v>
      </c>
      <c r="W45" s="144">
        <f>SUM(($W$32-$W$39))</f>
        <v>0</v>
      </c>
      <c r="X45" s="144">
        <f>SUM(($X$32-$X$39))</f>
        <v>0</v>
      </c>
      <c r="Y45" s="144">
        <f>SUM(($Y$32-$Y$39))</f>
        <v>0</v>
      </c>
      <c r="Z45" s="144">
        <f>SUM(($Z$32-$Z$39))</f>
        <v>0</v>
      </c>
      <c r="AA45" s="144">
        <f>SUM(($AA$32-$AA$39))</f>
        <v>0</v>
      </c>
    </row>
    <row r="46" spans="1:27" ht="11.25" customHeight="1" x14ac:dyDescent="0.2">
      <c r="A46" s="143" t="s">
        <v>203</v>
      </c>
      <c r="C46" s="145">
        <f>SUM($C$43:$C$45)</f>
        <v>-1322.5806000000011</v>
      </c>
      <c r="D46" s="145">
        <f>SUM($D$43:$D$45)</f>
        <v>-967.7419000000009</v>
      </c>
      <c r="E46" s="145">
        <f>SUM($E$43:$E$45)</f>
        <v>-750</v>
      </c>
      <c r="F46" s="145">
        <f>SUM($F$43:$F$45)</f>
        <v>-516.12900000000081</v>
      </c>
      <c r="G46" s="145">
        <f>SUM($G$43:$G$45)</f>
        <v>-900</v>
      </c>
      <c r="H46" s="145">
        <f>SUM($H$43:$H$45)</f>
        <v>-96.774199999999837</v>
      </c>
      <c r="I46" s="145">
        <f>SUM($I$43:$I$45)</f>
        <v>-566.66660000000047</v>
      </c>
      <c r="J46" s="145">
        <f>SUM($J$43:$J$45)</f>
        <v>-645.16129999999976</v>
      </c>
      <c r="K46" s="145">
        <f>SUM($K$43:$K$45)</f>
        <v>-516.12900000000081</v>
      </c>
      <c r="L46" s="145">
        <f>SUM($L$43:$L$45)</f>
        <v>-800</v>
      </c>
      <c r="M46" s="145">
        <f>SUM($M$43:$M$45)</f>
        <v>-1064.5161000000007</v>
      </c>
      <c r="N46" s="145">
        <f>SUM($N$43:$N$45)</f>
        <v>-1066.6667000000016</v>
      </c>
      <c r="O46" s="145">
        <f>SUM($O$43:$O$45)</f>
        <v>-903.22580000000016</v>
      </c>
      <c r="P46" s="145">
        <f>SUM($P$43:$P$45)</f>
        <v>-870.96770000000106</v>
      </c>
      <c r="Q46" s="145">
        <f>SUM($Q$43:$Q$45)</f>
        <v>-857.14289999999892</v>
      </c>
      <c r="R46" s="145">
        <f>SUM($R$43:$R$45)</f>
        <v>-774.1935999999987</v>
      </c>
      <c r="S46" s="145">
        <f>SUM($S$43:$S$45)</f>
        <v>-633.33330000000024</v>
      </c>
      <c r="T46" s="145">
        <f>SUM($T$43:$T$45)</f>
        <v>-935.48379999999997</v>
      </c>
      <c r="U46" s="145">
        <f>SUM($U$43:$U$45)</f>
        <v>-933.33329999999842</v>
      </c>
      <c r="V46" s="145">
        <f>SUM($V$43:$V$45)</f>
        <v>-709.67740000000049</v>
      </c>
      <c r="W46" s="145">
        <f>SUM($W$43:$W$45)</f>
        <v>-612.90320000000065</v>
      </c>
      <c r="X46" s="145">
        <f>SUM($X$43:$X$45)</f>
        <v>-666.66670000000158</v>
      </c>
      <c r="Y46" s="145">
        <f>SUM($Y$43:$Y$45)</f>
        <v>-774.1935999999987</v>
      </c>
      <c r="Z46" s="145">
        <f>SUM($Z$43:$Z$45)</f>
        <v>-966.66670000000158</v>
      </c>
      <c r="AA46" s="145">
        <f>SUM($AA$43:$AA$45)</f>
        <v>-18850.153400000068</v>
      </c>
    </row>
    <row r="48" spans="1:27" ht="12" customHeight="1" x14ac:dyDescent="0.2">
      <c r="A48" s="142" t="s">
        <v>197</v>
      </c>
    </row>
    <row r="49" spans="1:27" ht="11.25" customHeight="1" x14ac:dyDescent="0.2">
      <c r="A49" s="143" t="s">
        <v>42</v>
      </c>
      <c r="C49" s="146">
        <v>3.72</v>
      </c>
      <c r="D49" s="146">
        <v>3.86</v>
      </c>
      <c r="E49" s="146">
        <v>3.89</v>
      </c>
      <c r="F49" s="146">
        <v>3.77</v>
      </c>
      <c r="G49" s="146">
        <v>3.68</v>
      </c>
      <c r="H49" s="146">
        <v>3.73</v>
      </c>
      <c r="I49" s="146">
        <v>3.79</v>
      </c>
      <c r="J49" s="146">
        <v>3.85</v>
      </c>
      <c r="K49" s="146">
        <v>3.9</v>
      </c>
      <c r="L49" s="146">
        <v>3.9</v>
      </c>
      <c r="M49" s="146">
        <v>3.94</v>
      </c>
      <c r="N49" s="146">
        <v>4.3099999999999996</v>
      </c>
      <c r="O49" s="146">
        <v>4.58</v>
      </c>
      <c r="P49" s="146">
        <v>4.74</v>
      </c>
      <c r="Q49" s="146">
        <v>4.63</v>
      </c>
      <c r="R49" s="146">
        <v>4.45</v>
      </c>
      <c r="S49" s="146">
        <v>4.2699999999999996</v>
      </c>
      <c r="T49" s="146">
        <v>4.26</v>
      </c>
      <c r="U49" s="146">
        <v>4.3099999999999996</v>
      </c>
      <c r="V49" s="146">
        <v>4.3499999999999996</v>
      </c>
      <c r="W49" s="146">
        <v>4.4000000000000004</v>
      </c>
      <c r="X49" s="146">
        <v>4.4000000000000004</v>
      </c>
      <c r="Y49" s="146">
        <v>4.45</v>
      </c>
      <c r="Z49" s="146">
        <v>4.7</v>
      </c>
      <c r="AA49" s="146"/>
    </row>
    <row r="50" spans="1:27" ht="11.25" customHeight="1" x14ac:dyDescent="0.2">
      <c r="A50" s="143" t="s">
        <v>196</v>
      </c>
      <c r="C50" s="146">
        <v>3.8</v>
      </c>
      <c r="D50" s="146">
        <v>3.96</v>
      </c>
      <c r="E50" s="146">
        <v>3.98</v>
      </c>
      <c r="F50" s="146">
        <v>3.86</v>
      </c>
      <c r="G50" s="146">
        <v>3.8</v>
      </c>
      <c r="H50" s="146">
        <v>3.86</v>
      </c>
      <c r="I50" s="146">
        <v>3.92</v>
      </c>
      <c r="J50" s="146">
        <v>3.98</v>
      </c>
      <c r="K50" s="146">
        <v>4.03</v>
      </c>
      <c r="L50" s="146">
        <v>4.05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4.8099999999999996</v>
      </c>
      <c r="R50" s="146">
        <v>4.6399999999999997</v>
      </c>
      <c r="S50" s="146">
        <v>4.47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f>SUM(($C$49-$C$50))</f>
        <v>-7.9999999999999627E-2</v>
      </c>
      <c r="D51" s="147">
        <f>SUM(($D$49-$D$50))</f>
        <v>-0.10000000000000009</v>
      </c>
      <c r="E51" s="147">
        <f>SUM(($E$49-$E$50))</f>
        <v>-8.9999999999999858E-2</v>
      </c>
      <c r="F51" s="147">
        <f>SUM(($F$49-$F$50))</f>
        <v>-8.9999999999999858E-2</v>
      </c>
      <c r="G51" s="147">
        <f>SUM(($G$49-$G$50))</f>
        <v>-0.11999999999999966</v>
      </c>
      <c r="H51" s="147">
        <f>SUM(($H$49-$H$50))</f>
        <v>-0.12999999999999989</v>
      </c>
      <c r="I51" s="147">
        <f>SUM(($I$49-$I$50))</f>
        <v>-0.12999999999999989</v>
      </c>
      <c r="J51" s="147">
        <f>SUM(($J$49-$J$50))</f>
        <v>-0.12999999999999989</v>
      </c>
      <c r="K51" s="147">
        <f>SUM(($K$49-$K$50))</f>
        <v>-0.13000000000000034</v>
      </c>
      <c r="L51" s="147">
        <f>SUM(($L$49-$L$50))</f>
        <v>-0.14999999999999991</v>
      </c>
      <c r="M51" s="147">
        <f>SUM(($M$49-$M$50))</f>
        <v>-0.14999999999999991</v>
      </c>
      <c r="N51" s="147">
        <f>SUM(($N$49-$N$50))</f>
        <v>-0.16000000000000014</v>
      </c>
      <c r="O51" s="147">
        <f>SUM(($O$49-$O$50))</f>
        <v>-0.16999999999999993</v>
      </c>
      <c r="P51" s="147">
        <f>SUM(($P$49-$P$50))</f>
        <v>-0.17999999999999972</v>
      </c>
      <c r="Q51" s="147">
        <f>SUM(($Q$49-$Q$50))</f>
        <v>-0.17999999999999972</v>
      </c>
      <c r="R51" s="147">
        <f>SUM(($R$49-$R$50))</f>
        <v>-0.1899999999999995</v>
      </c>
      <c r="S51" s="147">
        <f>SUM(($S$49-$S$50))</f>
        <v>-0.20000000000000018</v>
      </c>
      <c r="T51" s="147">
        <f>SUM(($T$49-$T$50))</f>
        <v>-0.23000000000000043</v>
      </c>
      <c r="U51" s="147">
        <f>SUM(($U$49-$U$50))</f>
        <v>-0.22000000000000064</v>
      </c>
      <c r="V51" s="147">
        <f>SUM(($V$49-$V$50))</f>
        <v>-0.23000000000000043</v>
      </c>
      <c r="W51" s="147">
        <f>SUM(($W$49-$W$50))</f>
        <v>-0.22999999999999954</v>
      </c>
      <c r="X51" s="147">
        <f>SUM(($X$49-$X$50))</f>
        <v>-0.25</v>
      </c>
      <c r="Y51" s="147">
        <f>SUM(($Y$49-$Y$50))</f>
        <v>-0.25999999999999979</v>
      </c>
      <c r="Z51" s="147">
        <f>SUM(($Z$49-$Z$50))</f>
        <v>-0.25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198</v>
      </c>
    </row>
    <row r="58" spans="1:27" ht="11.25" customHeight="1" x14ac:dyDescent="0.2">
      <c r="A58" s="143" t="s">
        <v>199</v>
      </c>
      <c r="C58" s="144">
        <v>-1375758</v>
      </c>
      <c r="D58" s="144">
        <v>-1279500</v>
      </c>
      <c r="E58" s="144">
        <v>-1137028</v>
      </c>
      <c r="F58" s="144">
        <v>-1326383</v>
      </c>
      <c r="G58" s="144">
        <v>-863620</v>
      </c>
      <c r="H58" s="144">
        <v>-880709</v>
      </c>
      <c r="I58" s="144">
        <v>-904663</v>
      </c>
      <c r="J58" s="144">
        <v>-915203</v>
      </c>
      <c r="K58" s="144">
        <v>-898627</v>
      </c>
      <c r="L58" s="144">
        <v>-867739</v>
      </c>
      <c r="M58" s="144">
        <v>-883031</v>
      </c>
      <c r="N58" s="144">
        <v>-1252958</v>
      </c>
      <c r="O58" s="144">
        <v>-1187983</v>
      </c>
      <c r="P58" s="144">
        <v>-1123024</v>
      </c>
      <c r="Q58" s="144">
        <v>-1048684</v>
      </c>
      <c r="R58" s="144">
        <v>-1225067</v>
      </c>
      <c r="S58" s="144">
        <v>47316</v>
      </c>
      <c r="T58" s="144">
        <v>46830</v>
      </c>
      <c r="U58" s="144">
        <v>54157</v>
      </c>
      <c r="V58" s="144">
        <v>63126</v>
      </c>
      <c r="W58" s="144">
        <v>72145</v>
      </c>
      <c r="X58" s="144">
        <v>69557</v>
      </c>
      <c r="Y58" s="144">
        <v>80775</v>
      </c>
      <c r="Z58" s="144">
        <v>0</v>
      </c>
      <c r="AA58" s="144">
        <f>SUM($C$58:$Z$58)</f>
        <v>-16736071</v>
      </c>
    </row>
    <row r="59" spans="1:27" ht="11.25" customHeight="1" thickBot="1" x14ac:dyDescent="0.25">
      <c r="A59" s="143" t="s">
        <v>205</v>
      </c>
      <c r="C59" s="144">
        <v>3205527</v>
      </c>
      <c r="D59" s="144">
        <v>3118290</v>
      </c>
      <c r="E59" s="144">
        <v>2443002</v>
      </c>
      <c r="F59" s="144">
        <v>2430757</v>
      </c>
      <c r="G59" s="144">
        <v>1492494</v>
      </c>
      <c r="H59" s="144">
        <v>140857</v>
      </c>
      <c r="I59" s="144">
        <v>1359415</v>
      </c>
      <c r="J59" s="144">
        <v>1278301</v>
      </c>
      <c r="K59" s="144">
        <v>1204971</v>
      </c>
      <c r="L59" s="144">
        <v>1247598</v>
      </c>
      <c r="M59" s="144">
        <v>1352411</v>
      </c>
      <c r="N59" s="144">
        <v>1313914</v>
      </c>
      <c r="O59" s="144">
        <v>1203546</v>
      </c>
      <c r="P59" s="144">
        <v>250308</v>
      </c>
      <c r="Q59" s="144">
        <v>192957</v>
      </c>
      <c r="R59" s="144">
        <v>228569</v>
      </c>
      <c r="S59" s="144">
        <v>-63756</v>
      </c>
      <c r="T59" s="144">
        <v>-57467</v>
      </c>
      <c r="U59" s="144">
        <v>66910</v>
      </c>
      <c r="V59" s="144">
        <v>45282</v>
      </c>
      <c r="W59" s="144">
        <v>59374</v>
      </c>
      <c r="X59" s="144">
        <v>85357</v>
      </c>
      <c r="Y59" s="144">
        <v>102426</v>
      </c>
      <c r="Z59" s="144">
        <v>171378</v>
      </c>
      <c r="AA59" s="144">
        <f>SUM($C$59:$Z$59)</f>
        <v>22872421</v>
      </c>
    </row>
    <row r="60" spans="1:27" ht="11.25" customHeight="1" thickBot="1" x14ac:dyDescent="0.25">
      <c r="A60" s="148" t="s">
        <v>194</v>
      </c>
      <c r="B60" s="149"/>
      <c r="C60" s="150">
        <f>SUM($C$58:$C$59)</f>
        <v>1829769</v>
      </c>
      <c r="D60" s="150">
        <f>SUM($D$58:$D$59)</f>
        <v>1838790</v>
      </c>
      <c r="E60" s="150">
        <f>SUM($E$58:$E$59)</f>
        <v>1305974</v>
      </c>
      <c r="F60" s="150">
        <f>SUM($F$58:$F$59)</f>
        <v>1104374</v>
      </c>
      <c r="G60" s="150">
        <f>SUM($G$58:$G$59)</f>
        <v>628874</v>
      </c>
      <c r="H60" s="150">
        <f>SUM($H$58:$H$59)</f>
        <v>-739852</v>
      </c>
      <c r="I60" s="150">
        <f>SUM($I$58:$I$59)</f>
        <v>454752</v>
      </c>
      <c r="J60" s="150">
        <f>SUM($J$58:$J$59)</f>
        <v>363098</v>
      </c>
      <c r="K60" s="150">
        <f>SUM($K$58:$K$59)</f>
        <v>306344</v>
      </c>
      <c r="L60" s="150">
        <f>SUM($L$58:$L$59)</f>
        <v>379859</v>
      </c>
      <c r="M60" s="150">
        <f>SUM($M$58:$M$59)</f>
        <v>469380</v>
      </c>
      <c r="N60" s="150">
        <f>SUM($N$58:$N$59)</f>
        <v>60956</v>
      </c>
      <c r="O60" s="150">
        <f>SUM($O$58:$O$59)</f>
        <v>15563</v>
      </c>
      <c r="P60" s="150">
        <f>SUM($P$58:$P$59)</f>
        <v>-872716</v>
      </c>
      <c r="Q60" s="150">
        <f>SUM($Q$58:$Q$59)</f>
        <v>-855727</v>
      </c>
      <c r="R60" s="150">
        <f>SUM($R$58:$R$59)</f>
        <v>-996498</v>
      </c>
      <c r="S60" s="150">
        <f>SUM($S$58:$S$59)</f>
        <v>-16440</v>
      </c>
      <c r="T60" s="150">
        <f>SUM($T$58:$T$59)</f>
        <v>-10637</v>
      </c>
      <c r="U60" s="150">
        <f>SUM($U$58:$U$59)</f>
        <v>121067</v>
      </c>
      <c r="V60" s="150">
        <f>SUM($V$58:$V$59)</f>
        <v>108408</v>
      </c>
      <c r="W60" s="150">
        <f>SUM($W$58:$W$59)</f>
        <v>131519</v>
      </c>
      <c r="X60" s="150">
        <f>SUM($X$58:$X$59)</f>
        <v>154914</v>
      </c>
      <c r="Y60" s="150">
        <f>SUM($Y$58:$Y$59)</f>
        <v>183201</v>
      </c>
      <c r="Z60" s="150">
        <f>SUM($Z$58:$Z$59)</f>
        <v>171378</v>
      </c>
      <c r="AA60" s="151">
        <f>SUM($AA$58:$AA$59)</f>
        <v>6136350</v>
      </c>
    </row>
    <row r="61" spans="1:27" ht="11.25" customHeight="1" x14ac:dyDescent="0.2">
      <c r="A61" s="143" t="s">
        <v>2</v>
      </c>
      <c r="C61" s="144">
        <v>1830746</v>
      </c>
      <c r="D61" s="144">
        <v>1826334</v>
      </c>
      <c r="E61" s="144">
        <v>1303323</v>
      </c>
      <c r="F61" s="144">
        <v>1106828</v>
      </c>
      <c r="G61" s="144">
        <v>605892</v>
      </c>
      <c r="H61" s="144">
        <v>-719848</v>
      </c>
      <c r="I61" s="144">
        <v>452077</v>
      </c>
      <c r="J61" s="144">
        <v>323746</v>
      </c>
      <c r="K61" s="144">
        <v>260192</v>
      </c>
      <c r="L61" s="144">
        <v>342381</v>
      </c>
      <c r="M61" s="144">
        <v>442611</v>
      </c>
      <c r="N61" s="144">
        <v>45927</v>
      </c>
      <c r="O61" s="144">
        <v>-1845</v>
      </c>
      <c r="P61" s="144">
        <v>-898808</v>
      </c>
      <c r="Q61" s="144">
        <v>-869642</v>
      </c>
      <c r="R61" s="144">
        <v>-1001401</v>
      </c>
      <c r="S61" s="144">
        <v>-29149</v>
      </c>
      <c r="T61" s="144">
        <v>-34384</v>
      </c>
      <c r="U61" s="144">
        <v>98697</v>
      </c>
      <c r="V61" s="144">
        <v>41294</v>
      </c>
      <c r="W61" s="144">
        <v>47384</v>
      </c>
      <c r="X61" s="144">
        <v>77676</v>
      </c>
      <c r="Y61" s="144">
        <v>122308</v>
      </c>
      <c r="Z61" s="144">
        <v>66133</v>
      </c>
      <c r="AA61" s="144">
        <f>SUM($C$61:$Z$61)</f>
        <v>5438472</v>
      </c>
    </row>
    <row r="62" spans="1:27" ht="11.25" customHeight="1" x14ac:dyDescent="0.2">
      <c r="A62" s="143" t="s">
        <v>0</v>
      </c>
      <c r="C62" s="145">
        <f>SUM(($C$60-$C$61))</f>
        <v>-977</v>
      </c>
      <c r="D62" s="145">
        <f>SUM(($D$60-$D$61))</f>
        <v>12456</v>
      </c>
      <c r="E62" s="145">
        <f>SUM(($E$60-$E$61))</f>
        <v>2651</v>
      </c>
      <c r="F62" s="145">
        <f>SUM(($F$60-$F$61))</f>
        <v>-2454</v>
      </c>
      <c r="G62" s="145">
        <f>SUM(($G$60-$G$61))</f>
        <v>22982</v>
      </c>
      <c r="H62" s="145">
        <f>SUM(($H$60-$H$61))</f>
        <v>-20004</v>
      </c>
      <c r="I62" s="145">
        <f>SUM(($I$60-$I$61))</f>
        <v>2675</v>
      </c>
      <c r="J62" s="145">
        <f>SUM(($J$60-$J$61))</f>
        <v>39352</v>
      </c>
      <c r="K62" s="145">
        <f>SUM(($K$60-$K$61))</f>
        <v>46152</v>
      </c>
      <c r="L62" s="145">
        <f>SUM(($L$60-$L$61))</f>
        <v>37478</v>
      </c>
      <c r="M62" s="145">
        <f>SUM(($M$60-$M$61))</f>
        <v>26769</v>
      </c>
      <c r="N62" s="145">
        <f>SUM(($N$60-$N$61))</f>
        <v>15029</v>
      </c>
      <c r="O62" s="145">
        <f>SUM(($O$60-$O$61))</f>
        <v>17408</v>
      </c>
      <c r="P62" s="145">
        <f>SUM(($P$60-$P$61))</f>
        <v>26092</v>
      </c>
      <c r="Q62" s="145">
        <f>SUM(($Q$60-$Q$61))</f>
        <v>13915</v>
      </c>
      <c r="R62" s="145">
        <f>SUM(($R$60-$R$61))</f>
        <v>4903</v>
      </c>
      <c r="S62" s="145">
        <f>SUM(($S$60-$S$61))</f>
        <v>12709</v>
      </c>
      <c r="T62" s="145">
        <f>SUM(($T$60-$T$61))</f>
        <v>23747</v>
      </c>
      <c r="U62" s="145">
        <f>SUM(($U$60-$U$61))</f>
        <v>22370</v>
      </c>
      <c r="V62" s="145">
        <f>SUM(($V$60-$V$61))</f>
        <v>67114</v>
      </c>
      <c r="W62" s="145">
        <f>SUM(($W$60-$W$61))</f>
        <v>84135</v>
      </c>
      <c r="X62" s="145">
        <f>SUM(($X$60-$X$61))</f>
        <v>77238</v>
      </c>
      <c r="Y62" s="145">
        <f>SUM(($Y$60-$Y$61))</f>
        <v>60893</v>
      </c>
      <c r="Z62" s="145">
        <f>SUM(($Z$60-$Z$61))</f>
        <v>105245</v>
      </c>
      <c r="AA62" s="145">
        <f>SUM(($AA$60-$AA$61))</f>
        <v>697878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200</v>
      </c>
      <c r="C66" s="51" t="s">
        <v>153</v>
      </c>
      <c r="D66" s="51" t="s">
        <v>154</v>
      </c>
      <c r="E66" s="51" t="s">
        <v>155</v>
      </c>
      <c r="F66" s="51" t="s">
        <v>156</v>
      </c>
      <c r="G66" s="51" t="s">
        <v>157</v>
      </c>
      <c r="H66" s="51" t="s">
        <v>158</v>
      </c>
      <c r="I66" s="51" t="s">
        <v>159</v>
      </c>
      <c r="J66" s="51" t="s">
        <v>160</v>
      </c>
      <c r="K66" s="51" t="s">
        <v>161</v>
      </c>
      <c r="L66" s="51" t="s">
        <v>162</v>
      </c>
      <c r="M66" s="51" t="s">
        <v>163</v>
      </c>
      <c r="N66" s="51" t="s">
        <v>164</v>
      </c>
      <c r="O66" s="51" t="s">
        <v>165</v>
      </c>
      <c r="P66" s="51" t="s">
        <v>166</v>
      </c>
      <c r="Q66" s="51" t="s">
        <v>167</v>
      </c>
      <c r="R66" s="51" t="s">
        <v>168</v>
      </c>
      <c r="S66" s="51" t="s">
        <v>169</v>
      </c>
      <c r="T66" s="51" t="s">
        <v>170</v>
      </c>
      <c r="U66" s="51" t="s">
        <v>171</v>
      </c>
      <c r="V66" s="51" t="s">
        <v>172</v>
      </c>
      <c r="W66" s="51" t="s">
        <v>173</v>
      </c>
      <c r="X66" s="51" t="s">
        <v>174</v>
      </c>
      <c r="Y66" s="51" t="s">
        <v>175</v>
      </c>
      <c r="Z66" s="51" t="s">
        <v>176</v>
      </c>
      <c r="AA66" s="51" t="s">
        <v>40</v>
      </c>
    </row>
    <row r="67" spans="1:27" ht="11.25" customHeight="1" x14ac:dyDescent="0.2">
      <c r="A67" s="143" t="s">
        <v>201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f>SUM($C$67:$Z$67)</f>
        <v>265000</v>
      </c>
    </row>
    <row r="68" spans="1:27" ht="11.25" customHeight="1" x14ac:dyDescent="0.2">
      <c r="A68" s="143" t="s">
        <v>202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f>SUM($C$68:$Z$68)</f>
        <v>0</v>
      </c>
    </row>
    <row r="69" spans="1:27" ht="11.25" customHeight="1" x14ac:dyDescent="0.2">
      <c r="A69" s="143" t="s">
        <v>203</v>
      </c>
      <c r="C69" s="145">
        <f>SUM($C$67:$C$68)</f>
        <v>30000</v>
      </c>
      <c r="D69" s="145">
        <f>SUM($D$67:$D$68)</f>
        <v>30000</v>
      </c>
      <c r="E69" s="145">
        <f>SUM($E$67:$E$68)</f>
        <v>20000</v>
      </c>
      <c r="F69" s="145">
        <f>SUM($F$67:$F$68)</f>
        <v>20000</v>
      </c>
      <c r="G69" s="145">
        <f>SUM($G$67:$G$68)</f>
        <v>20000</v>
      </c>
      <c r="H69" s="145">
        <f>SUM($H$67:$H$68)</f>
        <v>20000</v>
      </c>
      <c r="I69" s="145">
        <f>SUM($I$67:$I$68)</f>
        <v>20000</v>
      </c>
      <c r="J69" s="145">
        <f>SUM($J$67:$J$68)</f>
        <v>20000</v>
      </c>
      <c r="K69" s="145">
        <f>SUM($K$67:$K$68)</f>
        <v>20000</v>
      </c>
      <c r="L69" s="145">
        <f>SUM($L$67:$L$68)</f>
        <v>20000</v>
      </c>
      <c r="M69" s="145">
        <f>SUM($M$67:$M$68)</f>
        <v>20000</v>
      </c>
      <c r="N69" s="145">
        <f>SUM($N$67:$N$68)</f>
        <v>5000</v>
      </c>
      <c r="O69" s="145">
        <f>SUM($O$67:$O$68)</f>
        <v>5000</v>
      </c>
      <c r="P69" s="145">
        <f>SUM($P$67:$P$68)</f>
        <v>5000</v>
      </c>
      <c r="Q69" s="145">
        <f>SUM($Q$67:$Q$68)</f>
        <v>5000</v>
      </c>
      <c r="R69" s="145">
        <f>SUM($R$67:$R$68)</f>
        <v>5000</v>
      </c>
      <c r="S69" s="145">
        <f>SUM($S$67:$S$68)</f>
        <v>0</v>
      </c>
      <c r="T69" s="145">
        <f>SUM($T$67:$T$68)</f>
        <v>0</v>
      </c>
      <c r="U69" s="145">
        <f>SUM($U$67:$U$68)</f>
        <v>0</v>
      </c>
      <c r="V69" s="145">
        <f>SUM($V$67:$V$68)</f>
        <v>0</v>
      </c>
      <c r="W69" s="145">
        <f>SUM($W$67:$W$68)</f>
        <v>0</v>
      </c>
      <c r="X69" s="145">
        <f>SUM($X$67:$X$68)</f>
        <v>0</v>
      </c>
      <c r="Y69" s="145">
        <f>SUM($Y$67:$Y$68)</f>
        <v>0</v>
      </c>
      <c r="Z69" s="145">
        <f>SUM($Z$67:$Z$68)</f>
        <v>0</v>
      </c>
      <c r="AA69" s="145">
        <f>SUM($AA$67:$AA$68)</f>
        <v>265000</v>
      </c>
    </row>
    <row r="70" spans="1:27" ht="13.5" customHeight="1" thickBot="1" x14ac:dyDescent="0.25"/>
    <row r="71" spans="1:27" ht="12" customHeight="1" thickBot="1" x14ac:dyDescent="0.25">
      <c r="A71" s="50" t="s">
        <v>204</v>
      </c>
      <c r="C71" s="51" t="s">
        <v>153</v>
      </c>
      <c r="D71" s="51" t="s">
        <v>154</v>
      </c>
      <c r="E71" s="51" t="s">
        <v>155</v>
      </c>
      <c r="F71" s="51" t="s">
        <v>156</v>
      </c>
      <c r="G71" s="51" t="s">
        <v>157</v>
      </c>
      <c r="H71" s="51" t="s">
        <v>158</v>
      </c>
      <c r="I71" s="51" t="s">
        <v>159</v>
      </c>
      <c r="J71" s="51" t="s">
        <v>160</v>
      </c>
      <c r="K71" s="51" t="s">
        <v>161</v>
      </c>
      <c r="L71" s="51" t="s">
        <v>162</v>
      </c>
      <c r="M71" s="51" t="s">
        <v>163</v>
      </c>
      <c r="N71" s="51" t="s">
        <v>164</v>
      </c>
      <c r="O71" s="51" t="s">
        <v>165</v>
      </c>
      <c r="P71" s="51" t="s">
        <v>166</v>
      </c>
      <c r="Q71" s="51" t="s">
        <v>167</v>
      </c>
      <c r="R71" s="51" t="s">
        <v>168</v>
      </c>
      <c r="S71" s="51" t="s">
        <v>169</v>
      </c>
      <c r="T71" s="51" t="s">
        <v>170</v>
      </c>
      <c r="U71" s="51" t="s">
        <v>171</v>
      </c>
      <c r="V71" s="51" t="s">
        <v>172</v>
      </c>
      <c r="W71" s="51" t="s">
        <v>173</v>
      </c>
      <c r="X71" s="51" t="s">
        <v>174</v>
      </c>
      <c r="Y71" s="51" t="s">
        <v>175</v>
      </c>
      <c r="Z71" s="51" t="s">
        <v>176</v>
      </c>
      <c r="AA71" s="51" t="s">
        <v>40</v>
      </c>
    </row>
    <row r="72" spans="1:27" ht="11.25" customHeight="1" x14ac:dyDescent="0.2">
      <c r="A72" s="143" t="s">
        <v>204</v>
      </c>
      <c r="C72" s="144">
        <v>0</v>
      </c>
      <c r="D72" s="144">
        <v>0</v>
      </c>
      <c r="E72" s="144">
        <v>0</v>
      </c>
      <c r="F72" s="144">
        <v>-10000</v>
      </c>
      <c r="G72" s="144">
        <v>-5000</v>
      </c>
      <c r="H72" s="144">
        <v>10000</v>
      </c>
      <c r="I72" s="144">
        <v>10000</v>
      </c>
      <c r="J72" s="144">
        <v>30000</v>
      </c>
      <c r="K72" s="144">
        <v>30000</v>
      </c>
      <c r="L72" s="144">
        <v>30000</v>
      </c>
      <c r="M72" s="144">
        <v>30000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f>SUM($C$72:$Z$72)</f>
        <v>260000</v>
      </c>
    </row>
    <row r="73" spans="1:27" ht="13.5" customHeight="1" thickBot="1" x14ac:dyDescent="0.25"/>
    <row r="74" spans="1:27" ht="11.25" customHeight="1" thickBot="1" x14ac:dyDescent="0.25">
      <c r="A74" s="148" t="s">
        <v>203</v>
      </c>
      <c r="B74" s="149"/>
      <c r="C74" s="150">
        <f>SUM(($C$69+$C$72))</f>
        <v>30000</v>
      </c>
      <c r="D74" s="150">
        <f>SUM(($D$69+$D$72))</f>
        <v>30000</v>
      </c>
      <c r="E74" s="150">
        <f>SUM(($E$69+$E$72))</f>
        <v>20000</v>
      </c>
      <c r="F74" s="150">
        <f>SUM(($F$69+$F$72))</f>
        <v>10000</v>
      </c>
      <c r="G74" s="150">
        <f>SUM(($G$69+$G$72))</f>
        <v>15000</v>
      </c>
      <c r="H74" s="150">
        <f>SUM(($H$69+$H$72))</f>
        <v>30000</v>
      </c>
      <c r="I74" s="150">
        <f>SUM(($I$69+$I$72))</f>
        <v>30000</v>
      </c>
      <c r="J74" s="150">
        <f>SUM(($J$69+$J$72))</f>
        <v>50000</v>
      </c>
      <c r="K74" s="150">
        <f>SUM(($K$69+$K$72))</f>
        <v>50000</v>
      </c>
      <c r="L74" s="150">
        <f>SUM(($L$69+$L$72))</f>
        <v>50000</v>
      </c>
      <c r="M74" s="150">
        <f>SUM(($M$69+$M$72))</f>
        <v>50000</v>
      </c>
      <c r="N74" s="150">
        <f>SUM(($N$69+$N$72))</f>
        <v>25000</v>
      </c>
      <c r="O74" s="150">
        <f>SUM(($O$69+$O$72))</f>
        <v>25000</v>
      </c>
      <c r="P74" s="150">
        <f>SUM(($P$69+$P$72))</f>
        <v>25000</v>
      </c>
      <c r="Q74" s="150">
        <f>SUM(($Q$69+$Q$72))</f>
        <v>25000</v>
      </c>
      <c r="R74" s="150">
        <f>SUM(($R$69+$R$72))</f>
        <v>25000</v>
      </c>
      <c r="S74" s="150">
        <f>SUM(($S$69+$S$72))</f>
        <v>5000</v>
      </c>
      <c r="T74" s="150">
        <f>SUM(($T$69+$T$72))</f>
        <v>5000</v>
      </c>
      <c r="U74" s="150">
        <f>SUM(($U$69+$U$72))</f>
        <v>5000</v>
      </c>
      <c r="V74" s="150">
        <f>SUM(($V$69+$V$72))</f>
        <v>5000</v>
      </c>
      <c r="W74" s="150">
        <f>SUM(($W$69+$W$72))</f>
        <v>5000</v>
      </c>
      <c r="X74" s="150">
        <f>SUM(($X$69+$X$72))</f>
        <v>5000</v>
      </c>
      <c r="Y74" s="150">
        <f>SUM(($Y$69+$Y$72))</f>
        <v>5000</v>
      </c>
      <c r="Z74" s="150">
        <f>SUM(($Z$69+$Z$72))</f>
        <v>0</v>
      </c>
      <c r="AA74" s="151">
        <f>SUM(($AA$69+$AA$72))</f>
        <v>525000</v>
      </c>
    </row>
    <row r="76" spans="1:27" ht="12" customHeight="1" x14ac:dyDescent="0.2">
      <c r="A76" s="142" t="s">
        <v>196</v>
      </c>
    </row>
    <row r="77" spans="1:27" ht="11.25" customHeight="1" x14ac:dyDescent="0.2">
      <c r="A77" s="143" t="s">
        <v>201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f>SUM($C$77:$Z$77)</f>
        <v>265000</v>
      </c>
    </row>
    <row r="78" spans="1:27" ht="11.25" customHeight="1" x14ac:dyDescent="0.2">
      <c r="A78" s="143" t="s">
        <v>202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f>SUM($C$78:$Z$78)</f>
        <v>0</v>
      </c>
    </row>
    <row r="79" spans="1:27" ht="11.25" customHeight="1" x14ac:dyDescent="0.2">
      <c r="A79" s="143" t="s">
        <v>204</v>
      </c>
      <c r="C79" s="144">
        <v>0</v>
      </c>
      <c r="D79" s="144">
        <v>0</v>
      </c>
      <c r="E79" s="144">
        <v>0</v>
      </c>
      <c r="F79" s="144">
        <v>-10000</v>
      </c>
      <c r="G79" s="144">
        <v>-5000</v>
      </c>
      <c r="H79" s="144">
        <v>10000</v>
      </c>
      <c r="I79" s="144">
        <v>10000</v>
      </c>
      <c r="J79" s="144">
        <v>30000</v>
      </c>
      <c r="K79" s="144">
        <v>30000</v>
      </c>
      <c r="L79" s="144">
        <v>30000</v>
      </c>
      <c r="M79" s="144">
        <v>30000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f>SUM($C$79:$Z$79)</f>
        <v>260000</v>
      </c>
    </row>
    <row r="80" spans="1:27" ht="11.25" customHeight="1" x14ac:dyDescent="0.2">
      <c r="A80" s="143" t="s">
        <v>203</v>
      </c>
      <c r="C80" s="145">
        <f>SUM($C$77:$C$79)</f>
        <v>30000</v>
      </c>
      <c r="D80" s="145">
        <f>SUM($D$77:$D$79)</f>
        <v>30000</v>
      </c>
      <c r="E80" s="145">
        <f>SUM($E$77:$E$79)</f>
        <v>20000</v>
      </c>
      <c r="F80" s="145">
        <f>SUM($F$77:$F$79)</f>
        <v>10000</v>
      </c>
      <c r="G80" s="145">
        <f>SUM($G$77:$G$79)</f>
        <v>15000</v>
      </c>
      <c r="H80" s="145">
        <f>SUM($H$77:$H$79)</f>
        <v>30000</v>
      </c>
      <c r="I80" s="145">
        <f>SUM($I$77:$I$79)</f>
        <v>30000</v>
      </c>
      <c r="J80" s="145">
        <f>SUM($J$77:$J$79)</f>
        <v>50000</v>
      </c>
      <c r="K80" s="145">
        <f>SUM($K$77:$K$79)</f>
        <v>50000</v>
      </c>
      <c r="L80" s="145">
        <f>SUM($L$77:$L$79)</f>
        <v>50000</v>
      </c>
      <c r="M80" s="145">
        <f>SUM($M$77:$M$79)</f>
        <v>50000</v>
      </c>
      <c r="N80" s="145">
        <f>SUM($N$77:$N$79)</f>
        <v>25000</v>
      </c>
      <c r="O80" s="145">
        <f>SUM($O$77:$O$79)</f>
        <v>25000</v>
      </c>
      <c r="P80" s="145">
        <f>SUM($P$77:$P$79)</f>
        <v>25000</v>
      </c>
      <c r="Q80" s="145">
        <f>SUM($Q$77:$Q$79)</f>
        <v>25000</v>
      </c>
      <c r="R80" s="145">
        <f>SUM($R$77:$R$79)</f>
        <v>25000</v>
      </c>
      <c r="S80" s="145">
        <f>SUM($S$77:$S$79)</f>
        <v>5000</v>
      </c>
      <c r="T80" s="145">
        <f>SUM($T$77:$T$79)</f>
        <v>5000</v>
      </c>
      <c r="U80" s="145">
        <f>SUM($U$77:$U$79)</f>
        <v>5000</v>
      </c>
      <c r="V80" s="145">
        <f>SUM($V$77:$V$79)</f>
        <v>5000</v>
      </c>
      <c r="W80" s="145">
        <f>SUM($W$77:$W$79)</f>
        <v>5000</v>
      </c>
      <c r="X80" s="145">
        <f>SUM($X$77:$X$79)</f>
        <v>5000</v>
      </c>
      <c r="Y80" s="145">
        <f>SUM($Y$77:$Y$79)</f>
        <v>5000</v>
      </c>
      <c r="Z80" s="145">
        <f>SUM($Z$77:$Z$79)</f>
        <v>0</v>
      </c>
      <c r="AA80" s="145">
        <f>SUM($AA$77:$AA$79)</f>
        <v>525000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201</v>
      </c>
      <c r="C83" s="144">
        <f>SUM(($C$67-$C$77))</f>
        <v>0</v>
      </c>
      <c r="D83" s="144">
        <f>SUM(($D$67-$D$77))</f>
        <v>0</v>
      </c>
      <c r="E83" s="144">
        <f>SUM(($E$67-$E$77))</f>
        <v>0</v>
      </c>
      <c r="F83" s="144">
        <f>SUM(($F$67-$F$77))</f>
        <v>0</v>
      </c>
      <c r="G83" s="144">
        <f>SUM(($G$67-$G$77))</f>
        <v>0</v>
      </c>
      <c r="H83" s="144">
        <f>SUM(($H$67-$H$77))</f>
        <v>0</v>
      </c>
      <c r="I83" s="144">
        <f>SUM(($I$67-$I$77))</f>
        <v>0</v>
      </c>
      <c r="J83" s="144">
        <f>SUM(($J$67-$J$77))</f>
        <v>0</v>
      </c>
      <c r="K83" s="144">
        <f>SUM(($K$67-$K$77))</f>
        <v>0</v>
      </c>
      <c r="L83" s="144">
        <f>SUM(($L$67-$L$77))</f>
        <v>0</v>
      </c>
      <c r="M83" s="144">
        <f>SUM(($M$67-$M$77))</f>
        <v>0</v>
      </c>
      <c r="N83" s="144">
        <f>SUM(($N$67-$N$77))</f>
        <v>0</v>
      </c>
      <c r="O83" s="144">
        <f>SUM(($O$67-$O$77))</f>
        <v>0</v>
      </c>
      <c r="P83" s="144">
        <f>SUM(($P$67-$P$77))</f>
        <v>0</v>
      </c>
      <c r="Q83" s="144">
        <f>SUM(($Q$67-$Q$77))</f>
        <v>0</v>
      </c>
      <c r="R83" s="144">
        <f>SUM(($R$67-$R$77))</f>
        <v>0</v>
      </c>
      <c r="S83" s="144">
        <f>SUM(($S$67-$S$77))</f>
        <v>0</v>
      </c>
      <c r="T83" s="144">
        <f>SUM(($T$67-$T$77))</f>
        <v>0</v>
      </c>
      <c r="U83" s="144">
        <f>SUM(($U$67-$U$77))</f>
        <v>0</v>
      </c>
      <c r="V83" s="144">
        <f>SUM(($V$67-$V$77))</f>
        <v>0</v>
      </c>
      <c r="W83" s="144">
        <f>SUM(($W$67-$W$77))</f>
        <v>0</v>
      </c>
      <c r="X83" s="144">
        <f>SUM(($X$67-$X$77))</f>
        <v>0</v>
      </c>
      <c r="Y83" s="144">
        <f>SUM(($Y$67-$Y$77))</f>
        <v>0</v>
      </c>
      <c r="Z83" s="144">
        <f>SUM(($Z$67-$Z$77))</f>
        <v>0</v>
      </c>
      <c r="AA83" s="144">
        <f>SUM(($AA$67-$AA$77))</f>
        <v>0</v>
      </c>
    </row>
    <row r="84" spans="1:27" ht="11.25" customHeight="1" x14ac:dyDescent="0.2">
      <c r="A84" s="143" t="s">
        <v>202</v>
      </c>
      <c r="C84" s="144">
        <f>SUM(($C$68-$C$78))</f>
        <v>0</v>
      </c>
      <c r="D84" s="144">
        <f>SUM(($D$68-$D$78))</f>
        <v>0</v>
      </c>
      <c r="E84" s="144">
        <f>SUM(($E$68-$E$78))</f>
        <v>0</v>
      </c>
      <c r="F84" s="144">
        <f>SUM(($F$68-$F$78))</f>
        <v>0</v>
      </c>
      <c r="G84" s="144">
        <f>SUM(($G$68-$G$78))</f>
        <v>0</v>
      </c>
      <c r="H84" s="144">
        <f>SUM(($H$68-$H$78))</f>
        <v>0</v>
      </c>
      <c r="I84" s="144">
        <f>SUM(($I$68-$I$78))</f>
        <v>0</v>
      </c>
      <c r="J84" s="144">
        <f>SUM(($J$68-$J$78))</f>
        <v>0</v>
      </c>
      <c r="K84" s="144">
        <f>SUM(($K$68-$K$78))</f>
        <v>0</v>
      </c>
      <c r="L84" s="144">
        <f>SUM(($L$68-$L$78))</f>
        <v>0</v>
      </c>
      <c r="M84" s="144">
        <f>SUM(($M$68-$M$78))</f>
        <v>0</v>
      </c>
      <c r="N84" s="144">
        <f>SUM(($N$68-$N$78))</f>
        <v>0</v>
      </c>
      <c r="O84" s="144">
        <f>SUM(($O$68-$O$78))</f>
        <v>0</v>
      </c>
      <c r="P84" s="144">
        <f>SUM(($P$68-$P$78))</f>
        <v>0</v>
      </c>
      <c r="Q84" s="144">
        <f>SUM(($Q$68-$Q$78))</f>
        <v>0</v>
      </c>
      <c r="R84" s="144">
        <f>SUM(($R$68-$R$78))</f>
        <v>0</v>
      </c>
      <c r="S84" s="144">
        <f>SUM(($S$68-$S$78))</f>
        <v>0</v>
      </c>
      <c r="T84" s="144">
        <f>SUM(($T$68-$T$78))</f>
        <v>0</v>
      </c>
      <c r="U84" s="144">
        <f>SUM(($U$68-$U$78))</f>
        <v>0</v>
      </c>
      <c r="V84" s="144">
        <f>SUM(($V$68-$V$78))</f>
        <v>0</v>
      </c>
      <c r="W84" s="144">
        <f>SUM(($W$68-$W$78))</f>
        <v>0</v>
      </c>
      <c r="X84" s="144">
        <f>SUM(($X$68-$X$78))</f>
        <v>0</v>
      </c>
      <c r="Y84" s="144">
        <f>SUM(($Y$68-$Y$78))</f>
        <v>0</v>
      </c>
      <c r="Z84" s="144">
        <f>SUM(($Z$68-$Z$78))</f>
        <v>0</v>
      </c>
      <c r="AA84" s="144">
        <f>SUM(($AA$68-$AA$78))</f>
        <v>0</v>
      </c>
    </row>
    <row r="85" spans="1:27" ht="11.25" customHeight="1" x14ac:dyDescent="0.2">
      <c r="A85" s="143" t="s">
        <v>204</v>
      </c>
      <c r="C85" s="144">
        <f>SUM(($C$72-$C$79))</f>
        <v>0</v>
      </c>
      <c r="D85" s="144">
        <f>SUM(($D$72-$D$79))</f>
        <v>0</v>
      </c>
      <c r="E85" s="144">
        <f>SUM(($E$72-$E$79))</f>
        <v>0</v>
      </c>
      <c r="F85" s="144">
        <f>SUM(($F$72-$F$79))</f>
        <v>0</v>
      </c>
      <c r="G85" s="144">
        <f>SUM(($G$72-$G$79))</f>
        <v>0</v>
      </c>
      <c r="H85" s="144">
        <f>SUM(($H$72-$H$79))</f>
        <v>0</v>
      </c>
      <c r="I85" s="144">
        <f>SUM(($I$72-$I$79))</f>
        <v>0</v>
      </c>
      <c r="J85" s="144">
        <f>SUM(($J$72-$J$79))</f>
        <v>0</v>
      </c>
      <c r="K85" s="144">
        <f>SUM(($K$72-$K$79))</f>
        <v>0</v>
      </c>
      <c r="L85" s="144">
        <f>SUM(($L$72-$L$79))</f>
        <v>0</v>
      </c>
      <c r="M85" s="144">
        <f>SUM(($M$72-$M$79))</f>
        <v>0</v>
      </c>
      <c r="N85" s="144">
        <f>SUM(($N$72-$N$79))</f>
        <v>0</v>
      </c>
      <c r="O85" s="144">
        <f>SUM(($O$72-$O$79))</f>
        <v>0</v>
      </c>
      <c r="P85" s="144">
        <f>SUM(($P$72-$P$79))</f>
        <v>0</v>
      </c>
      <c r="Q85" s="144">
        <f>SUM(($Q$72-$Q$79))</f>
        <v>0</v>
      </c>
      <c r="R85" s="144">
        <f>SUM(($R$72-$R$79))</f>
        <v>0</v>
      </c>
      <c r="S85" s="144">
        <f>SUM(($S$72-$S$79))</f>
        <v>0</v>
      </c>
      <c r="T85" s="144">
        <f>SUM(($T$72-$T$79))</f>
        <v>0</v>
      </c>
      <c r="U85" s="144">
        <f>SUM(($U$72-$U$79))</f>
        <v>0</v>
      </c>
      <c r="V85" s="144">
        <f>SUM(($V$72-$V$79))</f>
        <v>0</v>
      </c>
      <c r="W85" s="144">
        <f>SUM(($W$72-$W$79))</f>
        <v>0</v>
      </c>
      <c r="X85" s="144">
        <f>SUM(($X$72-$X$79))</f>
        <v>0</v>
      </c>
      <c r="Y85" s="144">
        <f>SUM(($Y$72-$Y$79))</f>
        <v>0</v>
      </c>
      <c r="Z85" s="144">
        <f>SUM(($Z$72-$Z$79))</f>
        <v>0</v>
      </c>
      <c r="AA85" s="144">
        <f>SUM(($AA$72-$AA$79))</f>
        <v>0</v>
      </c>
    </row>
    <row r="86" spans="1:27" ht="11.25" customHeight="1" x14ac:dyDescent="0.2">
      <c r="A86" s="143" t="s">
        <v>203</v>
      </c>
      <c r="C86" s="145">
        <f>SUM($C$83:$C$85)</f>
        <v>0</v>
      </c>
      <c r="D86" s="145">
        <f>SUM($D$83:$D$85)</f>
        <v>0</v>
      </c>
      <c r="E86" s="145">
        <f>SUM($E$83:$E$85)</f>
        <v>0</v>
      </c>
      <c r="F86" s="145">
        <f>SUM($F$83:$F$85)</f>
        <v>0</v>
      </c>
      <c r="G86" s="145">
        <f>SUM($G$83:$G$85)</f>
        <v>0</v>
      </c>
      <c r="H86" s="145">
        <f>SUM($H$83:$H$85)</f>
        <v>0</v>
      </c>
      <c r="I86" s="145">
        <f>SUM($I$83:$I$85)</f>
        <v>0</v>
      </c>
      <c r="J86" s="145">
        <f>SUM($J$83:$J$85)</f>
        <v>0</v>
      </c>
      <c r="K86" s="145">
        <f>SUM($K$83:$K$85)</f>
        <v>0</v>
      </c>
      <c r="L86" s="145">
        <f>SUM($L$83:$L$85)</f>
        <v>0</v>
      </c>
      <c r="M86" s="145">
        <f>SUM($M$83:$M$85)</f>
        <v>0</v>
      </c>
      <c r="N86" s="145">
        <f>SUM($N$83:$N$85)</f>
        <v>0</v>
      </c>
      <c r="O86" s="145">
        <f>SUM($O$83:$O$85)</f>
        <v>0</v>
      </c>
      <c r="P86" s="145">
        <f>SUM($P$83:$P$85)</f>
        <v>0</v>
      </c>
      <c r="Q86" s="145">
        <f>SUM($Q$83:$Q$85)</f>
        <v>0</v>
      </c>
      <c r="R86" s="145">
        <f>SUM($R$83:$R$85)</f>
        <v>0</v>
      </c>
      <c r="S86" s="145">
        <f>SUM($S$83:$S$85)</f>
        <v>0</v>
      </c>
      <c r="T86" s="145">
        <f>SUM($T$83:$T$85)</f>
        <v>0</v>
      </c>
      <c r="U86" s="145">
        <f>SUM($U$83:$U$85)</f>
        <v>0</v>
      </c>
      <c r="V86" s="145">
        <f>SUM($V$83:$V$85)</f>
        <v>0</v>
      </c>
      <c r="W86" s="145">
        <f>SUM($W$83:$W$85)</f>
        <v>0</v>
      </c>
      <c r="X86" s="145">
        <f>SUM($X$83:$X$85)</f>
        <v>0</v>
      </c>
      <c r="Y86" s="145">
        <f>SUM($Y$83:$Y$85)</f>
        <v>0</v>
      </c>
      <c r="Z86" s="145">
        <f>SUM($Z$83:$Z$85)</f>
        <v>0</v>
      </c>
      <c r="AA86" s="145">
        <f>SUM($AA$83:$AA$85)</f>
        <v>0</v>
      </c>
    </row>
    <row r="88" spans="1:27" ht="12" customHeight="1" x14ac:dyDescent="0.2">
      <c r="A88" s="142" t="s">
        <v>197</v>
      </c>
    </row>
    <row r="89" spans="1:27" ht="11.25" customHeight="1" x14ac:dyDescent="0.2">
      <c r="A89" s="143" t="s">
        <v>42</v>
      </c>
      <c r="C89" s="146">
        <v>2.4</v>
      </c>
      <c r="D89" s="146">
        <v>2.6</v>
      </c>
      <c r="E89" s="146">
        <v>2.64</v>
      </c>
      <c r="F89" s="146">
        <v>2.59</v>
      </c>
      <c r="G89" s="146">
        <v>2.36</v>
      </c>
      <c r="H89" s="146">
        <v>2.39</v>
      </c>
      <c r="I89" s="146">
        <v>2.4300000000000002</v>
      </c>
      <c r="J89" s="146">
        <v>2.4700000000000002</v>
      </c>
      <c r="K89" s="146">
        <v>2.5</v>
      </c>
      <c r="L89" s="146">
        <v>2.5099999999999998</v>
      </c>
      <c r="M89" s="146">
        <v>2.5299999999999998</v>
      </c>
      <c r="N89" s="146">
        <v>3</v>
      </c>
      <c r="O89" s="146">
        <v>3.18</v>
      </c>
      <c r="P89" s="146">
        <v>3.28</v>
      </c>
      <c r="Q89" s="146">
        <v>3.21</v>
      </c>
      <c r="R89" s="146">
        <v>3.1</v>
      </c>
      <c r="S89" s="146">
        <v>2.88</v>
      </c>
      <c r="T89" s="146">
        <v>2.87</v>
      </c>
      <c r="U89" s="146">
        <v>2.9</v>
      </c>
      <c r="V89" s="146">
        <v>2.93</v>
      </c>
      <c r="W89" s="146">
        <v>2.96</v>
      </c>
      <c r="X89" s="146">
        <v>2.96</v>
      </c>
      <c r="Y89" s="146">
        <v>3</v>
      </c>
      <c r="Z89" s="146">
        <v>3.4</v>
      </c>
      <c r="AA89" s="146"/>
    </row>
    <row r="90" spans="1:27" ht="11.25" customHeight="1" x14ac:dyDescent="0.2">
      <c r="A90" s="143" t="s">
        <v>196</v>
      </c>
      <c r="C90" s="146">
        <v>2.36</v>
      </c>
      <c r="D90" s="146">
        <v>2.6</v>
      </c>
      <c r="E90" s="146">
        <v>2.64</v>
      </c>
      <c r="F90" s="146">
        <v>2.56</v>
      </c>
      <c r="G90" s="146">
        <v>2.42</v>
      </c>
      <c r="H90" s="146">
        <v>2.46</v>
      </c>
      <c r="I90" s="146">
        <v>2.5</v>
      </c>
      <c r="J90" s="146">
        <v>2.54</v>
      </c>
      <c r="K90" s="146">
        <v>2.58</v>
      </c>
      <c r="L90" s="146">
        <v>2.59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f>SUM(($C$89-$C$90))</f>
        <v>4.0000000000000036E-2</v>
      </c>
      <c r="D91" s="147">
        <f>SUM(($D$89-$D$90))</f>
        <v>0</v>
      </c>
      <c r="E91" s="147">
        <f>SUM(($E$89-$E$90))</f>
        <v>0</v>
      </c>
      <c r="F91" s="147">
        <f>SUM(($F$89-$F$90))</f>
        <v>2.9999999999999805E-2</v>
      </c>
      <c r="G91" s="147">
        <f>SUM(($G$89-$G$90))</f>
        <v>-6.0000000000000053E-2</v>
      </c>
      <c r="H91" s="147">
        <f>SUM(($H$89-$H$90))</f>
        <v>-6.999999999999984E-2</v>
      </c>
      <c r="I91" s="147">
        <f>SUM(($I$89-$I$90))</f>
        <v>-6.999999999999984E-2</v>
      </c>
      <c r="J91" s="147">
        <f>SUM(($J$89-$J$90))</f>
        <v>-6.999999999999984E-2</v>
      </c>
      <c r="K91" s="147">
        <f>SUM(($K$89-$K$90))</f>
        <v>-8.0000000000000071E-2</v>
      </c>
      <c r="L91" s="147">
        <f>SUM(($L$89-$L$90))</f>
        <v>-8.0000000000000071E-2</v>
      </c>
      <c r="M91" s="147">
        <f>SUM(($M$89-$M$90))</f>
        <v>-9.0000000000000302E-2</v>
      </c>
      <c r="N91" s="147">
        <f>SUM(($N$89-$N$90))</f>
        <v>-0.10999999999999988</v>
      </c>
      <c r="O91" s="147">
        <f>SUM(($O$89-$O$90))</f>
        <v>-0.10999999999999988</v>
      </c>
      <c r="P91" s="147">
        <f>SUM(($P$89-$P$90))</f>
        <v>-0.12000000000000011</v>
      </c>
      <c r="Q91" s="147">
        <f>SUM(($Q$89-$Q$90))</f>
        <v>-0.12000000000000011</v>
      </c>
      <c r="R91" s="147">
        <f>SUM(($R$89-$R$90))</f>
        <v>-0.12000000000000011</v>
      </c>
      <c r="S91" s="147">
        <f>SUM(($S$89-$S$90))</f>
        <v>-0.12999999999999989</v>
      </c>
      <c r="T91" s="147">
        <f>SUM(($T$89-$T$90))</f>
        <v>-0.14999999999999991</v>
      </c>
      <c r="U91" s="147">
        <f>SUM(($U$89-$U$90))</f>
        <v>-0.14999999999999991</v>
      </c>
      <c r="V91" s="147">
        <f>SUM(($V$89-$V$90))</f>
        <v>-0.14999999999999991</v>
      </c>
      <c r="W91" s="147">
        <f>SUM(($W$89-$W$90))</f>
        <v>-0.14999999999999991</v>
      </c>
      <c r="X91" s="147">
        <f>SUM(($X$89-$X$90))</f>
        <v>-0.16000000000000014</v>
      </c>
      <c r="Y91" s="147">
        <f>SUM(($Y$89-$Y$90))</f>
        <v>-0.16000000000000014</v>
      </c>
      <c r="Z91" s="147">
        <f>SUM(($Z$89-$Z$90))</f>
        <v>-0.16999999999999993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198</v>
      </c>
    </row>
    <row r="98" spans="1:27" ht="11.25" customHeight="1" x14ac:dyDescent="0.2">
      <c r="A98" s="143" t="s">
        <v>199</v>
      </c>
      <c r="C98" s="144">
        <v>-1335827</v>
      </c>
      <c r="D98" s="144">
        <v>-1147416</v>
      </c>
      <c r="E98" s="144">
        <v>-747144</v>
      </c>
      <c r="F98" s="144">
        <v>-696320</v>
      </c>
      <c r="G98" s="144">
        <v>-1020484</v>
      </c>
      <c r="H98" s="144">
        <v>-1321780</v>
      </c>
      <c r="I98" s="144">
        <v>-1240709</v>
      </c>
      <c r="J98" s="144">
        <v>-1736736</v>
      </c>
      <c r="K98" s="144">
        <v>-1687049</v>
      </c>
      <c r="L98" s="144">
        <v>-1614113</v>
      </c>
      <c r="M98" s="144">
        <v>-1633672</v>
      </c>
      <c r="N98" s="144">
        <v>-1120567</v>
      </c>
      <c r="O98" s="144">
        <v>-1018840</v>
      </c>
      <c r="P98" s="144">
        <v>-940250</v>
      </c>
      <c r="Q98" s="144">
        <v>-893641</v>
      </c>
      <c r="R98" s="144">
        <v>-1067842</v>
      </c>
      <c r="S98" s="144">
        <v>34477</v>
      </c>
      <c r="T98" s="144">
        <v>34004</v>
      </c>
      <c r="U98" s="144">
        <v>37039</v>
      </c>
      <c r="V98" s="144">
        <v>42490</v>
      </c>
      <c r="W98" s="144">
        <v>46707</v>
      </c>
      <c r="X98" s="144">
        <v>45024</v>
      </c>
      <c r="Y98" s="144">
        <v>52137</v>
      </c>
      <c r="Z98" s="144">
        <v>0</v>
      </c>
      <c r="AA98" s="144">
        <f>SUM($C$98:$Z$98)</f>
        <v>-18930512</v>
      </c>
    </row>
    <row r="99" spans="1:27" ht="11.25" customHeight="1" thickBot="1" x14ac:dyDescent="0.25">
      <c r="A99" s="143" t="s">
        <v>205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f>SUM($C$99:$Z$99)</f>
        <v>0</v>
      </c>
    </row>
    <row r="100" spans="1:27" ht="11.25" customHeight="1" thickBot="1" x14ac:dyDescent="0.25">
      <c r="A100" s="148" t="s">
        <v>194</v>
      </c>
      <c r="B100" s="149"/>
      <c r="C100" s="150">
        <f>SUM($C$98:$C$99)</f>
        <v>-1335827</v>
      </c>
      <c r="D100" s="150">
        <f>SUM($D$98:$D$99)</f>
        <v>-1147416</v>
      </c>
      <c r="E100" s="150">
        <f>SUM($E$98:$E$99)</f>
        <v>-747144</v>
      </c>
      <c r="F100" s="150">
        <f>SUM($F$98:$F$99)</f>
        <v>-696320</v>
      </c>
      <c r="G100" s="150">
        <f>SUM($G$98:$G$99)</f>
        <v>-1020484</v>
      </c>
      <c r="H100" s="150">
        <f>SUM($H$98:$H$99)</f>
        <v>-1321780</v>
      </c>
      <c r="I100" s="150">
        <f>SUM($I$98:$I$99)</f>
        <v>-1240709</v>
      </c>
      <c r="J100" s="150">
        <f>SUM($J$98:$J$99)</f>
        <v>-1736736</v>
      </c>
      <c r="K100" s="150">
        <f>SUM($K$98:$K$99)</f>
        <v>-1687049</v>
      </c>
      <c r="L100" s="150">
        <f>SUM($L$98:$L$99)</f>
        <v>-1614113</v>
      </c>
      <c r="M100" s="150">
        <f>SUM($M$98:$M$99)</f>
        <v>-1633672</v>
      </c>
      <c r="N100" s="150">
        <f>SUM($N$98:$N$99)</f>
        <v>-1120567</v>
      </c>
      <c r="O100" s="150">
        <f>SUM($O$98:$O$99)</f>
        <v>-1018840</v>
      </c>
      <c r="P100" s="150">
        <f>SUM($P$98:$P$99)</f>
        <v>-940250</v>
      </c>
      <c r="Q100" s="150">
        <f>SUM($Q$98:$Q$99)</f>
        <v>-893641</v>
      </c>
      <c r="R100" s="150">
        <f>SUM($R$98:$R$99)</f>
        <v>-1067842</v>
      </c>
      <c r="S100" s="150">
        <f>SUM($S$98:$S$99)</f>
        <v>34477</v>
      </c>
      <c r="T100" s="150">
        <f>SUM($T$98:$T$99)</f>
        <v>34004</v>
      </c>
      <c r="U100" s="150">
        <f>SUM($U$98:$U$99)</f>
        <v>37039</v>
      </c>
      <c r="V100" s="150">
        <f>SUM($V$98:$V$99)</f>
        <v>42490</v>
      </c>
      <c r="W100" s="150">
        <f>SUM($W$98:$W$99)</f>
        <v>46707</v>
      </c>
      <c r="X100" s="150">
        <f>SUM($X$98:$X$99)</f>
        <v>45024</v>
      </c>
      <c r="Y100" s="150">
        <f>SUM($Y$98:$Y$99)</f>
        <v>52137</v>
      </c>
      <c r="Z100" s="150">
        <f>SUM($Z$98:$Z$99)</f>
        <v>0</v>
      </c>
      <c r="AA100" s="151">
        <f>SUM($AA$98:$AA$99)</f>
        <v>-18930512</v>
      </c>
    </row>
    <row r="101" spans="1:27" ht="11.25" customHeight="1" x14ac:dyDescent="0.2">
      <c r="A101" s="143" t="s">
        <v>2</v>
      </c>
      <c r="C101" s="144">
        <v>-1372901</v>
      </c>
      <c r="D101" s="144">
        <v>-1147333</v>
      </c>
      <c r="E101" s="144">
        <v>-747090</v>
      </c>
      <c r="F101" s="144">
        <v>-705503</v>
      </c>
      <c r="G101" s="144">
        <v>-993665</v>
      </c>
      <c r="H101" s="144">
        <v>-1257343</v>
      </c>
      <c r="I101" s="144">
        <v>-1178495</v>
      </c>
      <c r="J101" s="144">
        <v>-1629858</v>
      </c>
      <c r="K101" s="144">
        <v>-1565209</v>
      </c>
      <c r="L101" s="144">
        <v>-1496480</v>
      </c>
      <c r="M101" s="144">
        <v>-1497265</v>
      </c>
      <c r="N101" s="144">
        <v>-1040084</v>
      </c>
      <c r="O101" s="144">
        <v>-935936</v>
      </c>
      <c r="P101" s="144">
        <v>-850135</v>
      </c>
      <c r="Q101" s="144">
        <v>-812519</v>
      </c>
      <c r="R101" s="144">
        <v>-978338</v>
      </c>
      <c r="S101" s="144">
        <v>53148</v>
      </c>
      <c r="T101" s="144">
        <v>56176</v>
      </c>
      <c r="U101" s="144">
        <v>58403</v>
      </c>
      <c r="V101" s="144">
        <v>64461</v>
      </c>
      <c r="W101" s="144">
        <v>68594</v>
      </c>
      <c r="X101" s="144">
        <v>67529</v>
      </c>
      <c r="Y101" s="144">
        <v>75301</v>
      </c>
      <c r="Z101" s="144">
        <v>0</v>
      </c>
      <c r="AA101" s="144">
        <f>SUM($C$101:$Z$101)</f>
        <v>-17764542</v>
      </c>
    </row>
    <row r="102" spans="1:27" ht="11.25" customHeight="1" x14ac:dyDescent="0.2">
      <c r="A102" s="143" t="s">
        <v>0</v>
      </c>
      <c r="C102" s="145">
        <f>SUM(($C$100-$C$101))</f>
        <v>37074</v>
      </c>
      <c r="D102" s="145">
        <f>SUM(($D$100-$D$101))</f>
        <v>-83</v>
      </c>
      <c r="E102" s="145">
        <f>SUM(($E$100-$E$101))</f>
        <v>-54</v>
      </c>
      <c r="F102" s="145">
        <f>SUM(($F$100-$F$101))</f>
        <v>9183</v>
      </c>
      <c r="G102" s="145">
        <f>SUM(($G$100-$G$101))</f>
        <v>-26819</v>
      </c>
      <c r="H102" s="145">
        <f>SUM(($H$100-$H$101))</f>
        <v>-64437</v>
      </c>
      <c r="I102" s="145">
        <f>SUM(($I$100-$I$101))</f>
        <v>-62214</v>
      </c>
      <c r="J102" s="145">
        <f>SUM(($J$100-$J$101))</f>
        <v>-106878</v>
      </c>
      <c r="K102" s="145">
        <f>SUM(($K$100-$K$101))</f>
        <v>-121840</v>
      </c>
      <c r="L102" s="145">
        <f>SUM(($L$100-$L$101))</f>
        <v>-117633</v>
      </c>
      <c r="M102" s="145">
        <f>SUM(($M$100-$M$101))</f>
        <v>-136407</v>
      </c>
      <c r="N102" s="145">
        <f>SUM(($N$100-$N$101))</f>
        <v>-80483</v>
      </c>
      <c r="O102" s="145">
        <f>SUM(($O$100-$O$101))</f>
        <v>-82904</v>
      </c>
      <c r="P102" s="145">
        <f>SUM(($P$100-$P$101))</f>
        <v>-90115</v>
      </c>
      <c r="Q102" s="145">
        <f>SUM(($Q$100-$Q$101))</f>
        <v>-81122</v>
      </c>
      <c r="R102" s="145">
        <f>SUM(($R$100-$R$101))</f>
        <v>-89504</v>
      </c>
      <c r="S102" s="145">
        <f>SUM(($S$100-$S$101))</f>
        <v>-18671</v>
      </c>
      <c r="T102" s="145">
        <f>SUM(($T$100-$T$101))</f>
        <v>-22172</v>
      </c>
      <c r="U102" s="145">
        <f>SUM(($U$100-$U$101))</f>
        <v>-21364</v>
      </c>
      <c r="V102" s="145">
        <f>SUM(($V$100-$V$101))</f>
        <v>-21971</v>
      </c>
      <c r="W102" s="145">
        <f>SUM(($W$100-$W$101))</f>
        <v>-21887</v>
      </c>
      <c r="X102" s="145">
        <f>SUM(($X$100-$X$101))</f>
        <v>-22505</v>
      </c>
      <c r="Y102" s="145">
        <f>SUM(($Y$100-$Y$101))</f>
        <v>-23164</v>
      </c>
      <c r="Z102" s="145">
        <f>SUM(($Z$100-$Z$101))</f>
        <v>0</v>
      </c>
      <c r="AA102" s="145">
        <f>SUM(($AA$100-$AA$101))</f>
        <v>-1165970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200</v>
      </c>
      <c r="C106" s="51" t="s">
        <v>153</v>
      </c>
      <c r="D106" s="51" t="s">
        <v>154</v>
      </c>
      <c r="E106" s="51" t="s">
        <v>155</v>
      </c>
      <c r="F106" s="51" t="s">
        <v>156</v>
      </c>
      <c r="G106" s="51" t="s">
        <v>157</v>
      </c>
      <c r="H106" s="51" t="s">
        <v>158</v>
      </c>
      <c r="I106" s="51" t="s">
        <v>159</v>
      </c>
      <c r="J106" s="51" t="s">
        <v>160</v>
      </c>
      <c r="K106" s="51" t="s">
        <v>161</v>
      </c>
      <c r="L106" s="51" t="s">
        <v>162</v>
      </c>
      <c r="M106" s="51" t="s">
        <v>163</v>
      </c>
      <c r="N106" s="51" t="s">
        <v>164</v>
      </c>
      <c r="O106" s="51" t="s">
        <v>165</v>
      </c>
      <c r="P106" s="51" t="s">
        <v>166</v>
      </c>
      <c r="Q106" s="51" t="s">
        <v>167</v>
      </c>
      <c r="R106" s="51" t="s">
        <v>168</v>
      </c>
      <c r="S106" s="51" t="s">
        <v>169</v>
      </c>
      <c r="T106" s="51" t="s">
        <v>170</v>
      </c>
      <c r="U106" s="51" t="s">
        <v>171</v>
      </c>
      <c r="V106" s="51" t="s">
        <v>172</v>
      </c>
      <c r="W106" s="51" t="s">
        <v>173</v>
      </c>
      <c r="X106" s="51" t="s">
        <v>174</v>
      </c>
      <c r="Y106" s="51" t="s">
        <v>175</v>
      </c>
      <c r="Z106" s="51" t="s">
        <v>176</v>
      </c>
      <c r="AA106" s="51" t="s">
        <v>40</v>
      </c>
    </row>
    <row r="107" spans="1:27" ht="11.25" customHeight="1" x14ac:dyDescent="0.2">
      <c r="A107" s="143" t="s">
        <v>201</v>
      </c>
      <c r="C107" s="144">
        <f>55000-25000</f>
        <v>30000</v>
      </c>
      <c r="D107" s="144">
        <f>55000-25000</f>
        <v>30000</v>
      </c>
      <c r="E107" s="144">
        <f>55000-25000</f>
        <v>30000</v>
      </c>
      <c r="F107" s="144">
        <f>45000-25000</f>
        <v>20000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f>SUM($C$107:$Z$107)</f>
        <v>335000</v>
      </c>
    </row>
    <row r="108" spans="1:27" ht="11.25" customHeight="1" x14ac:dyDescent="0.2">
      <c r="A108" s="143" t="s">
        <v>202</v>
      </c>
      <c r="C108" s="144">
        <v>-45193.5484</v>
      </c>
      <c r="D108" s="144">
        <v>-41064.483899999999</v>
      </c>
      <c r="E108" s="144">
        <v>-40750</v>
      </c>
      <c r="F108" s="144">
        <v>-8870.9676999999992</v>
      </c>
      <c r="G108" s="144">
        <v>-7500</v>
      </c>
      <c r="H108" s="144">
        <v>-21645.1613</v>
      </c>
      <c r="I108" s="144">
        <v>-26633.3</v>
      </c>
      <c r="J108" s="144">
        <v>-61193.5484</v>
      </c>
      <c r="K108" s="144">
        <v>-66741.935500000007</v>
      </c>
      <c r="L108" s="144">
        <v>-54033.333299999998</v>
      </c>
      <c r="M108" s="144">
        <v>-44161.290300000001</v>
      </c>
      <c r="N108" s="144">
        <v>-33433.300000000003</v>
      </c>
      <c r="O108" s="144">
        <v>-39225.7742</v>
      </c>
      <c r="P108" s="144">
        <v>-37741.9355</v>
      </c>
      <c r="Q108" s="144">
        <v>-32464.25</v>
      </c>
      <c r="R108" s="144">
        <v>-22774.2258</v>
      </c>
      <c r="S108" s="144">
        <v>-31366.666700000002</v>
      </c>
      <c r="T108" s="144">
        <v>-21612.870999999999</v>
      </c>
      <c r="U108" s="144">
        <v>-22600</v>
      </c>
      <c r="V108" s="144">
        <v>-50032.290300000001</v>
      </c>
      <c r="W108" s="144">
        <v>-58032.258099999999</v>
      </c>
      <c r="X108" s="144">
        <v>-50900</v>
      </c>
      <c r="Y108" s="144">
        <v>-38709.6774</v>
      </c>
      <c r="Z108" s="144">
        <v>-34066.666700000002</v>
      </c>
      <c r="AA108" s="144">
        <f>SUM($C$108:$Z$108)</f>
        <v>-890747.48450000002</v>
      </c>
    </row>
    <row r="109" spans="1:27" ht="11.25" customHeight="1" x14ac:dyDescent="0.2">
      <c r="A109" s="143" t="s">
        <v>203</v>
      </c>
      <c r="C109" s="145">
        <f>SUM($C$107:$C$108)</f>
        <v>-15193.5484</v>
      </c>
      <c r="D109" s="145">
        <f>SUM($D$107:$D$108)</f>
        <v>-11064.483899999999</v>
      </c>
      <c r="E109" s="145">
        <f>SUM($E$107:$E$108)</f>
        <v>-10750</v>
      </c>
      <c r="F109" s="145">
        <f>SUM($F$107:$F$108)</f>
        <v>11129.032300000001</v>
      </c>
      <c r="G109" s="145">
        <f>SUM($G$107:$G$108)</f>
        <v>2500</v>
      </c>
      <c r="H109" s="145">
        <f>SUM($H$107:$H$108)</f>
        <v>-11645.1613</v>
      </c>
      <c r="I109" s="145">
        <f>SUM($I$107:$I$108)</f>
        <v>-11633.3</v>
      </c>
      <c r="J109" s="145">
        <f>SUM($J$107:$J$108)</f>
        <v>-36193.5484</v>
      </c>
      <c r="K109" s="145">
        <f>SUM($K$107:$K$108)</f>
        <v>-36741.935500000007</v>
      </c>
      <c r="L109" s="145">
        <f>SUM($L$107:$L$108)</f>
        <v>-24033.333299999998</v>
      </c>
      <c r="M109" s="145">
        <f>SUM($M$107:$M$108)</f>
        <v>-14161.290300000001</v>
      </c>
      <c r="N109" s="145">
        <f>SUM($N$107:$N$108)</f>
        <v>-18433.300000000003</v>
      </c>
      <c r="O109" s="145">
        <f>SUM($O$107:$O$108)</f>
        <v>-24225.7742</v>
      </c>
      <c r="P109" s="145">
        <f>SUM($P$107:$P$108)</f>
        <v>-22741.9355</v>
      </c>
      <c r="Q109" s="145">
        <f>SUM($Q$107:$Q$108)</f>
        <v>-17464.25</v>
      </c>
      <c r="R109" s="145">
        <f>SUM($R$107:$R$108)</f>
        <v>-7774.2258000000002</v>
      </c>
      <c r="S109" s="145">
        <f>SUM($S$107:$S$108)</f>
        <v>-31366.666700000002</v>
      </c>
      <c r="T109" s="145">
        <f>SUM($T$107:$T$108)</f>
        <v>-21612.870999999999</v>
      </c>
      <c r="U109" s="145">
        <f>SUM($U$107:$U$108)</f>
        <v>-22600</v>
      </c>
      <c r="V109" s="145">
        <f>SUM($V$107:$V$108)</f>
        <v>-50032.290300000001</v>
      </c>
      <c r="W109" s="145">
        <f>SUM($W$107:$W$108)</f>
        <v>-58032.258099999999</v>
      </c>
      <c r="X109" s="145">
        <f>SUM($X$107:$X$108)</f>
        <v>-50900</v>
      </c>
      <c r="Y109" s="145">
        <f>SUM($Y$107:$Y$108)</f>
        <v>-38709.6774</v>
      </c>
      <c r="Z109" s="145">
        <f>SUM($Z$107:$Z$108)</f>
        <v>-34066.666700000002</v>
      </c>
      <c r="AA109" s="145">
        <f>SUM($AA$107:$AA$108)</f>
        <v>-555747.48450000002</v>
      </c>
    </row>
    <row r="110" spans="1:27" ht="13.5" customHeight="1" thickBot="1" x14ac:dyDescent="0.25"/>
    <row r="111" spans="1:27" ht="12" customHeight="1" thickBot="1" x14ac:dyDescent="0.25">
      <c r="A111" s="50" t="s">
        <v>204</v>
      </c>
      <c r="C111" s="51" t="s">
        <v>153</v>
      </c>
      <c r="D111" s="51" t="s">
        <v>154</v>
      </c>
      <c r="E111" s="51" t="s">
        <v>155</v>
      </c>
      <c r="F111" s="51" t="s">
        <v>156</v>
      </c>
      <c r="G111" s="51" t="s">
        <v>157</v>
      </c>
      <c r="H111" s="51" t="s">
        <v>158</v>
      </c>
      <c r="I111" s="51" t="s">
        <v>159</v>
      </c>
      <c r="J111" s="51" t="s">
        <v>160</v>
      </c>
      <c r="K111" s="51" t="s">
        <v>161</v>
      </c>
      <c r="L111" s="51" t="s">
        <v>162</v>
      </c>
      <c r="M111" s="51" t="s">
        <v>163</v>
      </c>
      <c r="N111" s="51" t="s">
        <v>164</v>
      </c>
      <c r="O111" s="51" t="s">
        <v>165</v>
      </c>
      <c r="P111" s="51" t="s">
        <v>166</v>
      </c>
      <c r="Q111" s="51" t="s">
        <v>167</v>
      </c>
      <c r="R111" s="51" t="s">
        <v>168</v>
      </c>
      <c r="S111" s="51" t="s">
        <v>169</v>
      </c>
      <c r="T111" s="51" t="s">
        <v>170</v>
      </c>
      <c r="U111" s="51" t="s">
        <v>171</v>
      </c>
      <c r="V111" s="51" t="s">
        <v>172</v>
      </c>
      <c r="W111" s="51" t="s">
        <v>173</v>
      </c>
      <c r="X111" s="51" t="s">
        <v>174</v>
      </c>
      <c r="Y111" s="51" t="s">
        <v>175</v>
      </c>
      <c r="Z111" s="51" t="s">
        <v>176</v>
      </c>
      <c r="AA111" s="51" t="s">
        <v>40</v>
      </c>
    </row>
    <row r="112" spans="1:27" ht="11.25" customHeight="1" x14ac:dyDescent="0.2">
      <c r="A112" s="143" t="s">
        <v>204</v>
      </c>
      <c r="C112" s="144">
        <v>5000</v>
      </c>
      <c r="D112" s="144">
        <v>5000</v>
      </c>
      <c r="E112" s="144">
        <v>5000</v>
      </c>
      <c r="F112" s="144">
        <v>-25000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f>SUM($C$112:$Z$112)</f>
        <v>15000</v>
      </c>
    </row>
    <row r="113" spans="1:27" ht="13.5" customHeight="1" thickBot="1" x14ac:dyDescent="0.25">
      <c r="C113" s="209"/>
      <c r="D113" s="209"/>
      <c r="E113" s="209"/>
      <c r="F113" s="209"/>
      <c r="G113" s="209"/>
    </row>
    <row r="114" spans="1:27" ht="11.25" customHeight="1" thickBot="1" x14ac:dyDescent="0.25">
      <c r="A114" s="148" t="s">
        <v>203</v>
      </c>
      <c r="B114" s="149"/>
      <c r="C114" s="150">
        <f>SUM(($C$109+$C$112))</f>
        <v>-10193.5484</v>
      </c>
      <c r="D114" s="150">
        <f>SUM(($D$109+$D$112))</f>
        <v>-6064.4838999999993</v>
      </c>
      <c r="E114" s="150">
        <f>SUM(($E$109+$E$112))</f>
        <v>-5750</v>
      </c>
      <c r="F114" s="150">
        <f>SUM(($F$109+$F$112))</f>
        <v>-13870.967699999999</v>
      </c>
      <c r="G114" s="150">
        <f>SUM(($G$109+$G$112))</f>
        <v>-12500</v>
      </c>
      <c r="H114" s="150">
        <f>SUM(($H$109+$H$112))</f>
        <v>-26645.1613</v>
      </c>
      <c r="I114" s="150">
        <f>SUM(($I$109+$I$112))</f>
        <v>-11633.3</v>
      </c>
      <c r="J114" s="150">
        <f>SUM(($J$109+$J$112))</f>
        <v>-41193.5484</v>
      </c>
      <c r="K114" s="150">
        <f>SUM(($K$109+$K$112))</f>
        <v>-41741.935500000007</v>
      </c>
      <c r="L114" s="150">
        <f>SUM(($L$109+$L$112))</f>
        <v>-29033.333299999998</v>
      </c>
      <c r="M114" s="150">
        <f>SUM(($M$109+$M$112))</f>
        <v>-19161.290300000001</v>
      </c>
      <c r="N114" s="150">
        <f>SUM(($N$109+$N$112))</f>
        <v>-8433.3000000000029</v>
      </c>
      <c r="O114" s="150">
        <f>SUM(($O$109+$O$112))</f>
        <v>-14225.7742</v>
      </c>
      <c r="P114" s="150">
        <f>SUM(($P$109+$P$112))</f>
        <v>-12741.9355</v>
      </c>
      <c r="Q114" s="150">
        <f>SUM(($Q$109+$Q$112))</f>
        <v>-12464.25</v>
      </c>
      <c r="R114" s="150">
        <f>SUM(($R$109+$R$112))</f>
        <v>-2774.2258000000002</v>
      </c>
      <c r="S114" s="150">
        <f>SUM(($S$109+$S$112))</f>
        <v>-26366.666700000002</v>
      </c>
      <c r="T114" s="150">
        <f>SUM(($T$109+$T$112))</f>
        <v>-16612.870999999999</v>
      </c>
      <c r="U114" s="150">
        <f>SUM(($U$109+$U$112))</f>
        <v>-17600</v>
      </c>
      <c r="V114" s="150">
        <f>SUM(($V$109+$V$112))</f>
        <v>-45032.290300000001</v>
      </c>
      <c r="W114" s="150">
        <f>SUM(($W$109+$W$112))</f>
        <v>-53032.258099999999</v>
      </c>
      <c r="X114" s="150">
        <f>SUM(($X$109+$X$112))</f>
        <v>-45900</v>
      </c>
      <c r="Y114" s="150">
        <f>SUM(($Y$109+$Y$112))</f>
        <v>-33709.6774</v>
      </c>
      <c r="Z114" s="150">
        <f>SUM(($Z$109+$Z$112))</f>
        <v>-34066.666700000002</v>
      </c>
      <c r="AA114" s="151">
        <f>SUM(($AA$109+$AA$112))</f>
        <v>-540747.48450000002</v>
      </c>
    </row>
    <row r="116" spans="1:27" ht="12" customHeight="1" x14ac:dyDescent="0.2">
      <c r="A116" s="142" t="s">
        <v>196</v>
      </c>
    </row>
    <row r="117" spans="1:27" ht="11.25" customHeight="1" x14ac:dyDescent="0.2">
      <c r="A117" s="143" t="s">
        <v>201</v>
      </c>
      <c r="C117" s="144">
        <f>55000-25000</f>
        <v>30000</v>
      </c>
      <c r="D117" s="144">
        <f>55000-25000</f>
        <v>30000</v>
      </c>
      <c r="E117" s="144">
        <f>55000-25000</f>
        <v>30000</v>
      </c>
      <c r="F117" s="144">
        <f>45000-25000</f>
        <v>20000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f>SUM($C$117:$Z$117)</f>
        <v>335000</v>
      </c>
    </row>
    <row r="118" spans="1:27" ht="11.25" customHeight="1" x14ac:dyDescent="0.2">
      <c r="A118" s="143" t="s">
        <v>202</v>
      </c>
      <c r="C118" s="144">
        <v>-48516.129000000001</v>
      </c>
      <c r="D118" s="144">
        <v>-40096.741900000001</v>
      </c>
      <c r="E118" s="144">
        <v>-41357.142899999999</v>
      </c>
      <c r="F118" s="144">
        <v>-9903.2258000000002</v>
      </c>
      <c r="G118" s="144">
        <v>-7300</v>
      </c>
      <c r="H118" s="144">
        <v>-20870.967700000001</v>
      </c>
      <c r="I118" s="144">
        <v>-25799.966700000001</v>
      </c>
      <c r="J118" s="144">
        <v>-59096.7742</v>
      </c>
      <c r="K118" s="144">
        <v>-64967.741900000001</v>
      </c>
      <c r="L118" s="144">
        <v>-51766.666700000002</v>
      </c>
      <c r="M118" s="144">
        <v>-41612.903200000001</v>
      </c>
      <c r="N118" s="144">
        <v>-31499.966700000001</v>
      </c>
      <c r="O118" s="144">
        <v>-37193.516100000001</v>
      </c>
      <c r="P118" s="144">
        <v>-35838.709699999999</v>
      </c>
      <c r="Q118" s="144">
        <v>-30678.5357</v>
      </c>
      <c r="R118" s="144">
        <v>-21419.3871</v>
      </c>
      <c r="S118" s="144">
        <v>-28966.666700000002</v>
      </c>
      <c r="T118" s="144">
        <v>-19548.354800000001</v>
      </c>
      <c r="U118" s="144">
        <v>-20533.333299999998</v>
      </c>
      <c r="V118" s="144">
        <v>-47709.709699999999</v>
      </c>
      <c r="W118" s="144">
        <v>-55645.1613</v>
      </c>
      <c r="X118" s="144">
        <v>-48333.333299999998</v>
      </c>
      <c r="Y118" s="144">
        <v>-36064.516100000001</v>
      </c>
      <c r="Z118" s="144">
        <v>-31100</v>
      </c>
      <c r="AA118" s="144">
        <f>SUM($C$118:$Z$118)</f>
        <v>-855819.45050000015</v>
      </c>
    </row>
    <row r="119" spans="1:27" ht="11.25" customHeight="1" x14ac:dyDescent="0.2">
      <c r="A119" s="143" t="s">
        <v>204</v>
      </c>
      <c r="C119" s="144">
        <v>10000</v>
      </c>
      <c r="D119" s="144">
        <v>10000</v>
      </c>
      <c r="E119" s="144">
        <v>10000</v>
      </c>
      <c r="F119" s="144">
        <v>-20000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f>SUM($C$119:$Z$119)</f>
        <v>35000</v>
      </c>
    </row>
    <row r="120" spans="1:27" ht="11.25" customHeight="1" x14ac:dyDescent="0.2">
      <c r="A120" s="143" t="s">
        <v>203</v>
      </c>
      <c r="C120" s="145">
        <f>SUM($C$117:$C$119)</f>
        <v>-8516.1290000000008</v>
      </c>
      <c r="D120" s="145">
        <f>SUM($D$117:$D$119)</f>
        <v>-96.741900000000896</v>
      </c>
      <c r="E120" s="145">
        <f>SUM($E$117:$E$119)</f>
        <v>-1357.1428999999989</v>
      </c>
      <c r="F120" s="145">
        <f>SUM($F$117:$F$119)</f>
        <v>-9903.2258000000002</v>
      </c>
      <c r="G120" s="145">
        <f>SUM($G$117:$G$119)</f>
        <v>-12300</v>
      </c>
      <c r="H120" s="145">
        <f>SUM($H$117:$H$119)</f>
        <v>-25870.967700000001</v>
      </c>
      <c r="I120" s="145">
        <f>SUM($I$117:$I$119)</f>
        <v>-10799.966700000001</v>
      </c>
      <c r="J120" s="145">
        <f>SUM($J$117:$J$119)</f>
        <v>-39096.7742</v>
      </c>
      <c r="K120" s="145">
        <f>SUM($K$117:$K$119)</f>
        <v>-39967.741900000001</v>
      </c>
      <c r="L120" s="145">
        <f>SUM($L$117:$L$119)</f>
        <v>-26766.666700000002</v>
      </c>
      <c r="M120" s="145">
        <f>SUM($M$117:$M$119)</f>
        <v>-16612.903200000001</v>
      </c>
      <c r="N120" s="145">
        <f>SUM($N$117:$N$119)</f>
        <v>-6499.9667000000009</v>
      </c>
      <c r="O120" s="145">
        <f>SUM($O$117:$O$119)</f>
        <v>-12193.516100000001</v>
      </c>
      <c r="P120" s="145">
        <f>SUM($P$117:$P$119)</f>
        <v>-10838.709699999999</v>
      </c>
      <c r="Q120" s="145">
        <f>SUM($Q$117:$Q$119)</f>
        <v>-10678.5357</v>
      </c>
      <c r="R120" s="145">
        <f>SUM($R$117:$R$119)</f>
        <v>-1419.3870999999999</v>
      </c>
      <c r="S120" s="145">
        <f>SUM($S$117:$S$119)</f>
        <v>-23966.666700000002</v>
      </c>
      <c r="T120" s="145">
        <f>SUM($T$117:$T$119)</f>
        <v>-14548.354800000001</v>
      </c>
      <c r="U120" s="145">
        <f>SUM($U$117:$U$119)</f>
        <v>-15533.333299999998</v>
      </c>
      <c r="V120" s="145">
        <f>SUM($V$117:$V$119)</f>
        <v>-42709.709699999999</v>
      </c>
      <c r="W120" s="145">
        <f>SUM($W$117:$W$119)</f>
        <v>-50645.1613</v>
      </c>
      <c r="X120" s="145">
        <f>SUM($X$117:$X$119)</f>
        <v>-43333.333299999998</v>
      </c>
      <c r="Y120" s="145">
        <f>SUM($Y$117:$Y$119)</f>
        <v>-31064.516100000001</v>
      </c>
      <c r="Z120" s="145">
        <f>SUM($Z$117:$Z$119)</f>
        <v>-31100</v>
      </c>
      <c r="AA120" s="145">
        <f>SUM($AA$117:$AA$119)</f>
        <v>-485819.45050000015</v>
      </c>
    </row>
    <row r="121" spans="1:27" ht="13.5" customHeight="1" x14ac:dyDescent="0.2">
      <c r="C121" s="209"/>
      <c r="D121" s="209"/>
      <c r="E121" s="209"/>
      <c r="F121" s="209"/>
      <c r="G121" s="209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201</v>
      </c>
      <c r="C123" s="144">
        <f>SUM(($C$107-$C$117))</f>
        <v>0</v>
      </c>
      <c r="D123" s="144">
        <f>SUM(($D$107-$D$117))</f>
        <v>0</v>
      </c>
      <c r="E123" s="144">
        <f>SUM(($E$107-$E$117))</f>
        <v>0</v>
      </c>
      <c r="F123" s="144">
        <f>SUM(($F$107-$F$117))</f>
        <v>0</v>
      </c>
      <c r="G123" s="144">
        <f>SUM(($G$107-$G$117))</f>
        <v>0</v>
      </c>
      <c r="H123" s="144">
        <f>SUM(($H$107-$H$117))</f>
        <v>0</v>
      </c>
      <c r="I123" s="144">
        <f>SUM(($I$107-$I$117))</f>
        <v>0</v>
      </c>
      <c r="J123" s="144">
        <f>SUM(($J$107-$J$117))</f>
        <v>0</v>
      </c>
      <c r="K123" s="144">
        <f>SUM(($K$107-$K$117))</f>
        <v>0</v>
      </c>
      <c r="L123" s="144">
        <f>SUM(($L$107-$L$117))</f>
        <v>0</v>
      </c>
      <c r="M123" s="144">
        <f>SUM(($M$107-$M$117))</f>
        <v>0</v>
      </c>
      <c r="N123" s="144">
        <f>SUM(($N$107-$N$117))</f>
        <v>0</v>
      </c>
      <c r="O123" s="144">
        <f>SUM(($O$107-$O$117))</f>
        <v>0</v>
      </c>
      <c r="P123" s="144">
        <f>SUM(($P$107-$P$117))</f>
        <v>0</v>
      </c>
      <c r="Q123" s="144">
        <f>SUM(($Q$107-$Q$117))</f>
        <v>0</v>
      </c>
      <c r="R123" s="144">
        <f>SUM(($R$107-$R$117))</f>
        <v>0</v>
      </c>
      <c r="S123" s="144">
        <f>SUM(($S$107-$S$117))</f>
        <v>0</v>
      </c>
      <c r="T123" s="144">
        <f>SUM(($T$107-$T$117))</f>
        <v>0</v>
      </c>
      <c r="U123" s="144">
        <f>SUM(($U$107-$U$117))</f>
        <v>0</v>
      </c>
      <c r="V123" s="144">
        <f>SUM(($V$107-$V$117))</f>
        <v>0</v>
      </c>
      <c r="W123" s="144">
        <f>SUM(($W$107-$W$117))</f>
        <v>0</v>
      </c>
      <c r="X123" s="144">
        <f>SUM(($X$107-$X$117))</f>
        <v>0</v>
      </c>
      <c r="Y123" s="144">
        <f>SUM(($Y$107-$Y$117))</f>
        <v>0</v>
      </c>
      <c r="Z123" s="144">
        <f>SUM(($Z$107-$Z$117))</f>
        <v>0</v>
      </c>
      <c r="AA123" s="144">
        <f>SUM(($AA$107-$AA$117))</f>
        <v>0</v>
      </c>
    </row>
    <row r="124" spans="1:27" ht="11.25" customHeight="1" x14ac:dyDescent="0.2">
      <c r="A124" s="143" t="s">
        <v>202</v>
      </c>
      <c r="C124" s="144">
        <f>SUM(($C$108-$C$118))</f>
        <v>3322.5806000000011</v>
      </c>
      <c r="D124" s="144">
        <f>SUM(($D$108-$D$118))</f>
        <v>-967.74199999999837</v>
      </c>
      <c r="E124" s="144">
        <f>SUM(($E$108-$E$118))</f>
        <v>607.14289999999892</v>
      </c>
      <c r="F124" s="144">
        <f>SUM(($F$108-$F$118))</f>
        <v>1032.2581000000009</v>
      </c>
      <c r="G124" s="144">
        <f>SUM(($G$108-$G$118))</f>
        <v>-200</v>
      </c>
      <c r="H124" s="144">
        <f>SUM(($H$108-$H$118))</f>
        <v>-774.1935999999987</v>
      </c>
      <c r="I124" s="144">
        <f>SUM(($I$108-$I$118))</f>
        <v>-833.33329999999842</v>
      </c>
      <c r="J124" s="144">
        <f>SUM(($J$108-$J$118))</f>
        <v>-2096.7741999999998</v>
      </c>
      <c r="K124" s="144">
        <f>SUM(($K$108-$K$118))</f>
        <v>-1774.193600000006</v>
      </c>
      <c r="L124" s="144">
        <f>SUM(($L$108-$L$118))</f>
        <v>-2266.6665999999968</v>
      </c>
      <c r="M124" s="144">
        <f>SUM(($M$108-$M$118))</f>
        <v>-2548.3870999999999</v>
      </c>
      <c r="N124" s="144">
        <f>SUM(($N$108-$N$118))</f>
        <v>-1933.3333000000021</v>
      </c>
      <c r="O124" s="144">
        <f>SUM(($O$108-$O$118))</f>
        <v>-2032.2580999999991</v>
      </c>
      <c r="P124" s="144">
        <f>SUM(($P$108-$P$118))</f>
        <v>-1903.2258000000002</v>
      </c>
      <c r="Q124" s="144">
        <f>SUM(($Q$108-$Q$118))</f>
        <v>-1785.7142999999996</v>
      </c>
      <c r="R124" s="144">
        <f>SUM(($R$108-$R$118))</f>
        <v>-1354.8387000000002</v>
      </c>
      <c r="S124" s="144">
        <f>SUM(($S$108-$S$118))</f>
        <v>-2400</v>
      </c>
      <c r="T124" s="144">
        <f>SUM(($T$108-$T$118))</f>
        <v>-2064.5161999999982</v>
      </c>
      <c r="U124" s="144">
        <f>SUM(($U$108-$U$118))</f>
        <v>-2066.6667000000016</v>
      </c>
      <c r="V124" s="144">
        <f>SUM(($V$108-$V$118))</f>
        <v>-2322.5806000000011</v>
      </c>
      <c r="W124" s="144">
        <f>SUM(($W$108-$W$118))</f>
        <v>-2387.0967999999993</v>
      </c>
      <c r="X124" s="144">
        <f>SUM(($X$108-$X$118))</f>
        <v>-2566.6667000000016</v>
      </c>
      <c r="Y124" s="144">
        <f>SUM(($Y$108-$Y$118))</f>
        <v>-2645.1612999999998</v>
      </c>
      <c r="Z124" s="144">
        <f>SUM(($Z$108-$Z$118))</f>
        <v>-2966.6667000000016</v>
      </c>
      <c r="AA124" s="144">
        <f>SUM(($AA$108-$AA$118))</f>
        <v>-34928.033999999869</v>
      </c>
    </row>
    <row r="125" spans="1:27" ht="11.25" customHeight="1" x14ac:dyDescent="0.2">
      <c r="A125" s="143" t="s">
        <v>204</v>
      </c>
      <c r="C125" s="144">
        <f>SUM(($C$112-$C$119))</f>
        <v>-5000</v>
      </c>
      <c r="D125" s="144">
        <f>SUM(($D$112-$D$119))</f>
        <v>-5000</v>
      </c>
      <c r="E125" s="144">
        <f>SUM(($E$112-$E$119))</f>
        <v>-5000</v>
      </c>
      <c r="F125" s="144">
        <f>SUM(($F$112-$F$119))</f>
        <v>-5000</v>
      </c>
      <c r="G125" s="144">
        <f>SUM(($G$112-$G$119))</f>
        <v>0</v>
      </c>
      <c r="H125" s="144">
        <f>SUM(($H$112-$H$119))</f>
        <v>0</v>
      </c>
      <c r="I125" s="144">
        <f>SUM(($I$112-$I$119))</f>
        <v>0</v>
      </c>
      <c r="J125" s="144">
        <f>SUM(($J$112-$J$119))</f>
        <v>0</v>
      </c>
      <c r="K125" s="144">
        <f>SUM(($K$112-$K$119))</f>
        <v>0</v>
      </c>
      <c r="L125" s="144">
        <f>SUM(($L$112-$L$119))</f>
        <v>0</v>
      </c>
      <c r="M125" s="144">
        <f>SUM(($M$112-$M$119))</f>
        <v>0</v>
      </c>
      <c r="N125" s="144">
        <f>SUM(($N$112-$N$119))</f>
        <v>0</v>
      </c>
      <c r="O125" s="144">
        <f>SUM(($O$112-$O$119))</f>
        <v>0</v>
      </c>
      <c r="P125" s="144">
        <f>SUM(($P$112-$P$119))</f>
        <v>0</v>
      </c>
      <c r="Q125" s="144">
        <f>SUM(($Q$112-$Q$119))</f>
        <v>0</v>
      </c>
      <c r="R125" s="144">
        <f>SUM(($R$112-$R$119))</f>
        <v>0</v>
      </c>
      <c r="S125" s="144">
        <f>SUM(($S$112-$S$119))</f>
        <v>0</v>
      </c>
      <c r="T125" s="144">
        <f>SUM(($T$112-$T$119))</f>
        <v>0</v>
      </c>
      <c r="U125" s="144">
        <f>SUM(($U$112-$U$119))</f>
        <v>0</v>
      </c>
      <c r="V125" s="144">
        <f>SUM(($V$112-$V$119))</f>
        <v>0</v>
      </c>
      <c r="W125" s="144">
        <f>SUM(($W$112-$W$119))</f>
        <v>0</v>
      </c>
      <c r="X125" s="144">
        <f>SUM(($X$112-$X$119))</f>
        <v>0</v>
      </c>
      <c r="Y125" s="144">
        <f>SUM(($Y$112-$Y$119))</f>
        <v>0</v>
      </c>
      <c r="Z125" s="144">
        <f>SUM(($Z$112-$Z$119))</f>
        <v>0</v>
      </c>
      <c r="AA125" s="144">
        <f>SUM(($AA$112-$AA$119))</f>
        <v>-20000</v>
      </c>
    </row>
    <row r="126" spans="1:27" ht="11.25" customHeight="1" x14ac:dyDescent="0.2">
      <c r="A126" s="143" t="s">
        <v>203</v>
      </c>
      <c r="C126" s="145">
        <f>SUM($C$123:$C$125)</f>
        <v>-1677.4193999999989</v>
      </c>
      <c r="D126" s="145">
        <f>SUM($D$123:$D$125)</f>
        <v>-5967.7419999999984</v>
      </c>
      <c r="E126" s="145">
        <f>SUM($E$123:$E$125)</f>
        <v>-4392.8571000000011</v>
      </c>
      <c r="F126" s="145">
        <f>SUM($F$123:$F$125)</f>
        <v>-3967.7418999999991</v>
      </c>
      <c r="G126" s="145">
        <f>SUM($G$123:$G$125)</f>
        <v>-200</v>
      </c>
      <c r="H126" s="145">
        <f>SUM($H$123:$H$125)</f>
        <v>-774.1935999999987</v>
      </c>
      <c r="I126" s="145">
        <f>SUM($I$123:$I$125)</f>
        <v>-833.33329999999842</v>
      </c>
      <c r="J126" s="145">
        <f>SUM($J$123:$J$125)</f>
        <v>-2096.7741999999998</v>
      </c>
      <c r="K126" s="145">
        <f>SUM($K$123:$K$125)</f>
        <v>-1774.193600000006</v>
      </c>
      <c r="L126" s="145">
        <f>SUM($L$123:$L$125)</f>
        <v>-2266.6665999999968</v>
      </c>
      <c r="M126" s="145">
        <f>SUM($M$123:$M$125)</f>
        <v>-2548.3870999999999</v>
      </c>
      <c r="N126" s="145">
        <f>SUM($N$123:$N$125)</f>
        <v>-1933.3333000000021</v>
      </c>
      <c r="O126" s="145">
        <f>SUM($O$123:$O$125)</f>
        <v>-2032.2580999999991</v>
      </c>
      <c r="P126" s="145">
        <f>SUM($P$123:$P$125)</f>
        <v>-1903.2258000000002</v>
      </c>
      <c r="Q126" s="145">
        <f>SUM($Q$123:$Q$125)</f>
        <v>-1785.7142999999996</v>
      </c>
      <c r="R126" s="145">
        <f>SUM($R$123:$R$125)</f>
        <v>-1354.8387000000002</v>
      </c>
      <c r="S126" s="145">
        <f>SUM($S$123:$S$125)</f>
        <v>-2400</v>
      </c>
      <c r="T126" s="145">
        <f>SUM($T$123:$T$125)</f>
        <v>-2064.5161999999982</v>
      </c>
      <c r="U126" s="145">
        <f>SUM($U$123:$U$125)</f>
        <v>-2066.6667000000016</v>
      </c>
      <c r="V126" s="145">
        <f>SUM($V$123:$V$125)</f>
        <v>-2322.5806000000011</v>
      </c>
      <c r="W126" s="145">
        <f>SUM($W$123:$W$125)</f>
        <v>-2387.0967999999993</v>
      </c>
      <c r="X126" s="145">
        <f>SUM($X$123:$X$125)</f>
        <v>-2566.6667000000016</v>
      </c>
      <c r="Y126" s="145">
        <f>SUM($Y$123:$Y$125)</f>
        <v>-2645.1612999999998</v>
      </c>
      <c r="Z126" s="145">
        <f>SUM($Z$123:$Z$125)</f>
        <v>-2966.6667000000016</v>
      </c>
      <c r="AA126" s="145">
        <f>SUM($AA$123:$AA$125)</f>
        <v>-54928.033999999869</v>
      </c>
    </row>
    <row r="128" spans="1:27" ht="12" customHeight="1" x14ac:dyDescent="0.2">
      <c r="A128" s="142" t="s">
        <v>197</v>
      </c>
    </row>
    <row r="129" spans="1:27" ht="11.25" customHeight="1" x14ac:dyDescent="0.2">
      <c r="A129" s="143" t="s">
        <v>42</v>
      </c>
      <c r="C129" s="146">
        <v>2.7130000000000001</v>
      </c>
      <c r="D129" s="146">
        <v>2.9359999999999999</v>
      </c>
      <c r="E129" s="146">
        <v>2.806</v>
      </c>
      <c r="F129" s="146">
        <v>2.7749999999999999</v>
      </c>
      <c r="G129" s="146">
        <v>2.58</v>
      </c>
      <c r="H129" s="146">
        <v>2.6179999999999999</v>
      </c>
      <c r="I129" s="146">
        <v>2.6579999999999999</v>
      </c>
      <c r="J129" s="146">
        <v>2.6949999999999998</v>
      </c>
      <c r="K129" s="146">
        <v>2.7280000000000002</v>
      </c>
      <c r="L129" s="146">
        <v>2.73</v>
      </c>
      <c r="M129" s="146">
        <v>2.7519999999999998</v>
      </c>
      <c r="N129" s="146">
        <v>3.3769999999999998</v>
      </c>
      <c r="O129" s="146">
        <v>3.5619999999999998</v>
      </c>
      <c r="P129" s="146">
        <v>3.6619999999999999</v>
      </c>
      <c r="Q129" s="146">
        <v>3.59</v>
      </c>
      <c r="R129" s="146">
        <v>3.4750000000000001</v>
      </c>
      <c r="S129" s="146">
        <v>3.0950000000000002</v>
      </c>
      <c r="T129" s="146">
        <v>3.09</v>
      </c>
      <c r="U129" s="146">
        <v>3.117</v>
      </c>
      <c r="V129" s="146">
        <v>3.149</v>
      </c>
      <c r="W129" s="146">
        <v>3.181</v>
      </c>
      <c r="X129" s="146">
        <v>3.181</v>
      </c>
      <c r="Y129" s="146">
        <v>3.2160000000000002</v>
      </c>
      <c r="Z129" s="146">
        <v>3.7410000000000001</v>
      </c>
      <c r="AA129" s="146"/>
    </row>
    <row r="130" spans="1:27" ht="11.25" customHeight="1" x14ac:dyDescent="0.2">
      <c r="A130" s="143" t="s">
        <v>196</v>
      </c>
      <c r="C130" s="146">
        <v>2.6949999999999998</v>
      </c>
      <c r="D130" s="146">
        <v>2.9849999999999999</v>
      </c>
      <c r="E130" s="146">
        <v>2.8279999999999998</v>
      </c>
      <c r="F130" s="146">
        <v>2.77</v>
      </c>
      <c r="G130" s="146">
        <v>2.6509999999999998</v>
      </c>
      <c r="H130" s="146">
        <v>2.6930000000000001</v>
      </c>
      <c r="I130" s="146">
        <v>2.7330000000000001</v>
      </c>
      <c r="J130" s="146">
        <v>2.7709999999999999</v>
      </c>
      <c r="K130" s="146">
        <v>2.8069999999999999</v>
      </c>
      <c r="L130" s="146">
        <v>2.819</v>
      </c>
      <c r="M130" s="146">
        <v>2.8460000000000001</v>
      </c>
      <c r="N130" s="146">
        <v>3.4609999999999999</v>
      </c>
      <c r="O130" s="146">
        <v>3.6459999999999999</v>
      </c>
      <c r="P130" s="146">
        <v>3.7559999999999998</v>
      </c>
      <c r="Q130" s="146">
        <v>3.6840000000000002</v>
      </c>
      <c r="R130" s="146">
        <v>3.5739999999999998</v>
      </c>
      <c r="S130" s="146">
        <v>3.2290000000000001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f>SUM(($C$129-$C$130))</f>
        <v>1.8000000000000238E-2</v>
      </c>
      <c r="D131" s="147">
        <f>SUM(($D$129-$D$130))</f>
        <v>-4.8999999999999932E-2</v>
      </c>
      <c r="E131" s="147">
        <f>SUM(($E$129-$E$130))</f>
        <v>-2.1999999999999797E-2</v>
      </c>
      <c r="F131" s="147">
        <f>SUM(($F$129-$F$130))</f>
        <v>4.9999999999998934E-3</v>
      </c>
      <c r="G131" s="147">
        <f>SUM(($G$129-$G$130))</f>
        <v>-7.099999999999973E-2</v>
      </c>
      <c r="H131" s="147">
        <f>SUM(($H$129-$H$130))</f>
        <v>-7.5000000000000178E-2</v>
      </c>
      <c r="I131" s="147">
        <f>SUM(($I$129-$I$130))</f>
        <v>-7.5000000000000178E-2</v>
      </c>
      <c r="J131" s="147">
        <f>SUM(($J$129-$J$130))</f>
        <v>-7.6000000000000068E-2</v>
      </c>
      <c r="K131" s="147">
        <f>SUM(($K$129-$K$130))</f>
        <v>-7.8999999999999737E-2</v>
      </c>
      <c r="L131" s="147">
        <f>SUM(($L$129-$L$130))</f>
        <v>-8.8999999999999968E-2</v>
      </c>
      <c r="M131" s="147">
        <f>SUM(($M$129-$M$130))</f>
        <v>-9.4000000000000306E-2</v>
      </c>
      <c r="N131" s="147">
        <f>SUM(($N$129-$N$130))</f>
        <v>-8.4000000000000075E-2</v>
      </c>
      <c r="O131" s="147">
        <f>SUM(($O$129-$O$130))</f>
        <v>-8.4000000000000075E-2</v>
      </c>
      <c r="P131" s="147">
        <f>SUM(($P$129-$P$130))</f>
        <v>-9.3999999999999861E-2</v>
      </c>
      <c r="Q131" s="147">
        <f>SUM(($Q$129-$Q$130))</f>
        <v>-9.4000000000000306E-2</v>
      </c>
      <c r="R131" s="147">
        <f>SUM(($R$129-$R$130))</f>
        <v>-9.8999999999999755E-2</v>
      </c>
      <c r="S131" s="147">
        <f>SUM(($S$129-$S$130))</f>
        <v>-0.1339999999999999</v>
      </c>
      <c r="T131" s="147">
        <f>SUM(($T$129-$T$130))</f>
        <v>-0.14700000000000024</v>
      </c>
      <c r="U131" s="147">
        <f>SUM(($U$129-$U$130))</f>
        <v>-0.14999999999999991</v>
      </c>
      <c r="V131" s="147">
        <f>SUM(($V$129-$V$130))</f>
        <v>-0.15300000000000002</v>
      </c>
      <c r="W131" s="147">
        <f>SUM(($W$129-$W$130))</f>
        <v>-0.15300000000000002</v>
      </c>
      <c r="X131" s="147">
        <f>SUM(($X$129-$X$130))</f>
        <v>-0.16100000000000003</v>
      </c>
      <c r="Y131" s="147">
        <f>SUM(($Y$129-$Y$130))</f>
        <v>-0.16799999999999971</v>
      </c>
      <c r="Z131" s="147">
        <f>SUM(($Z$129-$Z$130))</f>
        <v>-0.17099999999999982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198</v>
      </c>
    </row>
    <row r="138" spans="1:27" ht="11.25" customHeight="1" x14ac:dyDescent="0.2">
      <c r="A138" s="143" t="s">
        <v>199</v>
      </c>
      <c r="C138" s="144">
        <v>-2818023</v>
      </c>
      <c r="D138" s="144">
        <v>-2570539</v>
      </c>
      <c r="E138" s="170">
        <v>-2443311</v>
      </c>
      <c r="F138" s="170">
        <v>-2050715</v>
      </c>
      <c r="G138" s="170">
        <v>-466963</v>
      </c>
      <c r="H138" s="170">
        <v>-487270</v>
      </c>
      <c r="I138" s="170">
        <v>-818535</v>
      </c>
      <c r="J138" s="144">
        <v>-880378</v>
      </c>
      <c r="K138" s="144">
        <v>-1208513</v>
      </c>
      <c r="L138" s="144">
        <v>-1165320</v>
      </c>
      <c r="M138" s="144">
        <v>-1184649</v>
      </c>
      <c r="N138" s="144">
        <v>-2768890</v>
      </c>
      <c r="O138" s="144">
        <v>-2713142</v>
      </c>
      <c r="P138" s="144">
        <v>-2628649</v>
      </c>
      <c r="Q138" s="144">
        <v>-2264836</v>
      </c>
      <c r="R138" s="144">
        <v>-2567142</v>
      </c>
      <c r="S138" s="144">
        <v>30886</v>
      </c>
      <c r="T138" s="144">
        <v>31047</v>
      </c>
      <c r="U138" s="144">
        <v>33763</v>
      </c>
      <c r="V138" s="144">
        <v>39413</v>
      </c>
      <c r="W138" s="144">
        <v>43933</v>
      </c>
      <c r="X138" s="144">
        <v>42350</v>
      </c>
      <c r="Y138" s="144">
        <v>48661</v>
      </c>
      <c r="Z138" s="144">
        <v>0</v>
      </c>
      <c r="AA138" s="144">
        <f>SUM($C$138:$Z$138)</f>
        <v>-28766822</v>
      </c>
    </row>
    <row r="139" spans="1:27" ht="11.25" customHeight="1" thickBot="1" x14ac:dyDescent="0.25">
      <c r="A139" s="143" t="s">
        <v>205</v>
      </c>
      <c r="C139" s="144">
        <v>11399820</v>
      </c>
      <c r="D139" s="144">
        <v>11472372</v>
      </c>
      <c r="E139" s="144">
        <v>8735093</v>
      </c>
      <c r="F139" s="144">
        <v>1789159</v>
      </c>
      <c r="G139" s="144">
        <v>177890</v>
      </c>
      <c r="H139" s="144">
        <v>2130417</v>
      </c>
      <c r="I139" s="144">
        <v>2707746</v>
      </c>
      <c r="J139" s="144">
        <v>4331098</v>
      </c>
      <c r="K139" s="144">
        <v>3938255</v>
      </c>
      <c r="L139" s="144">
        <v>4535606</v>
      </c>
      <c r="M139" s="144">
        <v>4772658</v>
      </c>
      <c r="N139" s="144">
        <v>4701575</v>
      </c>
      <c r="O139" s="144">
        <v>4859495</v>
      </c>
      <c r="P139" s="144">
        <v>1881371</v>
      </c>
      <c r="Q139" s="144">
        <v>1274698</v>
      </c>
      <c r="R139" s="144">
        <v>1493291</v>
      </c>
      <c r="S139" s="144">
        <v>96482</v>
      </c>
      <c r="T139" s="144">
        <v>4040</v>
      </c>
      <c r="U139" s="144">
        <v>32210</v>
      </c>
      <c r="V139" s="144">
        <v>61047</v>
      </c>
      <c r="W139" s="144">
        <v>51724</v>
      </c>
      <c r="X139" s="144">
        <v>100506</v>
      </c>
      <c r="Y139" s="144">
        <v>140694</v>
      </c>
      <c r="Z139" s="144">
        <v>1859344</v>
      </c>
      <c r="AA139" s="144">
        <f>SUM($C$139:$Z$139)</f>
        <v>72546591</v>
      </c>
    </row>
    <row r="140" spans="1:27" ht="11.25" customHeight="1" thickBot="1" x14ac:dyDescent="0.25">
      <c r="A140" s="148" t="s">
        <v>194</v>
      </c>
      <c r="B140" s="149"/>
      <c r="C140" s="150">
        <f>SUM($C$138:$C$139)</f>
        <v>8581797</v>
      </c>
      <c r="D140" s="150">
        <f>SUM($D$138:$D$139)</f>
        <v>8901833</v>
      </c>
      <c r="E140" s="150">
        <f>SUM($E$138:$E$139)</f>
        <v>6291782</v>
      </c>
      <c r="F140" s="150">
        <f>SUM($F$138:$F$139)</f>
        <v>-261556</v>
      </c>
      <c r="G140" s="150">
        <f>SUM($G$138:$G$139)</f>
        <v>-289073</v>
      </c>
      <c r="H140" s="150">
        <f>SUM($H$138:$H$139)</f>
        <v>1643147</v>
      </c>
      <c r="I140" s="150">
        <f>SUM($I$138:$I$139)</f>
        <v>1889211</v>
      </c>
      <c r="J140" s="150">
        <f>SUM($J$138:$J$139)</f>
        <v>3450720</v>
      </c>
      <c r="K140" s="150">
        <f>SUM($K$138:$K$139)</f>
        <v>2729742</v>
      </c>
      <c r="L140" s="150">
        <f>SUM($L$138:$L$139)</f>
        <v>3370286</v>
      </c>
      <c r="M140" s="150">
        <f>SUM($M$138:$M$139)</f>
        <v>3588009</v>
      </c>
      <c r="N140" s="150">
        <f>SUM($N$138:$N$139)</f>
        <v>1932685</v>
      </c>
      <c r="O140" s="150">
        <f>SUM($O$138:$O$139)</f>
        <v>2146353</v>
      </c>
      <c r="P140" s="150">
        <f>SUM($P$138:$P$139)</f>
        <v>-747278</v>
      </c>
      <c r="Q140" s="150">
        <f>SUM($Q$138:$Q$139)</f>
        <v>-990138</v>
      </c>
      <c r="R140" s="150">
        <f>SUM($R$138:$R$139)</f>
        <v>-1073851</v>
      </c>
      <c r="S140" s="150">
        <f>SUM($S$138:$S$139)</f>
        <v>127368</v>
      </c>
      <c r="T140" s="150">
        <f>SUM($T$138:$T$139)</f>
        <v>35087</v>
      </c>
      <c r="U140" s="150">
        <f>SUM($U$138:$U$139)</f>
        <v>65973</v>
      </c>
      <c r="V140" s="150">
        <f>SUM($V$138:$V$139)</f>
        <v>100460</v>
      </c>
      <c r="W140" s="150">
        <f>SUM($W$138:$W$139)</f>
        <v>95657</v>
      </c>
      <c r="X140" s="150">
        <f>SUM($X$138:$X$139)</f>
        <v>142856</v>
      </c>
      <c r="Y140" s="150">
        <f>SUM($Y$138:$Y$139)</f>
        <v>189355</v>
      </c>
      <c r="Z140" s="150">
        <f>SUM($Z$138:$Z$139)</f>
        <v>1859344</v>
      </c>
      <c r="AA140" s="151">
        <f>SUM($AA$138:$AA$139)</f>
        <v>43779769</v>
      </c>
    </row>
    <row r="141" spans="1:27" ht="11.25" customHeight="1" x14ac:dyDescent="0.2">
      <c r="A141" s="143" t="s">
        <v>2</v>
      </c>
      <c r="C141" s="144">
        <v>8566201</v>
      </c>
      <c r="D141" s="144">
        <v>8915883</v>
      </c>
      <c r="E141" s="144">
        <v>6285762</v>
      </c>
      <c r="F141" s="144">
        <v>-270016</v>
      </c>
      <c r="G141" s="144">
        <v>-315004</v>
      </c>
      <c r="H141" s="144">
        <v>1583579</v>
      </c>
      <c r="I141" s="144">
        <v>1865112</v>
      </c>
      <c r="J141" s="144">
        <v>3359841</v>
      </c>
      <c r="K141" s="144">
        <v>2633463</v>
      </c>
      <c r="L141" s="144">
        <v>3300052</v>
      </c>
      <c r="M141" s="144">
        <v>3540449</v>
      </c>
      <c r="N141" s="144">
        <v>1916578</v>
      </c>
      <c r="O141" s="144">
        <v>2115339</v>
      </c>
      <c r="P141" s="144">
        <v>-777797</v>
      </c>
      <c r="Q141" s="144">
        <v>-1017175</v>
      </c>
      <c r="R141" s="144">
        <v>-1077949</v>
      </c>
      <c r="S141" s="144">
        <v>35093</v>
      </c>
      <c r="T141" s="144">
        <v>-28147</v>
      </c>
      <c r="U141" s="144">
        <v>-414</v>
      </c>
      <c r="V141" s="144">
        <v>-91016</v>
      </c>
      <c r="W141" s="144">
        <v>-130527</v>
      </c>
      <c r="X141" s="144">
        <v>-53460</v>
      </c>
      <c r="Y141" s="144">
        <v>38188</v>
      </c>
      <c r="Z141" s="144">
        <v>1710707</v>
      </c>
      <c r="AA141" s="144">
        <f>SUM($C$141:$Z$141)</f>
        <v>42104742</v>
      </c>
    </row>
    <row r="142" spans="1:27" ht="11.25" customHeight="1" x14ac:dyDescent="0.2">
      <c r="A142" s="143" t="s">
        <v>0</v>
      </c>
      <c r="C142" s="145">
        <f>SUM(($C$140-$C$141))</f>
        <v>15596</v>
      </c>
      <c r="D142" s="145">
        <f>SUM(($D$140-$D$141))</f>
        <v>-14050</v>
      </c>
      <c r="E142" s="145">
        <f>SUM(($E$140-$E$141))</f>
        <v>6020</v>
      </c>
      <c r="F142" s="145">
        <f>SUM(($F$140-$F$141))</f>
        <v>8460</v>
      </c>
      <c r="G142" s="145">
        <f>SUM(($G$140-$G$141))</f>
        <v>25931</v>
      </c>
      <c r="H142" s="145">
        <f>SUM(($H$140-$H$141))</f>
        <v>59568</v>
      </c>
      <c r="I142" s="145">
        <f>SUM(($I$140-$I$141))</f>
        <v>24099</v>
      </c>
      <c r="J142" s="145">
        <f>SUM(($J$140-$J$141))</f>
        <v>90879</v>
      </c>
      <c r="K142" s="145">
        <f>SUM(($K$140-$K$141))</f>
        <v>96279</v>
      </c>
      <c r="L142" s="145">
        <f>SUM(($L$140-$L$141))</f>
        <v>70234</v>
      </c>
      <c r="M142" s="145">
        <f>SUM(($M$140-$M$141))</f>
        <v>47560</v>
      </c>
      <c r="N142" s="145">
        <f>SUM(($N$140-$N$141))</f>
        <v>16107</v>
      </c>
      <c r="O142" s="145">
        <f>SUM(($O$140-$O$141))</f>
        <v>31014</v>
      </c>
      <c r="P142" s="145">
        <f>SUM(($P$140-$P$141))</f>
        <v>30519</v>
      </c>
      <c r="Q142" s="145">
        <f>SUM(($Q$140-$Q$141))</f>
        <v>27037</v>
      </c>
      <c r="R142" s="145">
        <f>SUM(($R$140-$R$141))</f>
        <v>4098</v>
      </c>
      <c r="S142" s="145">
        <f>SUM(($S$140-$S$141))</f>
        <v>92275</v>
      </c>
      <c r="T142" s="145">
        <f>SUM(($T$140-$T$141))</f>
        <v>63234</v>
      </c>
      <c r="U142" s="145">
        <f>SUM(($U$140-$U$141))</f>
        <v>66387</v>
      </c>
      <c r="V142" s="145">
        <f>SUM(($V$140-$V$141))</f>
        <v>191476</v>
      </c>
      <c r="W142" s="145">
        <f>SUM(($W$140-$W$141))</f>
        <v>226184</v>
      </c>
      <c r="X142" s="145">
        <f>SUM(($X$140-$X$141))</f>
        <v>196316</v>
      </c>
      <c r="Y142" s="145">
        <f>SUM(($Y$140-$Y$141))</f>
        <v>151167</v>
      </c>
      <c r="Z142" s="145">
        <f>SUM(($Z$140-$Z$141))</f>
        <v>148637</v>
      </c>
      <c r="AA142" s="145">
        <f>SUM(($AA$140-$AA$141))</f>
        <v>1675027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207</v>
      </c>
    </row>
    <row r="2" spans="1:27" ht="12" customHeight="1" x14ac:dyDescent="0.2">
      <c r="A2" s="2" t="s">
        <v>151</v>
      </c>
    </row>
    <row r="3" spans="1:27" ht="12" customHeight="1" x14ac:dyDescent="0.2">
      <c r="A3" s="2" t="s">
        <v>183</v>
      </c>
    </row>
    <row r="4" spans="1:27" ht="12" customHeight="1" x14ac:dyDescent="0.2">
      <c r="A4" s="2" t="s">
        <v>184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153</v>
      </c>
      <c r="D8" s="51" t="s">
        <v>154</v>
      </c>
      <c r="E8" s="51" t="s">
        <v>155</v>
      </c>
      <c r="F8" s="51" t="s">
        <v>156</v>
      </c>
      <c r="G8" s="51" t="s">
        <v>157</v>
      </c>
      <c r="H8" s="51" t="s">
        <v>158</v>
      </c>
      <c r="I8" s="51" t="s">
        <v>159</v>
      </c>
      <c r="J8" s="51" t="s">
        <v>160</v>
      </c>
      <c r="K8" s="51" t="s">
        <v>161</v>
      </c>
      <c r="L8" s="51" t="s">
        <v>162</v>
      </c>
      <c r="M8" s="51" t="s">
        <v>163</v>
      </c>
      <c r="N8" s="51" t="s">
        <v>164</v>
      </c>
      <c r="O8" s="51" t="s">
        <v>165</v>
      </c>
      <c r="P8" s="51" t="s">
        <v>166</v>
      </c>
      <c r="Q8" s="51" t="s">
        <v>167</v>
      </c>
      <c r="R8" s="51" t="s">
        <v>168</v>
      </c>
      <c r="S8" s="51" t="s">
        <v>169</v>
      </c>
      <c r="T8" s="51" t="s">
        <v>170</v>
      </c>
      <c r="U8" s="51" t="s">
        <v>171</v>
      </c>
      <c r="V8" s="51" t="s">
        <v>172</v>
      </c>
      <c r="W8" s="51" t="s">
        <v>173</v>
      </c>
      <c r="X8" s="51" t="s">
        <v>174</v>
      </c>
      <c r="Y8" s="51" t="s">
        <v>175</v>
      </c>
      <c r="Z8" s="51" t="s">
        <v>176</v>
      </c>
      <c r="AA8" s="51" t="s">
        <v>40</v>
      </c>
    </row>
    <row r="9" spans="1:27" ht="12" customHeight="1" x14ac:dyDescent="0.2">
      <c r="A9" s="142" t="s">
        <v>185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196</v>
      </c>
      <c r="C11" s="144">
        <v>-6451.6129000000001</v>
      </c>
      <c r="D11" s="144">
        <v>-6451.6129000000001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-12903.2258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197</v>
      </c>
    </row>
    <row r="15" spans="1:27" ht="11.25" customHeight="1" x14ac:dyDescent="0.2">
      <c r="A15" s="143" t="s">
        <v>42</v>
      </c>
      <c r="C15" s="146">
        <v>2.81</v>
      </c>
      <c r="D15" s="146">
        <v>2.99</v>
      </c>
      <c r="E15" s="146">
        <v>3.04</v>
      </c>
      <c r="F15" s="146">
        <v>3.01</v>
      </c>
      <c r="G15" s="146">
        <v>2.95</v>
      </c>
      <c r="H15" s="146">
        <v>2.98</v>
      </c>
      <c r="I15" s="146">
        <v>3.02</v>
      </c>
      <c r="J15" s="146">
        <v>3.06</v>
      </c>
      <c r="K15" s="146">
        <v>3.09</v>
      </c>
      <c r="L15" s="146">
        <v>3.1</v>
      </c>
      <c r="M15" s="146">
        <v>3.12</v>
      </c>
      <c r="N15" s="146">
        <v>3.3</v>
      </c>
      <c r="O15" s="146">
        <v>3.48</v>
      </c>
      <c r="P15" s="146">
        <v>3.58</v>
      </c>
      <c r="Q15" s="146">
        <v>3.51</v>
      </c>
      <c r="R15" s="146">
        <v>3.4</v>
      </c>
      <c r="S15" s="146">
        <v>3.28</v>
      </c>
      <c r="T15" s="146">
        <v>3.27</v>
      </c>
      <c r="U15" s="146">
        <v>3.3</v>
      </c>
      <c r="V15" s="146">
        <v>3.33</v>
      </c>
      <c r="W15" s="146">
        <v>3.36</v>
      </c>
      <c r="X15" s="146">
        <v>3.36</v>
      </c>
      <c r="Y15" s="146">
        <v>3.4</v>
      </c>
      <c r="Z15" s="146">
        <v>3.54</v>
      </c>
      <c r="AA15" s="146"/>
    </row>
    <row r="16" spans="1:27" ht="11.25" customHeight="1" x14ac:dyDescent="0.2">
      <c r="A16" s="143" t="s">
        <v>196</v>
      </c>
      <c r="C16" s="146">
        <v>2.87</v>
      </c>
      <c r="D16" s="146">
        <v>3.06</v>
      </c>
      <c r="E16" s="146">
        <v>3.1</v>
      </c>
      <c r="F16" s="146">
        <v>3.06</v>
      </c>
      <c r="G16" s="146">
        <v>3.03</v>
      </c>
      <c r="H16" s="146">
        <v>3.07</v>
      </c>
      <c r="I16" s="146">
        <v>3.11</v>
      </c>
      <c r="J16" s="146">
        <v>3.15</v>
      </c>
      <c r="K16" s="146">
        <v>3.18</v>
      </c>
      <c r="L16" s="146">
        <v>3.19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-6.0000000000000053E-2</v>
      </c>
      <c r="D17" s="147">
        <v>-6.999999999999984E-2</v>
      </c>
      <c r="E17" s="147">
        <v>-6.0000000000000053E-2</v>
      </c>
      <c r="F17" s="147">
        <v>-5.0000000000000266E-2</v>
      </c>
      <c r="G17" s="147">
        <v>-7.9999999999999627E-2</v>
      </c>
      <c r="H17" s="147">
        <v>-8.9999999999999858E-2</v>
      </c>
      <c r="I17" s="147">
        <v>-8.9999999999999858E-2</v>
      </c>
      <c r="J17" s="147">
        <v>-8.9999999999999858E-2</v>
      </c>
      <c r="K17" s="147">
        <v>-9.0000000000000302E-2</v>
      </c>
      <c r="L17" s="147">
        <v>-8.9999999999999858E-2</v>
      </c>
      <c r="M17" s="147">
        <v>-0.1</v>
      </c>
      <c r="N17" s="147">
        <v>-0.11</v>
      </c>
      <c r="O17" s="147">
        <v>-0.11</v>
      </c>
      <c r="P17" s="147">
        <v>-0.12</v>
      </c>
      <c r="Q17" s="147">
        <v>-0.12</v>
      </c>
      <c r="R17" s="147">
        <v>-0.12</v>
      </c>
      <c r="S17" s="147">
        <v>-0.13</v>
      </c>
      <c r="T17" s="147">
        <v>-0.15</v>
      </c>
      <c r="U17" s="147">
        <v>-0.15</v>
      </c>
      <c r="V17" s="147">
        <v>-0.15</v>
      </c>
      <c r="W17" s="147">
        <v>-0.15</v>
      </c>
      <c r="X17" s="147">
        <v>-0.16</v>
      </c>
      <c r="Y17" s="147">
        <v>-0.16</v>
      </c>
      <c r="Z17" s="147">
        <v>-0.17</v>
      </c>
      <c r="AA17" s="146"/>
    </row>
    <row r="19" spans="1:27" ht="12" customHeight="1" x14ac:dyDescent="0.2">
      <c r="A19" s="142" t="s">
        <v>198</v>
      </c>
    </row>
    <row r="20" spans="1:27" ht="11.25" customHeight="1" x14ac:dyDescent="0.2">
      <c r="A20" s="143" t="s">
        <v>199</v>
      </c>
      <c r="C20" s="144">
        <v>-70599</v>
      </c>
      <c r="D20" s="144">
        <v>13211</v>
      </c>
      <c r="E20" s="170">
        <v>14922</v>
      </c>
      <c r="F20" s="144">
        <v>10425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-32041</v>
      </c>
    </row>
    <row r="21" spans="1:27" ht="11.25" customHeight="1" x14ac:dyDescent="0.2">
      <c r="A21" s="143" t="s">
        <v>2</v>
      </c>
      <c r="C21" s="144">
        <v>-82584</v>
      </c>
      <c r="D21" s="144">
        <v>-748</v>
      </c>
      <c r="E21" s="144">
        <v>14921</v>
      </c>
      <c r="F21" s="144">
        <v>10425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-57986</v>
      </c>
    </row>
    <row r="22" spans="1:27" ht="11.25" customHeight="1" x14ac:dyDescent="0.2">
      <c r="A22" s="143" t="s">
        <v>0</v>
      </c>
      <c r="C22" s="145">
        <v>11985</v>
      </c>
      <c r="D22" s="145">
        <v>13959</v>
      </c>
      <c r="E22" s="145">
        <v>1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25945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200</v>
      </c>
      <c r="C26" s="51" t="s">
        <v>153</v>
      </c>
      <c r="D26" s="51" t="s">
        <v>154</v>
      </c>
      <c r="E26" s="51" t="s">
        <v>155</v>
      </c>
      <c r="F26" s="51" t="s">
        <v>156</v>
      </c>
      <c r="G26" s="51" t="s">
        <v>157</v>
      </c>
      <c r="H26" s="51" t="s">
        <v>158</v>
      </c>
      <c r="I26" s="51" t="s">
        <v>159</v>
      </c>
      <c r="J26" s="51" t="s">
        <v>160</v>
      </c>
      <c r="K26" s="51" t="s">
        <v>161</v>
      </c>
      <c r="L26" s="51" t="s">
        <v>162</v>
      </c>
      <c r="M26" s="51" t="s">
        <v>163</v>
      </c>
      <c r="N26" s="51" t="s">
        <v>164</v>
      </c>
      <c r="O26" s="51" t="s">
        <v>165</v>
      </c>
      <c r="P26" s="51" t="s">
        <v>166</v>
      </c>
      <c r="Q26" s="51" t="s">
        <v>167</v>
      </c>
      <c r="R26" s="51" t="s">
        <v>168</v>
      </c>
      <c r="S26" s="51" t="s">
        <v>169</v>
      </c>
      <c r="T26" s="51" t="s">
        <v>170</v>
      </c>
      <c r="U26" s="51" t="s">
        <v>171</v>
      </c>
      <c r="V26" s="51" t="s">
        <v>172</v>
      </c>
      <c r="W26" s="51" t="s">
        <v>173</v>
      </c>
      <c r="X26" s="51" t="s">
        <v>174</v>
      </c>
      <c r="Y26" s="51" t="s">
        <v>175</v>
      </c>
      <c r="Z26" s="51" t="s">
        <v>176</v>
      </c>
      <c r="AA26" s="51" t="s">
        <v>40</v>
      </c>
    </row>
    <row r="27" spans="1:27" ht="11.25" customHeight="1" x14ac:dyDescent="0.2">
      <c r="A27" s="143" t="s">
        <v>201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202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203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204</v>
      </c>
      <c r="C31" s="51" t="s">
        <v>153</v>
      </c>
      <c r="D31" s="51" t="s">
        <v>154</v>
      </c>
      <c r="E31" s="51" t="s">
        <v>155</v>
      </c>
      <c r="F31" s="51" t="s">
        <v>156</v>
      </c>
      <c r="G31" s="51" t="s">
        <v>157</v>
      </c>
      <c r="H31" s="51" t="s">
        <v>158</v>
      </c>
      <c r="I31" s="51" t="s">
        <v>159</v>
      </c>
      <c r="J31" s="51" t="s">
        <v>160</v>
      </c>
      <c r="K31" s="51" t="s">
        <v>161</v>
      </c>
      <c r="L31" s="51" t="s">
        <v>162</v>
      </c>
      <c r="M31" s="51" t="s">
        <v>163</v>
      </c>
      <c r="N31" s="51" t="s">
        <v>164</v>
      </c>
      <c r="O31" s="51" t="s">
        <v>165</v>
      </c>
      <c r="P31" s="51" t="s">
        <v>166</v>
      </c>
      <c r="Q31" s="51" t="s">
        <v>167</v>
      </c>
      <c r="R31" s="51" t="s">
        <v>168</v>
      </c>
      <c r="S31" s="51" t="s">
        <v>169</v>
      </c>
      <c r="T31" s="51" t="s">
        <v>170</v>
      </c>
      <c r="U31" s="51" t="s">
        <v>171</v>
      </c>
      <c r="V31" s="51" t="s">
        <v>172</v>
      </c>
      <c r="W31" s="51" t="s">
        <v>173</v>
      </c>
      <c r="X31" s="51" t="s">
        <v>174</v>
      </c>
      <c r="Y31" s="51" t="s">
        <v>175</v>
      </c>
      <c r="Z31" s="51" t="s">
        <v>176</v>
      </c>
      <c r="AA31" s="51" t="s">
        <v>40</v>
      </c>
    </row>
    <row r="32" spans="1:27" ht="11.25" customHeight="1" x14ac:dyDescent="0.2">
      <c r="A32" s="143" t="s">
        <v>204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203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196</v>
      </c>
    </row>
    <row r="37" spans="1:27" ht="11.25" customHeight="1" x14ac:dyDescent="0.2">
      <c r="A37" s="143" t="s">
        <v>201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202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204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203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201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202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204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203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197</v>
      </c>
    </row>
    <row r="49" spans="1:27" ht="11.25" customHeight="1" x14ac:dyDescent="0.2">
      <c r="A49" s="143" t="s">
        <v>42</v>
      </c>
      <c r="C49" s="146">
        <v>3.72</v>
      </c>
      <c r="D49" s="146">
        <v>3.86</v>
      </c>
      <c r="E49" s="146">
        <v>3.89</v>
      </c>
      <c r="F49" s="146">
        <v>3.77</v>
      </c>
      <c r="G49" s="146">
        <v>3.68</v>
      </c>
      <c r="H49" s="146">
        <v>3.73</v>
      </c>
      <c r="I49" s="146">
        <v>3.79</v>
      </c>
      <c r="J49" s="146">
        <v>3.85</v>
      </c>
      <c r="K49" s="146">
        <v>3.9</v>
      </c>
      <c r="L49" s="146">
        <v>3.9</v>
      </c>
      <c r="M49" s="146">
        <v>3.94</v>
      </c>
      <c r="N49" s="146">
        <v>4.3099999999999996</v>
      </c>
      <c r="O49" s="146">
        <v>4.58</v>
      </c>
      <c r="P49" s="146">
        <v>4.74</v>
      </c>
      <c r="Q49" s="146">
        <v>4.63</v>
      </c>
      <c r="R49" s="146">
        <v>4.45</v>
      </c>
      <c r="S49" s="146">
        <v>4.2699999999999996</v>
      </c>
      <c r="T49" s="146">
        <v>4.26</v>
      </c>
      <c r="U49" s="146">
        <v>4.3099999999999996</v>
      </c>
      <c r="V49" s="146">
        <v>4.3499999999999996</v>
      </c>
      <c r="W49" s="146">
        <v>4.4000000000000004</v>
      </c>
      <c r="X49" s="146">
        <v>4.4000000000000004</v>
      </c>
      <c r="Y49" s="146">
        <v>4.45</v>
      </c>
      <c r="Z49" s="146">
        <v>4.7</v>
      </c>
      <c r="AA49" s="146"/>
    </row>
    <row r="50" spans="1:27" ht="11.25" customHeight="1" x14ac:dyDescent="0.2">
      <c r="A50" s="143" t="s">
        <v>196</v>
      </c>
      <c r="C50" s="146">
        <v>3.8</v>
      </c>
      <c r="D50" s="146">
        <v>3.96</v>
      </c>
      <c r="E50" s="146">
        <v>3.98</v>
      </c>
      <c r="F50" s="146">
        <v>3.86</v>
      </c>
      <c r="G50" s="146">
        <v>3.8</v>
      </c>
      <c r="H50" s="146">
        <v>3.86</v>
      </c>
      <c r="I50" s="146">
        <v>3.92</v>
      </c>
      <c r="J50" s="146">
        <v>3.98</v>
      </c>
      <c r="K50" s="146">
        <v>4.03</v>
      </c>
      <c r="L50" s="146">
        <v>4.05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4.8099999999999996</v>
      </c>
      <c r="R50" s="146">
        <v>4.6399999999999997</v>
      </c>
      <c r="S50" s="146">
        <v>4.47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-7.9999999999999627E-2</v>
      </c>
      <c r="D51" s="147">
        <v>-0.1</v>
      </c>
      <c r="E51" s="147">
        <v>-8.9999999999999858E-2</v>
      </c>
      <c r="F51" s="147">
        <v>-8.9999999999999858E-2</v>
      </c>
      <c r="G51" s="147">
        <v>-0.12</v>
      </c>
      <c r="H51" s="147">
        <v>-0.13</v>
      </c>
      <c r="I51" s="147">
        <v>-0.13</v>
      </c>
      <c r="J51" s="147">
        <v>-0.13</v>
      </c>
      <c r="K51" s="147">
        <v>-0.13</v>
      </c>
      <c r="L51" s="147">
        <v>-0.15</v>
      </c>
      <c r="M51" s="147">
        <v>-0.15</v>
      </c>
      <c r="N51" s="147">
        <v>-0.16</v>
      </c>
      <c r="O51" s="147">
        <v>-0.17</v>
      </c>
      <c r="P51" s="147">
        <v>-0.18</v>
      </c>
      <c r="Q51" s="147">
        <v>-0.18</v>
      </c>
      <c r="R51" s="147">
        <v>-0.19</v>
      </c>
      <c r="S51" s="147">
        <v>-0.2</v>
      </c>
      <c r="T51" s="147">
        <v>-0.23</v>
      </c>
      <c r="U51" s="147">
        <v>-0.22000000000000064</v>
      </c>
      <c r="V51" s="147">
        <v>-0.23</v>
      </c>
      <c r="W51" s="147">
        <v>-0.23</v>
      </c>
      <c r="X51" s="147">
        <v>-0.25</v>
      </c>
      <c r="Y51" s="147">
        <v>-0.26</v>
      </c>
      <c r="Z51" s="147">
        <v>-0.25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198</v>
      </c>
    </row>
    <row r="58" spans="1:27" ht="11.25" customHeight="1" x14ac:dyDescent="0.2">
      <c r="A58" s="143" t="s">
        <v>199</v>
      </c>
      <c r="C58" s="144">
        <v>-10870</v>
      </c>
      <c r="D58" s="144">
        <v>-19165</v>
      </c>
      <c r="E58" s="144">
        <v>-17269</v>
      </c>
      <c r="F58" s="144">
        <v>-19080</v>
      </c>
      <c r="G58" s="144">
        <v>-52212</v>
      </c>
      <c r="H58" s="144">
        <v>-53832</v>
      </c>
      <c r="I58" s="144">
        <v>-51976</v>
      </c>
      <c r="J58" s="144">
        <v>-53580</v>
      </c>
      <c r="K58" s="144">
        <v>-53455</v>
      </c>
      <c r="L58" s="144">
        <v>-51618</v>
      </c>
      <c r="M58" s="144">
        <v>-53212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-436269</v>
      </c>
    </row>
    <row r="59" spans="1:27" ht="11.25" customHeight="1" thickBot="1" x14ac:dyDescent="0.25">
      <c r="A59" s="143" t="s">
        <v>205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194</v>
      </c>
      <c r="B60" s="149"/>
      <c r="C60" s="150">
        <v>-10870</v>
      </c>
      <c r="D60" s="150">
        <v>-19165</v>
      </c>
      <c r="E60" s="150">
        <v>-17269</v>
      </c>
      <c r="F60" s="150">
        <v>-19080</v>
      </c>
      <c r="G60" s="150">
        <v>-52212</v>
      </c>
      <c r="H60" s="150">
        <v>-53832</v>
      </c>
      <c r="I60" s="150">
        <v>-51976</v>
      </c>
      <c r="J60" s="150">
        <v>-53580</v>
      </c>
      <c r="K60" s="150">
        <v>-53455</v>
      </c>
      <c r="L60" s="150">
        <v>-51618</v>
      </c>
      <c r="M60" s="150">
        <v>-53212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-436269</v>
      </c>
    </row>
    <row r="61" spans="1:27" ht="11.25" customHeight="1" x14ac:dyDescent="0.2">
      <c r="A61" s="143" t="s">
        <v>2</v>
      </c>
      <c r="C61" s="144">
        <v>-10870</v>
      </c>
      <c r="D61" s="144">
        <v>-19164</v>
      </c>
      <c r="E61" s="144">
        <v>-17268</v>
      </c>
      <c r="F61" s="144">
        <v>-19079</v>
      </c>
      <c r="G61" s="144">
        <v>-52209</v>
      </c>
      <c r="H61" s="144">
        <v>-53828</v>
      </c>
      <c r="I61" s="144">
        <v>-51972</v>
      </c>
      <c r="J61" s="144">
        <v>-53576</v>
      </c>
      <c r="K61" s="144">
        <v>-53451</v>
      </c>
      <c r="L61" s="144">
        <v>-51614</v>
      </c>
      <c r="M61" s="144">
        <v>-53208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-436239</v>
      </c>
    </row>
    <row r="62" spans="1:27" ht="11.25" customHeight="1" x14ac:dyDescent="0.2">
      <c r="A62" s="143" t="s">
        <v>0</v>
      </c>
      <c r="C62" s="145">
        <v>0</v>
      </c>
      <c r="D62" s="145">
        <v>-1</v>
      </c>
      <c r="E62" s="145">
        <v>-1</v>
      </c>
      <c r="F62" s="145">
        <v>-1</v>
      </c>
      <c r="G62" s="145">
        <v>-3</v>
      </c>
      <c r="H62" s="145">
        <v>-4</v>
      </c>
      <c r="I62" s="145">
        <v>-4</v>
      </c>
      <c r="J62" s="145">
        <v>-4</v>
      </c>
      <c r="K62" s="145">
        <v>-4</v>
      </c>
      <c r="L62" s="145">
        <v>-4</v>
      </c>
      <c r="M62" s="145">
        <v>-4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-30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200</v>
      </c>
      <c r="C66" s="51" t="s">
        <v>153</v>
      </c>
      <c r="D66" s="51" t="s">
        <v>154</v>
      </c>
      <c r="E66" s="51" t="s">
        <v>155</v>
      </c>
      <c r="F66" s="51" t="s">
        <v>156</v>
      </c>
      <c r="G66" s="51" t="s">
        <v>157</v>
      </c>
      <c r="H66" s="51" t="s">
        <v>158</v>
      </c>
      <c r="I66" s="51" t="s">
        <v>159</v>
      </c>
      <c r="J66" s="51" t="s">
        <v>160</v>
      </c>
      <c r="K66" s="51" t="s">
        <v>161</v>
      </c>
      <c r="L66" s="51" t="s">
        <v>162</v>
      </c>
      <c r="M66" s="51" t="s">
        <v>163</v>
      </c>
      <c r="N66" s="51" t="s">
        <v>164</v>
      </c>
      <c r="O66" s="51" t="s">
        <v>165</v>
      </c>
      <c r="P66" s="51" t="s">
        <v>166</v>
      </c>
      <c r="Q66" s="51" t="s">
        <v>167</v>
      </c>
      <c r="R66" s="51" t="s">
        <v>168</v>
      </c>
      <c r="S66" s="51" t="s">
        <v>169</v>
      </c>
      <c r="T66" s="51" t="s">
        <v>170</v>
      </c>
      <c r="U66" s="51" t="s">
        <v>171</v>
      </c>
      <c r="V66" s="51" t="s">
        <v>172</v>
      </c>
      <c r="W66" s="51" t="s">
        <v>173</v>
      </c>
      <c r="X66" s="51" t="s">
        <v>174</v>
      </c>
      <c r="Y66" s="51" t="s">
        <v>175</v>
      </c>
      <c r="Z66" s="51" t="s">
        <v>176</v>
      </c>
      <c r="AA66" s="51" t="s">
        <v>40</v>
      </c>
    </row>
    <row r="67" spans="1:27" ht="11.25" customHeight="1" x14ac:dyDescent="0.2">
      <c r="A67" s="143" t="s">
        <v>201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202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203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204</v>
      </c>
      <c r="C71" s="51" t="s">
        <v>153</v>
      </c>
      <c r="D71" s="51" t="s">
        <v>154</v>
      </c>
      <c r="E71" s="51" t="s">
        <v>155</v>
      </c>
      <c r="F71" s="51" t="s">
        <v>156</v>
      </c>
      <c r="G71" s="51" t="s">
        <v>157</v>
      </c>
      <c r="H71" s="51" t="s">
        <v>158</v>
      </c>
      <c r="I71" s="51" t="s">
        <v>159</v>
      </c>
      <c r="J71" s="51" t="s">
        <v>160</v>
      </c>
      <c r="K71" s="51" t="s">
        <v>161</v>
      </c>
      <c r="L71" s="51" t="s">
        <v>162</v>
      </c>
      <c r="M71" s="51" t="s">
        <v>163</v>
      </c>
      <c r="N71" s="51" t="s">
        <v>164</v>
      </c>
      <c r="O71" s="51" t="s">
        <v>165</v>
      </c>
      <c r="P71" s="51" t="s">
        <v>166</v>
      </c>
      <c r="Q71" s="51" t="s">
        <v>167</v>
      </c>
      <c r="R71" s="51" t="s">
        <v>168</v>
      </c>
      <c r="S71" s="51" t="s">
        <v>169</v>
      </c>
      <c r="T71" s="51" t="s">
        <v>170</v>
      </c>
      <c r="U71" s="51" t="s">
        <v>171</v>
      </c>
      <c r="V71" s="51" t="s">
        <v>172</v>
      </c>
      <c r="W71" s="51" t="s">
        <v>173</v>
      </c>
      <c r="X71" s="51" t="s">
        <v>174</v>
      </c>
      <c r="Y71" s="51" t="s">
        <v>175</v>
      </c>
      <c r="Z71" s="51" t="s">
        <v>176</v>
      </c>
      <c r="AA71" s="51" t="s">
        <v>40</v>
      </c>
    </row>
    <row r="72" spans="1:27" ht="11.25" customHeight="1" x14ac:dyDescent="0.2">
      <c r="A72" s="143" t="s">
        <v>204</v>
      </c>
      <c r="C72" s="144">
        <v>0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0</v>
      </c>
    </row>
    <row r="73" spans="1:27" ht="13.5" customHeight="1" thickBot="1" x14ac:dyDescent="0.25"/>
    <row r="74" spans="1:27" ht="11.25" customHeight="1" thickBot="1" x14ac:dyDescent="0.25">
      <c r="A74" s="148" t="s">
        <v>203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0</v>
      </c>
    </row>
    <row r="76" spans="1:27" ht="12" customHeight="1" x14ac:dyDescent="0.2">
      <c r="A76" s="142" t="s">
        <v>196</v>
      </c>
    </row>
    <row r="77" spans="1:27" ht="11.25" customHeight="1" x14ac:dyDescent="0.2">
      <c r="A77" s="143" t="s">
        <v>201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202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204</v>
      </c>
      <c r="C79" s="144">
        <v>0</v>
      </c>
      <c r="D79" s="144">
        <v>0</v>
      </c>
      <c r="E79" s="144">
        <v>0</v>
      </c>
      <c r="F79" s="144">
        <v>0</v>
      </c>
      <c r="G79" s="144">
        <v>-5000</v>
      </c>
      <c r="H79" s="144">
        <v>-5000</v>
      </c>
      <c r="I79" s="144">
        <v>-5000</v>
      </c>
      <c r="J79" s="144">
        <v>-5000</v>
      </c>
      <c r="K79" s="144">
        <v>-5000</v>
      </c>
      <c r="L79" s="144">
        <v>-5000</v>
      </c>
      <c r="M79" s="144">
        <v>-5000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-35000</v>
      </c>
    </row>
    <row r="80" spans="1:27" ht="11.25" customHeight="1" x14ac:dyDescent="0.2">
      <c r="A80" s="143" t="s">
        <v>203</v>
      </c>
      <c r="C80" s="145">
        <v>0</v>
      </c>
      <c r="D80" s="145">
        <v>0</v>
      </c>
      <c r="E80" s="145">
        <v>0</v>
      </c>
      <c r="F80" s="145">
        <v>0</v>
      </c>
      <c r="G80" s="145">
        <v>-5000</v>
      </c>
      <c r="H80" s="145">
        <v>-5000</v>
      </c>
      <c r="I80" s="145">
        <v>-5000</v>
      </c>
      <c r="J80" s="145">
        <v>-5000</v>
      </c>
      <c r="K80" s="145">
        <v>-5000</v>
      </c>
      <c r="L80" s="145">
        <v>-5000</v>
      </c>
      <c r="M80" s="145">
        <v>-5000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-35000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201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202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204</v>
      </c>
      <c r="C85" s="144">
        <v>0</v>
      </c>
      <c r="D85" s="144">
        <v>0</v>
      </c>
      <c r="E85" s="144">
        <v>0</v>
      </c>
      <c r="F85" s="144">
        <v>0</v>
      </c>
      <c r="G85" s="144">
        <v>5000</v>
      </c>
      <c r="H85" s="144">
        <v>5000</v>
      </c>
      <c r="I85" s="144">
        <v>5000</v>
      </c>
      <c r="J85" s="144">
        <v>5000</v>
      </c>
      <c r="K85" s="144">
        <v>5000</v>
      </c>
      <c r="L85" s="144">
        <v>5000</v>
      </c>
      <c r="M85" s="144">
        <v>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35000</v>
      </c>
    </row>
    <row r="86" spans="1:27" ht="11.25" customHeight="1" x14ac:dyDescent="0.2">
      <c r="A86" s="143" t="s">
        <v>203</v>
      </c>
      <c r="C86" s="145">
        <v>0</v>
      </c>
      <c r="D86" s="145">
        <v>0</v>
      </c>
      <c r="E86" s="145">
        <v>0</v>
      </c>
      <c r="F86" s="145">
        <v>0</v>
      </c>
      <c r="G86" s="145">
        <v>5000</v>
      </c>
      <c r="H86" s="145">
        <v>5000</v>
      </c>
      <c r="I86" s="145">
        <v>5000</v>
      </c>
      <c r="J86" s="145">
        <v>5000</v>
      </c>
      <c r="K86" s="145">
        <v>5000</v>
      </c>
      <c r="L86" s="145">
        <v>5000</v>
      </c>
      <c r="M86" s="145">
        <v>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35000</v>
      </c>
    </row>
    <row r="88" spans="1:27" ht="12" customHeight="1" x14ac:dyDescent="0.2">
      <c r="A88" s="142" t="s">
        <v>197</v>
      </c>
    </row>
    <row r="89" spans="1:27" ht="11.25" customHeight="1" x14ac:dyDescent="0.2">
      <c r="A89" s="143" t="s">
        <v>42</v>
      </c>
      <c r="C89" s="146">
        <v>2.4</v>
      </c>
      <c r="D89" s="146">
        <v>2.6</v>
      </c>
      <c r="E89" s="146">
        <v>2.64</v>
      </c>
      <c r="F89" s="146">
        <v>2.59</v>
      </c>
      <c r="G89" s="146">
        <v>2.36</v>
      </c>
      <c r="H89" s="146">
        <v>2.39</v>
      </c>
      <c r="I89" s="146">
        <v>2.4300000000000002</v>
      </c>
      <c r="J89" s="146">
        <v>2.4700000000000002</v>
      </c>
      <c r="K89" s="146">
        <v>2.5</v>
      </c>
      <c r="L89" s="146">
        <v>2.5099999999999998</v>
      </c>
      <c r="M89" s="146">
        <v>2.5299999999999998</v>
      </c>
      <c r="N89" s="146">
        <v>3</v>
      </c>
      <c r="O89" s="146">
        <v>3.18</v>
      </c>
      <c r="P89" s="146">
        <v>3.28</v>
      </c>
      <c r="Q89" s="146">
        <v>3.21</v>
      </c>
      <c r="R89" s="146">
        <v>3.1</v>
      </c>
      <c r="S89" s="146">
        <v>2.88</v>
      </c>
      <c r="T89" s="146">
        <v>2.87</v>
      </c>
      <c r="U89" s="146">
        <v>2.9</v>
      </c>
      <c r="V89" s="146">
        <v>2.93</v>
      </c>
      <c r="W89" s="146">
        <v>2.96</v>
      </c>
      <c r="X89" s="146">
        <v>2.96</v>
      </c>
      <c r="Y89" s="146">
        <v>3</v>
      </c>
      <c r="Z89" s="146">
        <v>3.4</v>
      </c>
      <c r="AA89" s="146"/>
    </row>
    <row r="90" spans="1:27" ht="11.25" customHeight="1" x14ac:dyDescent="0.2">
      <c r="A90" s="143" t="s">
        <v>196</v>
      </c>
      <c r="C90" s="146">
        <v>2.36</v>
      </c>
      <c r="D90" s="146">
        <v>2.6</v>
      </c>
      <c r="E90" s="146">
        <v>2.64</v>
      </c>
      <c r="F90" s="146">
        <v>2.56</v>
      </c>
      <c r="G90" s="146">
        <v>2.42</v>
      </c>
      <c r="H90" s="146">
        <v>2.46</v>
      </c>
      <c r="I90" s="146">
        <v>2.5</v>
      </c>
      <c r="J90" s="146">
        <v>2.54</v>
      </c>
      <c r="K90" s="146">
        <v>2.58</v>
      </c>
      <c r="L90" s="146">
        <v>2.59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0.04</v>
      </c>
      <c r="D91" s="147">
        <v>0</v>
      </c>
      <c r="E91" s="147">
        <v>0</v>
      </c>
      <c r="F91" s="147">
        <v>2.9999999999999805E-2</v>
      </c>
      <c r="G91" s="147">
        <v>-6.0000000000000053E-2</v>
      </c>
      <c r="H91" s="147">
        <v>-6.999999999999984E-2</v>
      </c>
      <c r="I91" s="147">
        <v>-6.999999999999984E-2</v>
      </c>
      <c r="J91" s="147">
        <v>-6.999999999999984E-2</v>
      </c>
      <c r="K91" s="147">
        <v>-8.0000000000000071E-2</v>
      </c>
      <c r="L91" s="147">
        <v>-8.0000000000000071E-2</v>
      </c>
      <c r="M91" s="147">
        <v>-9.0000000000000302E-2</v>
      </c>
      <c r="N91" s="147">
        <v>-0.11</v>
      </c>
      <c r="O91" s="147">
        <v>-0.11</v>
      </c>
      <c r="P91" s="147">
        <v>-0.12</v>
      </c>
      <c r="Q91" s="147">
        <v>-0.12</v>
      </c>
      <c r="R91" s="147">
        <v>-0.12</v>
      </c>
      <c r="S91" s="147">
        <v>-0.13</v>
      </c>
      <c r="T91" s="147">
        <v>-0.15</v>
      </c>
      <c r="U91" s="147">
        <v>-0.15</v>
      </c>
      <c r="V91" s="147">
        <v>-0.15</v>
      </c>
      <c r="W91" s="147">
        <v>-0.15</v>
      </c>
      <c r="X91" s="147">
        <v>-0.16</v>
      </c>
      <c r="Y91" s="147">
        <v>-0.16</v>
      </c>
      <c r="Z91" s="147">
        <v>-0.17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2.4500000000000002</v>
      </c>
      <c r="H94" s="146">
        <v>2.4500000000000002</v>
      </c>
      <c r="I94" s="146">
        <v>2.4500000000000002</v>
      </c>
      <c r="J94" s="146">
        <v>2.4500000000000002</v>
      </c>
      <c r="K94" s="146">
        <v>2.4500000000000002</v>
      </c>
      <c r="L94" s="146">
        <v>2.4500000000000002</v>
      </c>
      <c r="M94" s="146">
        <v>2.4500000000000002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2.5</v>
      </c>
      <c r="H95" s="146">
        <v>2.5</v>
      </c>
      <c r="I95" s="146">
        <v>2.5</v>
      </c>
      <c r="J95" s="146">
        <v>2.5</v>
      </c>
      <c r="K95" s="146">
        <v>2.5</v>
      </c>
      <c r="L95" s="146">
        <v>2.5</v>
      </c>
      <c r="M95" s="146">
        <v>2.5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198</v>
      </c>
    </row>
    <row r="98" spans="1:27" ht="11.25" customHeight="1" x14ac:dyDescent="0.2">
      <c r="A98" s="143" t="s">
        <v>199</v>
      </c>
      <c r="C98" s="144">
        <v>0</v>
      </c>
      <c r="D98" s="144">
        <v>0</v>
      </c>
      <c r="E98" s="144">
        <v>0</v>
      </c>
      <c r="F98" s="144">
        <v>0</v>
      </c>
      <c r="G98" s="144">
        <v>7430</v>
      </c>
      <c r="H98" s="144">
        <v>7660</v>
      </c>
      <c r="I98" s="144">
        <v>7396</v>
      </c>
      <c r="J98" s="144">
        <v>7626</v>
      </c>
      <c r="K98" s="144">
        <v>7608</v>
      </c>
      <c r="L98" s="144">
        <v>7345</v>
      </c>
      <c r="M98" s="144">
        <v>7572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52637</v>
      </c>
    </row>
    <row r="99" spans="1:27" ht="11.25" customHeight="1" thickBot="1" x14ac:dyDescent="0.25">
      <c r="A99" s="143" t="s">
        <v>205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194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7430</v>
      </c>
      <c r="H100" s="150">
        <v>7660</v>
      </c>
      <c r="I100" s="150">
        <v>7396</v>
      </c>
      <c r="J100" s="150">
        <v>7626</v>
      </c>
      <c r="K100" s="150">
        <v>7608</v>
      </c>
      <c r="L100" s="150">
        <v>7345</v>
      </c>
      <c r="M100" s="150">
        <v>7572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52637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11887</v>
      </c>
      <c r="H101" s="144">
        <v>6128</v>
      </c>
      <c r="I101" s="144">
        <v>0</v>
      </c>
      <c r="J101" s="144">
        <v>-6100</v>
      </c>
      <c r="K101" s="144">
        <v>-12172</v>
      </c>
      <c r="L101" s="144">
        <v>-13220</v>
      </c>
      <c r="M101" s="144">
        <v>-18172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-31649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-4457</v>
      </c>
      <c r="H102" s="145">
        <v>1532</v>
      </c>
      <c r="I102" s="145">
        <v>7396</v>
      </c>
      <c r="J102" s="145">
        <v>13726</v>
      </c>
      <c r="K102" s="145">
        <v>19780</v>
      </c>
      <c r="L102" s="145">
        <v>20565</v>
      </c>
      <c r="M102" s="145">
        <v>25744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84286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200</v>
      </c>
      <c r="C106" s="51" t="s">
        <v>153</v>
      </c>
      <c r="D106" s="51" t="s">
        <v>154</v>
      </c>
      <c r="E106" s="51" t="s">
        <v>155</v>
      </c>
      <c r="F106" s="51" t="s">
        <v>156</v>
      </c>
      <c r="G106" s="51" t="s">
        <v>157</v>
      </c>
      <c r="H106" s="51" t="s">
        <v>158</v>
      </c>
      <c r="I106" s="51" t="s">
        <v>159</v>
      </c>
      <c r="J106" s="51" t="s">
        <v>160</v>
      </c>
      <c r="K106" s="51" t="s">
        <v>161</v>
      </c>
      <c r="L106" s="51" t="s">
        <v>162</v>
      </c>
      <c r="M106" s="51" t="s">
        <v>163</v>
      </c>
      <c r="N106" s="51" t="s">
        <v>164</v>
      </c>
      <c r="O106" s="51" t="s">
        <v>165</v>
      </c>
      <c r="P106" s="51" t="s">
        <v>166</v>
      </c>
      <c r="Q106" s="51" t="s">
        <v>167</v>
      </c>
      <c r="R106" s="51" t="s">
        <v>168</v>
      </c>
      <c r="S106" s="51" t="s">
        <v>169</v>
      </c>
      <c r="T106" s="51" t="s">
        <v>170</v>
      </c>
      <c r="U106" s="51" t="s">
        <v>171</v>
      </c>
      <c r="V106" s="51" t="s">
        <v>172</v>
      </c>
      <c r="W106" s="51" t="s">
        <v>173</v>
      </c>
      <c r="X106" s="51" t="s">
        <v>174</v>
      </c>
      <c r="Y106" s="51" t="s">
        <v>175</v>
      </c>
      <c r="Z106" s="51" t="s">
        <v>176</v>
      </c>
      <c r="AA106" s="51" t="s">
        <v>40</v>
      </c>
    </row>
    <row r="107" spans="1:27" ht="11.25" customHeight="1" x14ac:dyDescent="0.2">
      <c r="A107" s="143" t="s">
        <v>201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202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203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204</v>
      </c>
      <c r="C111" s="51" t="s">
        <v>153</v>
      </c>
      <c r="D111" s="51" t="s">
        <v>154</v>
      </c>
      <c r="E111" s="51" t="s">
        <v>155</v>
      </c>
      <c r="F111" s="51" t="s">
        <v>156</v>
      </c>
      <c r="G111" s="51" t="s">
        <v>157</v>
      </c>
      <c r="H111" s="51" t="s">
        <v>158</v>
      </c>
      <c r="I111" s="51" t="s">
        <v>159</v>
      </c>
      <c r="J111" s="51" t="s">
        <v>160</v>
      </c>
      <c r="K111" s="51" t="s">
        <v>161</v>
      </c>
      <c r="L111" s="51" t="s">
        <v>162</v>
      </c>
      <c r="M111" s="51" t="s">
        <v>163</v>
      </c>
      <c r="N111" s="51" t="s">
        <v>164</v>
      </c>
      <c r="O111" s="51" t="s">
        <v>165</v>
      </c>
      <c r="P111" s="51" t="s">
        <v>166</v>
      </c>
      <c r="Q111" s="51" t="s">
        <v>167</v>
      </c>
      <c r="R111" s="51" t="s">
        <v>168</v>
      </c>
      <c r="S111" s="51" t="s">
        <v>169</v>
      </c>
      <c r="T111" s="51" t="s">
        <v>170</v>
      </c>
      <c r="U111" s="51" t="s">
        <v>171</v>
      </c>
      <c r="V111" s="51" t="s">
        <v>172</v>
      </c>
      <c r="W111" s="51" t="s">
        <v>173</v>
      </c>
      <c r="X111" s="51" t="s">
        <v>174</v>
      </c>
      <c r="Y111" s="51" t="s">
        <v>175</v>
      </c>
      <c r="Z111" s="51" t="s">
        <v>176</v>
      </c>
      <c r="AA111" s="51" t="s">
        <v>40</v>
      </c>
    </row>
    <row r="112" spans="1:27" ht="11.25" customHeight="1" x14ac:dyDescent="0.2">
      <c r="A112" s="143" t="s">
        <v>204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203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196</v>
      </c>
    </row>
    <row r="117" spans="1:27" ht="11.25" customHeight="1" x14ac:dyDescent="0.2">
      <c r="A117" s="143" t="s">
        <v>201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202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204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203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201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202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204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203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197</v>
      </c>
    </row>
    <row r="129" spans="1:27" ht="11.25" customHeight="1" x14ac:dyDescent="0.2">
      <c r="A129" s="143" t="s">
        <v>42</v>
      </c>
      <c r="C129" s="146">
        <v>2.7130000000000001</v>
      </c>
      <c r="D129" s="146">
        <v>2.9359999999999999</v>
      </c>
      <c r="E129" s="146">
        <v>2.806</v>
      </c>
      <c r="F129" s="146">
        <v>2.7749999999999999</v>
      </c>
      <c r="G129" s="146">
        <v>2.58</v>
      </c>
      <c r="H129" s="146">
        <v>2.6179999999999999</v>
      </c>
      <c r="I129" s="146">
        <v>2.6579999999999999</v>
      </c>
      <c r="J129" s="146">
        <v>2.6949999999999998</v>
      </c>
      <c r="K129" s="146">
        <v>2.7280000000000002</v>
      </c>
      <c r="L129" s="146">
        <v>2.73</v>
      </c>
      <c r="M129" s="146">
        <v>2.7519999999999998</v>
      </c>
      <c r="N129" s="146">
        <v>3.3769999999999998</v>
      </c>
      <c r="O129" s="146">
        <v>3.5619999999999998</v>
      </c>
      <c r="P129" s="146">
        <v>3.6619999999999999</v>
      </c>
      <c r="Q129" s="146">
        <v>3.59</v>
      </c>
      <c r="R129" s="146">
        <v>3.4750000000000001</v>
      </c>
      <c r="S129" s="146">
        <v>3.0950000000000002</v>
      </c>
      <c r="T129" s="146">
        <v>3.09</v>
      </c>
      <c r="U129" s="146">
        <v>3.117</v>
      </c>
      <c r="V129" s="146">
        <v>3.149</v>
      </c>
      <c r="W129" s="146">
        <v>3.181</v>
      </c>
      <c r="X129" s="146">
        <v>3.181</v>
      </c>
      <c r="Y129" s="146">
        <v>3.2160000000000002</v>
      </c>
      <c r="Z129" s="146">
        <v>3.7410000000000001</v>
      </c>
      <c r="AA129" s="146"/>
    </row>
    <row r="130" spans="1:27" ht="11.25" customHeight="1" x14ac:dyDescent="0.2">
      <c r="A130" s="143" t="s">
        <v>196</v>
      </c>
      <c r="C130" s="146">
        <v>2.6949999999999998</v>
      </c>
      <c r="D130" s="146">
        <v>2.9849999999999999</v>
      </c>
      <c r="E130" s="146">
        <v>2.8279999999999998</v>
      </c>
      <c r="F130" s="146">
        <v>2.77</v>
      </c>
      <c r="G130" s="146">
        <v>2.6509999999999998</v>
      </c>
      <c r="H130" s="146">
        <v>2.6930000000000001</v>
      </c>
      <c r="I130" s="146">
        <v>2.7330000000000001</v>
      </c>
      <c r="J130" s="146">
        <v>2.7709999999999999</v>
      </c>
      <c r="K130" s="146">
        <v>2.8069999999999999</v>
      </c>
      <c r="L130" s="146">
        <v>2.819</v>
      </c>
      <c r="M130" s="146">
        <v>2.8460000000000001</v>
      </c>
      <c r="N130" s="146">
        <v>3.4609999999999999</v>
      </c>
      <c r="O130" s="146">
        <v>3.6459999999999999</v>
      </c>
      <c r="P130" s="146">
        <v>3.7559999999999998</v>
      </c>
      <c r="Q130" s="146">
        <v>3.6840000000000002</v>
      </c>
      <c r="R130" s="146">
        <v>3.5739999999999998</v>
      </c>
      <c r="S130" s="146">
        <v>3.2290000000000001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1.8000000000000238E-2</v>
      </c>
      <c r="D131" s="147">
        <v>-4.8999999999999932E-2</v>
      </c>
      <c r="E131" s="147">
        <v>-2.1999999999999797E-2</v>
      </c>
      <c r="F131" s="147">
        <v>4.9999999999998934E-3</v>
      </c>
      <c r="G131" s="147">
        <v>-7.099999999999973E-2</v>
      </c>
      <c r="H131" s="147">
        <v>-7.5000000000000178E-2</v>
      </c>
      <c r="I131" s="147">
        <v>-7.5000000000000178E-2</v>
      </c>
      <c r="J131" s="147">
        <v>-7.6000000000000068E-2</v>
      </c>
      <c r="K131" s="147">
        <v>-7.8999999999999737E-2</v>
      </c>
      <c r="L131" s="147">
        <v>-8.8999999999999968E-2</v>
      </c>
      <c r="M131" s="147">
        <v>-9.4000000000000306E-2</v>
      </c>
      <c r="N131" s="147">
        <v>-8.4000000000000075E-2</v>
      </c>
      <c r="O131" s="147">
        <v>-8.4000000000000075E-2</v>
      </c>
      <c r="P131" s="147">
        <v>-9.3999999999999861E-2</v>
      </c>
      <c r="Q131" s="147">
        <v>-9.4000000000000306E-2</v>
      </c>
      <c r="R131" s="147">
        <v>-9.8999999999999755E-2</v>
      </c>
      <c r="S131" s="147">
        <v>-0.1339999999999999</v>
      </c>
      <c r="T131" s="147">
        <v>-0.14700000000000024</v>
      </c>
      <c r="U131" s="147">
        <v>-0.15</v>
      </c>
      <c r="V131" s="147">
        <v>-0.15300000000000002</v>
      </c>
      <c r="W131" s="147">
        <v>-0.15300000000000002</v>
      </c>
      <c r="X131" s="147">
        <v>-0.16100000000000003</v>
      </c>
      <c r="Y131" s="147">
        <v>-0.16799999999999971</v>
      </c>
      <c r="Z131" s="147">
        <v>-0.17099999999999982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198</v>
      </c>
    </row>
    <row r="138" spans="1:27" ht="11.25" customHeight="1" x14ac:dyDescent="0.2">
      <c r="A138" s="143" t="s">
        <v>199</v>
      </c>
      <c r="C138" s="144">
        <v>155507</v>
      </c>
      <c r="D138" s="144">
        <v>155163</v>
      </c>
      <c r="E138" s="170">
        <v>139833</v>
      </c>
      <c r="F138" s="170">
        <v>154515</v>
      </c>
      <c r="G138" s="170">
        <v>25261</v>
      </c>
      <c r="H138" s="170">
        <v>26045</v>
      </c>
      <c r="I138" s="170">
        <v>25147</v>
      </c>
      <c r="J138" s="144">
        <v>25927</v>
      </c>
      <c r="K138" s="144">
        <v>25867</v>
      </c>
      <c r="L138" s="144">
        <v>24974</v>
      </c>
      <c r="M138" s="144">
        <v>25745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783984</v>
      </c>
    </row>
    <row r="139" spans="1:27" ht="11.25" customHeight="1" thickBot="1" x14ac:dyDescent="0.25">
      <c r="A139" s="143" t="s">
        <v>205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194</v>
      </c>
      <c r="B140" s="149"/>
      <c r="C140" s="150">
        <v>155507</v>
      </c>
      <c r="D140" s="150">
        <v>155163</v>
      </c>
      <c r="E140" s="150">
        <v>139833</v>
      </c>
      <c r="F140" s="150">
        <v>154515</v>
      </c>
      <c r="G140" s="150">
        <v>25261</v>
      </c>
      <c r="H140" s="150">
        <v>26045</v>
      </c>
      <c r="I140" s="150">
        <v>25147</v>
      </c>
      <c r="J140" s="150">
        <v>25927</v>
      </c>
      <c r="K140" s="150">
        <v>25867</v>
      </c>
      <c r="L140" s="150">
        <v>24974</v>
      </c>
      <c r="M140" s="150">
        <v>25745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783984</v>
      </c>
    </row>
    <row r="141" spans="1:27" ht="11.25" customHeight="1" x14ac:dyDescent="0.2">
      <c r="A141" s="143" t="s">
        <v>2</v>
      </c>
      <c r="C141" s="144">
        <v>155496</v>
      </c>
      <c r="D141" s="144">
        <v>155152</v>
      </c>
      <c r="E141" s="144">
        <v>139823</v>
      </c>
      <c r="F141" s="144">
        <v>154504</v>
      </c>
      <c r="G141" s="144">
        <v>25260</v>
      </c>
      <c r="H141" s="144">
        <v>26043</v>
      </c>
      <c r="I141" s="144">
        <v>25145</v>
      </c>
      <c r="J141" s="144">
        <v>25925</v>
      </c>
      <c r="K141" s="144">
        <v>25865</v>
      </c>
      <c r="L141" s="144">
        <v>24972</v>
      </c>
      <c r="M141" s="144">
        <v>25743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783928</v>
      </c>
    </row>
    <row r="142" spans="1:27" ht="11.25" customHeight="1" x14ac:dyDescent="0.2">
      <c r="A142" s="143" t="s">
        <v>0</v>
      </c>
      <c r="C142" s="145">
        <v>11</v>
      </c>
      <c r="D142" s="145">
        <v>11</v>
      </c>
      <c r="E142" s="145">
        <v>10</v>
      </c>
      <c r="F142" s="145">
        <v>11</v>
      </c>
      <c r="G142" s="145">
        <v>1</v>
      </c>
      <c r="H142" s="145">
        <v>2</v>
      </c>
      <c r="I142" s="145">
        <v>2</v>
      </c>
      <c r="J142" s="145">
        <v>2</v>
      </c>
      <c r="K142" s="145">
        <v>2</v>
      </c>
      <c r="L142" s="145">
        <v>2</v>
      </c>
      <c r="M142" s="145">
        <v>2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5" x14ac:dyDescent="0.15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75" x14ac:dyDescent="0.2">
      <c r="A1" s="86" t="s">
        <v>10</v>
      </c>
    </row>
    <row r="2" spans="1:31" ht="12.75" x14ac:dyDescent="0.2">
      <c r="A2" s="86" t="s">
        <v>11</v>
      </c>
    </row>
    <row r="3" spans="1:31" ht="12.75" x14ac:dyDescent="0.2">
      <c r="A3" s="86" t="str">
        <f>'GAS SUM'!A3</f>
        <v>As of November 21, 2001</v>
      </c>
    </row>
    <row r="4" spans="1:31" ht="12.75" x14ac:dyDescent="0.2">
      <c r="A4" s="86" t="s">
        <v>12</v>
      </c>
      <c r="F4" s="100"/>
    </row>
    <row r="5" spans="1:31" x14ac:dyDescent="0.15">
      <c r="I5" s="25"/>
    </row>
    <row r="6" spans="1:31" ht="12.75" x14ac:dyDescent="0.2">
      <c r="A6" s="86" t="s">
        <v>13</v>
      </c>
    </row>
    <row r="7" spans="1:31" x14ac:dyDescent="0.15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15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73108</v>
      </c>
      <c r="J8" s="124">
        <v>1000000</v>
      </c>
      <c r="K8" s="125">
        <f>IF(I8&gt;J8,I8-J8,0)</f>
        <v>0</v>
      </c>
    </row>
    <row r="9" spans="1:31" x14ac:dyDescent="0.15">
      <c r="A9" s="87" t="s">
        <v>14</v>
      </c>
      <c r="B9" s="89"/>
      <c r="C9" s="88">
        <f>C25</f>
        <v>377361</v>
      </c>
      <c r="F9" s="87" t="s">
        <v>15</v>
      </c>
      <c r="I9" s="181">
        <f>O54</f>
        <v>109520</v>
      </c>
      <c r="J9" s="88">
        <v>-1000000</v>
      </c>
      <c r="K9" s="126">
        <f>IF(I9&lt;J9,I9-J9,0)</f>
        <v>0</v>
      </c>
    </row>
    <row r="10" spans="1:31" x14ac:dyDescent="0.15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197423</v>
      </c>
      <c r="J10" s="88">
        <v>-2250000</v>
      </c>
      <c r="K10" s="126">
        <f>IF(I10&lt;J10,I10-J10,0)</f>
        <v>0</v>
      </c>
    </row>
    <row r="11" spans="1:31" x14ac:dyDescent="0.15">
      <c r="A11" s="87" t="s">
        <v>39</v>
      </c>
      <c r="B11" s="90"/>
      <c r="C11" s="91"/>
      <c r="D11" s="88">
        <f>SUM(C9:C10)</f>
        <v>2918716.6032664902</v>
      </c>
      <c r="F11" s="87" t="s">
        <v>47</v>
      </c>
      <c r="H11" s="91"/>
      <c r="I11" s="131">
        <f>'Gap Risk'!B29</f>
        <v>-399999.99979999999</v>
      </c>
      <c r="J11" s="128">
        <v>5000000</v>
      </c>
      <c r="K11" s="127">
        <f>IF(ABS(I11)&gt;J11,ABS(I11)-J11,0)</f>
        <v>0</v>
      </c>
    </row>
    <row r="12" spans="1:31" x14ac:dyDescent="0.15">
      <c r="A12" s="112" t="s">
        <v>18</v>
      </c>
      <c r="B12" s="113"/>
      <c r="C12" s="113"/>
      <c r="D12" s="114">
        <f>SUM(D7:D11)</f>
        <v>4266572.5432664901</v>
      </c>
      <c r="F12" s="87" t="s">
        <v>117</v>
      </c>
      <c r="I12" s="131">
        <f>'Gap Risk'!B8</f>
        <v>-399999.99979999999</v>
      </c>
      <c r="J12" s="128">
        <v>5000000</v>
      </c>
      <c r="K12" s="127">
        <f>IF(ABS(I12)&gt;J12,ABS(I12)-J12,0)</f>
        <v>0</v>
      </c>
    </row>
    <row r="13" spans="1:31" x14ac:dyDescent="0.15">
      <c r="D13" s="88"/>
      <c r="E13" s="210"/>
    </row>
    <row r="14" spans="1:31" x14ac:dyDescent="0.15">
      <c r="C14" s="95"/>
      <c r="D14" s="88"/>
    </row>
    <row r="15" spans="1:31" x14ac:dyDescent="0.15">
      <c r="D15" s="88"/>
    </row>
    <row r="16" spans="1:31" s="96" customFormat="1" ht="12.75" x14ac:dyDescent="0.2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15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15">
      <c r="C18" s="88"/>
      <c r="D18" s="88"/>
      <c r="E18" s="88"/>
      <c r="F18" s="88"/>
      <c r="G18" s="88"/>
      <c r="H18" s="88"/>
      <c r="I18" s="99"/>
      <c r="J18" s="99"/>
      <c r="K18" s="199"/>
      <c r="L18" s="199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15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15">
      <c r="AF20" s="99"/>
      <c r="AG20" s="99"/>
      <c r="AH20" s="99"/>
      <c r="AI20" s="99"/>
      <c r="AJ20" s="99"/>
      <c r="AK20" s="99"/>
    </row>
    <row r="21" spans="1:37" ht="12.75" x14ac:dyDescent="0.2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15">
      <c r="A22" s="87" t="s">
        <v>22</v>
      </c>
      <c r="C22" s="88">
        <f>O49</f>
        <v>404311</v>
      </c>
      <c r="AF22" s="99"/>
      <c r="AG22" s="99"/>
      <c r="AH22" s="99"/>
      <c r="AI22" s="99"/>
      <c r="AJ22" s="99"/>
      <c r="AK22" s="99"/>
    </row>
    <row r="23" spans="1:37" x14ac:dyDescent="0.15">
      <c r="A23" s="87" t="s">
        <v>23</v>
      </c>
      <c r="C23" s="88">
        <f>O50</f>
        <v>-36000</v>
      </c>
      <c r="AF23" s="99"/>
      <c r="AG23" s="99"/>
      <c r="AH23" s="99"/>
      <c r="AI23" s="99"/>
      <c r="AJ23" s="99"/>
      <c r="AK23" s="99"/>
    </row>
    <row r="24" spans="1:37" x14ac:dyDescent="0.15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15">
      <c r="A25" s="92" t="s">
        <v>14</v>
      </c>
      <c r="B25" s="93"/>
      <c r="C25" s="94">
        <f>SUM(C22:C24)</f>
        <v>377361</v>
      </c>
      <c r="AF25" s="99"/>
      <c r="AG25" s="99"/>
      <c r="AH25" s="99"/>
      <c r="AI25" s="99"/>
      <c r="AJ25" s="99"/>
      <c r="AK25" s="99"/>
    </row>
    <row r="26" spans="1:37" x14ac:dyDescent="0.15">
      <c r="AF26" s="99"/>
      <c r="AG26" s="99"/>
      <c r="AH26" s="99"/>
      <c r="AI26" s="99"/>
      <c r="AJ26" s="99"/>
      <c r="AK26" s="99"/>
    </row>
    <row r="27" spans="1:37" x14ac:dyDescent="0.15">
      <c r="AF27" s="99"/>
      <c r="AG27" s="99"/>
      <c r="AH27" s="99"/>
      <c r="AI27" s="99"/>
      <c r="AJ27" s="99"/>
      <c r="AK27" s="99"/>
    </row>
    <row r="28" spans="1:37" x14ac:dyDescent="0.15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15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15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0</v>
      </c>
      <c r="H30" s="103">
        <f>'SPEC REPORT DETAILS'!O8+'SPEC REPORT DETAILS'!O20+'SPEC REPORT DETAILS'!O32+'SPEC REPORT DETAILS'!O44</f>
        <v>0</v>
      </c>
      <c r="I30" s="103">
        <f>'SPEC REPORT DETAILS'!P8+'SPEC REPORT DETAILS'!P20+'SPEC REPORT DETAILS'!P32+'SPEC REPORT DETAILS'!P44</f>
        <v>0</v>
      </c>
      <c r="J30" s="103">
        <f>'SPEC REPORT DETAILS'!Q8+'SPEC REPORT DETAILS'!Q20+'SPEC REPORT DETAILS'!Q32+'SPEC REPORT DETAILS'!Q44</f>
        <v>0</v>
      </c>
      <c r="K30" s="103">
        <f>'SPEC REPORT DETAILS'!R8+'SPEC REPORT DETAILS'!R20+'SPEC REPORT DETAILS'!R32+'SPEC REPORT DETAILS'!R44</f>
        <v>0</v>
      </c>
      <c r="L30" s="103">
        <f>'SPEC REPORT DETAILS'!S8+'SPEC REPORT DETAILS'!S20+'SPEC REPORT DETAILS'!S32+'SPEC REPORT DETAILS'!S44</f>
        <v>0</v>
      </c>
      <c r="M30" s="103">
        <f>'SPEC REPORT DETAILS'!T8+'SPEC REPORT DETAILS'!T20+'SPEC REPORT DETAILS'!T32+'SPEC REPORT DETAILS'!T44</f>
        <v>0</v>
      </c>
      <c r="N30" s="103">
        <f>'SPEC REPORT DETAILS'!U8+'SPEC REPORT DETAILS'!U20+'SPEC REPORT DETAILS'!U32+'SPEC REPORT DETAILS'!U44</f>
        <v>0</v>
      </c>
    </row>
    <row r="31" spans="1:37" s="104" customFormat="1" x14ac:dyDescent="0.15">
      <c r="A31" s="115" t="s">
        <v>38</v>
      </c>
      <c r="C31" s="116">
        <f>'SPEC SUM'!C21</f>
        <v>-6451.6129000000001</v>
      </c>
      <c r="D31" s="116">
        <f>'SPEC SUM'!D21</f>
        <v>-6451.6129000000001</v>
      </c>
      <c r="E31" s="116">
        <f>'SPEC SUM'!E21</f>
        <v>0</v>
      </c>
      <c r="F31" s="116">
        <f>'SPEC SUM'!F21</f>
        <v>0</v>
      </c>
      <c r="G31" s="116">
        <f>'SPEC SUM'!G21</f>
        <v>-5000</v>
      </c>
      <c r="H31" s="116">
        <f>'SPEC SUM'!H21</f>
        <v>-5000</v>
      </c>
      <c r="I31" s="116">
        <f>'SPEC SUM'!I21</f>
        <v>-5000</v>
      </c>
      <c r="J31" s="116">
        <f>'SPEC SUM'!J21</f>
        <v>-5000</v>
      </c>
      <c r="K31" s="116">
        <f>'SPEC SUM'!K21</f>
        <v>-5000</v>
      </c>
      <c r="L31" s="116">
        <f>'SPEC SUM'!L21</f>
        <v>-5000</v>
      </c>
      <c r="M31" s="116">
        <f>'SPEC SUM'!M21</f>
        <v>-5000</v>
      </c>
      <c r="N31" s="116">
        <f>'SPEC SUM'!N21</f>
        <v>0</v>
      </c>
    </row>
    <row r="32" spans="1:37" s="104" customFormat="1" x14ac:dyDescent="0.15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5000</v>
      </c>
      <c r="H32" s="117">
        <f t="shared" si="0"/>
        <v>5000</v>
      </c>
      <c r="I32" s="117">
        <f t="shared" si="0"/>
        <v>5000</v>
      </c>
      <c r="J32" s="117">
        <f t="shared" si="0"/>
        <v>5000</v>
      </c>
      <c r="K32" s="117">
        <f t="shared" si="0"/>
        <v>5000</v>
      </c>
      <c r="L32" s="117">
        <f t="shared" si="0"/>
        <v>5000</v>
      </c>
      <c r="M32" s="117">
        <f t="shared" si="0"/>
        <v>5000</v>
      </c>
      <c r="N32" s="117">
        <f t="shared" si="0"/>
        <v>0</v>
      </c>
    </row>
    <row r="33" spans="1:37" s="104" customFormat="1" x14ac:dyDescent="0.15">
      <c r="N33" s="99"/>
    </row>
    <row r="34" spans="1:37" x14ac:dyDescent="0.15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15">
      <c r="A35" s="88" t="s">
        <v>26</v>
      </c>
      <c r="C35" s="88">
        <f>'SPEC REPORT DETAILS'!J10+'SPEC REPORT DETAILS'!J22+'SPEC REPORT DETAILS'!J34+'SPEC REPORT DETAILS'!J46</f>
        <v>94038</v>
      </c>
      <c r="D35" s="88">
        <f>'SPEC REPORT DETAILS'!K10+'SPEC REPORT DETAILS'!K22+'SPEC REPORT DETAILS'!K34+'SPEC REPORT DETAILS'!K46</f>
        <v>165209</v>
      </c>
      <c r="E35" s="88">
        <f>'SPEC REPORT DETAILS'!L10+'SPEC REPORT DETAILS'!L22+'SPEC REPORT DETAILS'!L34+'SPEC REPORT DETAILS'!L46</f>
        <v>137486</v>
      </c>
      <c r="F35" s="88">
        <f>'SPEC REPORT DETAILS'!M10+'SPEC REPORT DETAILS'!M22+'SPEC REPORT DETAILS'!M34+'SPEC REPORT DETAILS'!M46</f>
        <v>145860</v>
      </c>
      <c r="G35" s="88">
        <f>'SPEC REPORT DETAILS'!N10+'SPEC REPORT DETAILS'!N22+'SPEC REPORT DETAILS'!N34+'SPEC REPORT DETAILS'!N46</f>
        <v>-19521</v>
      </c>
      <c r="H35" s="88">
        <f>'SPEC REPORT DETAILS'!O10+'SPEC REPORT DETAILS'!O22+'SPEC REPORT DETAILS'!O34+'SPEC REPORT DETAILS'!O46</f>
        <v>-20127</v>
      </c>
      <c r="I35" s="88">
        <f>'SPEC REPORT DETAILS'!P10+'SPEC REPORT DETAILS'!P22+'SPEC REPORT DETAILS'!P34+'SPEC REPORT DETAILS'!P46</f>
        <v>-19433</v>
      </c>
      <c r="J35" s="88">
        <f>'SPEC REPORT DETAILS'!Q10+'SPEC REPORT DETAILS'!Q22+'SPEC REPORT DETAILS'!Q34+'SPEC REPORT DETAILS'!Q46</f>
        <v>-20027</v>
      </c>
      <c r="K35" s="88">
        <f>'SPEC REPORT DETAILS'!R10+'SPEC REPORT DETAILS'!R22+'SPEC REPORT DETAILS'!R34+'SPEC REPORT DETAILS'!R46</f>
        <v>-19980</v>
      </c>
      <c r="L35" s="88">
        <f>'SPEC REPORT DETAILS'!S10+'SPEC REPORT DETAILS'!S22+'SPEC REPORT DETAILS'!S34+'SPEC REPORT DETAILS'!S46</f>
        <v>-19299</v>
      </c>
      <c r="M35" s="88">
        <f>'SPEC REPORT DETAILS'!T10+'SPEC REPORT DETAILS'!T22+'SPEC REPORT DETAILS'!T34+'SPEC REPORT DETAILS'!T46</f>
        <v>-19895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15">
      <c r="A36" s="88" t="s">
        <v>27</v>
      </c>
      <c r="C36" s="88">
        <f>'SPEC REPORT DETAILS'!J11+'SPEC REPORT DETAILS'!J23+'SPEC REPORT DETAILS'!J35+'SPEC REPORT DETAILS'!J47</f>
        <v>-20000</v>
      </c>
      <c r="D36" s="88">
        <f>'SPEC REPORT DETAILS'!K11+'SPEC REPORT DETAILS'!K23+'SPEC REPORT DETAILS'!K35+'SPEC REPORT DETAILS'!K47</f>
        <v>-16000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0</v>
      </c>
      <c r="H36" s="88">
        <f>'SPEC REPORT DETAILS'!O11+'SPEC REPORT DETAILS'!O23+'SPEC REPORT DETAILS'!O35+'SPEC REPORT DETAILS'!O47</f>
        <v>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0</v>
      </c>
      <c r="K36" s="88">
        <f>'SPEC REPORT DETAILS'!R11+'SPEC REPORT DETAILS'!R23+'SPEC REPORT DETAILS'!R35+'SPEC REPORT DETAILS'!R47</f>
        <v>0</v>
      </c>
      <c r="L36" s="88">
        <f>'SPEC REPORT DETAILS'!S11+'SPEC REPORT DETAILS'!S23+'SPEC REPORT DETAILS'!S35+'SPEC REPORT DETAILS'!S47</f>
        <v>0</v>
      </c>
      <c r="M36" s="88">
        <f>'SPEC REPORT DETAILS'!T11+'SPEC REPORT DETAILS'!T23+'SPEC REPORT DETAILS'!T35+'SPEC REPORT DETAILS'!T47</f>
        <v>0</v>
      </c>
      <c r="N36" s="88">
        <f>'SPEC REPORT DETAILS'!U11+'SPEC REPORT DETAILS'!U23+'SPEC REPORT DETAILS'!U35+'SPEC REPORT DETAILS'!U47</f>
        <v>0</v>
      </c>
      <c r="O36" s="77"/>
    </row>
    <row r="37" spans="1:37" x14ac:dyDescent="0.15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15">
      <c r="A38" s="92" t="s">
        <v>28</v>
      </c>
      <c r="B38" s="21"/>
      <c r="C38" s="94">
        <f>SUM(C35:C37)</f>
        <v>58538</v>
      </c>
      <c r="D38" s="94">
        <f t="shared" ref="D38:N38" si="1">SUM(D35:D37)</f>
        <v>133709</v>
      </c>
      <c r="E38" s="94">
        <f t="shared" si="1"/>
        <v>123486</v>
      </c>
      <c r="F38" s="94">
        <f t="shared" si="1"/>
        <v>130360</v>
      </c>
      <c r="G38" s="94">
        <f t="shared" si="1"/>
        <v>-9771</v>
      </c>
      <c r="H38" s="94">
        <f t="shared" si="1"/>
        <v>-10052</v>
      </c>
      <c r="I38" s="94">
        <f t="shared" si="1"/>
        <v>-9683</v>
      </c>
      <c r="J38" s="94">
        <f t="shared" si="1"/>
        <v>-9952</v>
      </c>
      <c r="K38" s="94">
        <f t="shared" si="1"/>
        <v>-9905</v>
      </c>
      <c r="L38" s="94">
        <f t="shared" si="1"/>
        <v>-9549</v>
      </c>
      <c r="M38" s="94">
        <f t="shared" si="1"/>
        <v>-9820</v>
      </c>
      <c r="N38" s="94">
        <f t="shared" si="1"/>
        <v>0</v>
      </c>
    </row>
    <row r="39" spans="1:37" x14ac:dyDescent="0.15">
      <c r="A39" s="100" t="s">
        <v>2</v>
      </c>
      <c r="C39" s="107">
        <v>46520</v>
      </c>
      <c r="D39" s="107">
        <v>119564</v>
      </c>
      <c r="E39" s="107">
        <v>123164</v>
      </c>
      <c r="F39" s="107">
        <v>129899</v>
      </c>
      <c r="G39" s="107">
        <v>-5252</v>
      </c>
      <c r="H39" s="107">
        <v>-11473</v>
      </c>
      <c r="I39" s="107">
        <v>-16915</v>
      </c>
      <c r="J39" s="107">
        <v>-23440</v>
      </c>
      <c r="K39" s="107">
        <v>-29367</v>
      </c>
      <c r="L39" s="107">
        <v>-29754</v>
      </c>
      <c r="M39" s="107">
        <v>-35105</v>
      </c>
      <c r="N39" s="107">
        <v>0</v>
      </c>
    </row>
    <row r="40" spans="1:37" x14ac:dyDescent="0.15">
      <c r="A40" s="87" t="s">
        <v>0</v>
      </c>
      <c r="C40" s="88">
        <f>C38-C39</f>
        <v>12018</v>
      </c>
      <c r="D40" s="88">
        <f t="shared" ref="D40:N40" si="2">D38-D39</f>
        <v>14145</v>
      </c>
      <c r="E40" s="88">
        <f t="shared" si="2"/>
        <v>322</v>
      </c>
      <c r="F40" s="88">
        <f t="shared" si="2"/>
        <v>461</v>
      </c>
      <c r="G40" s="88">
        <f t="shared" si="2"/>
        <v>-4519</v>
      </c>
      <c r="H40" s="88">
        <f t="shared" si="2"/>
        <v>1421</v>
      </c>
      <c r="I40" s="88">
        <f t="shared" si="2"/>
        <v>7232</v>
      </c>
      <c r="J40" s="88">
        <f t="shared" si="2"/>
        <v>13488</v>
      </c>
      <c r="K40" s="88">
        <f t="shared" si="2"/>
        <v>19462</v>
      </c>
      <c r="L40" s="88">
        <f t="shared" si="2"/>
        <v>20205</v>
      </c>
      <c r="M40" s="88">
        <f t="shared" si="2"/>
        <v>25285</v>
      </c>
      <c r="N40" s="88">
        <f t="shared" si="2"/>
        <v>0</v>
      </c>
    </row>
    <row r="42" spans="1:37" x14ac:dyDescent="0.15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15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15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15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15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15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15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15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404311</v>
      </c>
    </row>
    <row r="50" spans="1:21" ht="11.25" customHeight="1" x14ac:dyDescent="0.15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-36000</v>
      </c>
    </row>
    <row r="51" spans="1:21" x14ac:dyDescent="0.15">
      <c r="A51" s="88" t="s">
        <v>43</v>
      </c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1">
        <f>SUM(C37:N37)+SUM(C51:N51)</f>
        <v>9050</v>
      </c>
    </row>
    <row r="52" spans="1:21" x14ac:dyDescent="0.15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377361</v>
      </c>
    </row>
    <row r="53" spans="1:21" x14ac:dyDescent="0.15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267841</v>
      </c>
      <c r="P53" s="91"/>
      <c r="Q53" s="91"/>
      <c r="R53" s="91"/>
      <c r="S53" s="91"/>
      <c r="T53" s="91"/>
      <c r="U53" s="68"/>
    </row>
    <row r="54" spans="1:21" x14ac:dyDescent="0.15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109520</v>
      </c>
    </row>
    <row r="71" spans="3:37" x14ac:dyDescent="0.15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1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15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15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15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15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15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15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15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15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15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15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15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15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15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15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15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15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15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15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15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15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15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15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15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15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15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15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15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15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15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15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15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15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15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15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15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15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15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15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15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15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15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15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15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15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15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15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15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15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15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15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15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15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15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15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15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15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15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15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15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15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15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15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15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15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15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15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15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15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15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15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15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15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15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15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15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15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15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15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15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15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15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15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15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15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15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15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15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15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15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15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15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15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15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15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15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15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15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15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15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15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15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15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15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15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15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15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15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15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15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15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15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15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15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15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15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15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15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15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15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15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15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15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15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15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15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15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15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15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15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15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15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15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15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15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15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15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15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15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15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15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15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15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15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15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15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15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15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15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15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15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15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15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15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15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15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15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15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15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15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15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15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15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15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15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15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15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15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15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15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15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15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15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15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15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15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15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15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15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15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15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15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15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15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15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15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15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15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15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15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15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15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15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15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15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15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15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15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15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15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15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15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15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15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15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15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15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15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15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15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15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15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15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15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15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15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15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15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15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15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15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15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15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15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15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15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15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15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15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15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15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15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15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15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15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15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15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15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15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15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15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15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15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15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15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15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15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15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15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15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15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15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15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15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15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15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15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15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15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15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15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15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15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15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15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15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15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15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15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15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15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15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15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15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15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15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15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15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15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15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15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15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15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15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15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15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15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15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15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15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15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15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15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15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15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15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15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15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15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15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15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15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15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15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15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15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15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15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15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15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15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15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15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15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15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15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15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15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15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15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15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15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15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15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15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15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15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15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15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15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15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15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15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15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15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15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15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15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15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15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15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15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15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15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15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15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15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15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15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15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15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15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15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15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15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15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15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15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15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15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15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15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15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15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15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15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15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15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15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15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15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15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15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15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15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15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15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15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15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15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15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15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15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15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15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15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15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15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15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15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15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15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15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9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5" x14ac:dyDescent="0.15">
      <c r="A1" s="100" t="s">
        <v>10</v>
      </c>
      <c r="B1" s="79"/>
    </row>
    <row r="2" spans="1:39" ht="10.5" x14ac:dyDescent="0.15">
      <c r="A2" s="100" t="s">
        <v>29</v>
      </c>
      <c r="B2" s="79"/>
    </row>
    <row r="3" spans="1:39" ht="10.5" x14ac:dyDescent="0.15">
      <c r="A3" s="100" t="str">
        <f>'SPEC REPORT'!A3</f>
        <v>As of November 21, 2001</v>
      </c>
      <c r="B3" s="79"/>
    </row>
    <row r="4" spans="1:39" ht="10.5" x14ac:dyDescent="0.15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-10870</v>
      </c>
      <c r="K10" s="74">
        <f t="shared" si="0"/>
        <v>-19165</v>
      </c>
      <c r="L10" s="74">
        <f t="shared" si="0"/>
        <v>-17269</v>
      </c>
      <c r="M10" s="74">
        <f t="shared" si="0"/>
        <v>-19080</v>
      </c>
      <c r="N10" s="74">
        <f t="shared" si="0"/>
        <v>-52212</v>
      </c>
      <c r="O10" s="74">
        <f t="shared" si="0"/>
        <v>-53832</v>
      </c>
      <c r="P10" s="74">
        <f t="shared" si="0"/>
        <v>-51976</v>
      </c>
      <c r="Q10" s="74">
        <f t="shared" si="0"/>
        <v>-53580</v>
      </c>
      <c r="R10" s="74">
        <f t="shared" si="0"/>
        <v>-53455</v>
      </c>
      <c r="S10" s="74">
        <f t="shared" si="0"/>
        <v>-51618</v>
      </c>
      <c r="T10" s="74">
        <f t="shared" si="0"/>
        <v>-53212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-436269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-10870</v>
      </c>
      <c r="K12" s="64">
        <f>'SPEC DETAILS'!D60</f>
        <v>-19165</v>
      </c>
      <c r="L12" s="64">
        <f>'SPEC DETAILS'!E60</f>
        <v>-17269</v>
      </c>
      <c r="M12" s="64">
        <f>'SPEC DETAILS'!F60</f>
        <v>-19080</v>
      </c>
      <c r="N12" s="64">
        <f>'SPEC DETAILS'!G60</f>
        <v>-52212</v>
      </c>
      <c r="O12" s="64">
        <f>'SPEC DETAILS'!H60</f>
        <v>-53832</v>
      </c>
      <c r="P12" s="64">
        <f>'SPEC DETAILS'!I60</f>
        <v>-51976</v>
      </c>
      <c r="Q12" s="64">
        <f>'SPEC DETAILS'!J60</f>
        <v>-53580</v>
      </c>
      <c r="R12" s="64">
        <f>'SPEC DETAILS'!K60</f>
        <v>-53455</v>
      </c>
      <c r="S12" s="64">
        <f>'SPEC DETAILS'!L60</f>
        <v>-51618</v>
      </c>
      <c r="T12" s="64">
        <f>'SPEC DETAILS'!M60</f>
        <v>-53212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-436269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0</v>
      </c>
      <c r="O20" s="72">
        <f>'SPEC DETAILS'!H74</f>
        <v>0</v>
      </c>
      <c r="P20" s="72">
        <f>'SPEC DETAILS'!I74</f>
        <v>0</v>
      </c>
      <c r="Q20" s="72">
        <f>'SPEC DETAILS'!J74</f>
        <v>0</v>
      </c>
      <c r="R20" s="72">
        <f>'SPEC DETAILS'!K74</f>
        <v>0</v>
      </c>
      <c r="S20" s="72">
        <f>'SPEC DETAILS'!L74</f>
        <v>0</v>
      </c>
      <c r="T20" s="72">
        <f>'SPEC DETAILS'!M74</f>
        <v>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7430</v>
      </c>
      <c r="O22" s="74">
        <f t="shared" si="2"/>
        <v>7660</v>
      </c>
      <c r="P22" s="74">
        <f t="shared" si="2"/>
        <v>7396</v>
      </c>
      <c r="Q22" s="74">
        <f t="shared" si="2"/>
        <v>7626</v>
      </c>
      <c r="R22" s="74">
        <f t="shared" si="2"/>
        <v>7608</v>
      </c>
      <c r="S22" s="74">
        <f t="shared" si="2"/>
        <v>7345</v>
      </c>
      <c r="T22" s="74">
        <f t="shared" si="2"/>
        <v>7572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52637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7430</v>
      </c>
      <c r="O24" s="64">
        <f>'SPEC DETAILS'!H100</f>
        <v>7660</v>
      </c>
      <c r="P24" s="64">
        <f>'SPEC DETAILS'!I100</f>
        <v>7396</v>
      </c>
      <c r="Q24" s="64">
        <f>'SPEC DETAILS'!J100</f>
        <v>7626</v>
      </c>
      <c r="R24" s="64">
        <f>'SPEC DETAILS'!K100</f>
        <v>7608</v>
      </c>
      <c r="S24" s="64">
        <f>'SPEC DETAILS'!L100</f>
        <v>7345</v>
      </c>
      <c r="T24" s="64">
        <f>'SPEC DETAILS'!M100</f>
        <v>7572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52637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2.4500000000000002</v>
      </c>
      <c r="O27" s="121">
        <f>'SPEC DETAILS'!H94</f>
        <v>2.4500000000000002</v>
      </c>
      <c r="P27" s="121">
        <f>'SPEC DETAILS'!I94</f>
        <v>2.4500000000000002</v>
      </c>
      <c r="Q27" s="121">
        <f>'SPEC DETAILS'!J94</f>
        <v>2.4500000000000002</v>
      </c>
      <c r="R27" s="121">
        <f>'SPEC DETAILS'!K94</f>
        <v>2.4500000000000002</v>
      </c>
      <c r="S27" s="121">
        <f>'SPEC DETAILS'!L94</f>
        <v>2.4500000000000002</v>
      </c>
      <c r="T27" s="121">
        <f>'SPEC DETAILS'!M94</f>
        <v>2.4500000000000002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2.5</v>
      </c>
      <c r="O28" s="121">
        <f>'SPEC DETAILS'!H95</f>
        <v>2.5</v>
      </c>
      <c r="P28" s="121">
        <f>'SPEC DETAILS'!I95</f>
        <v>2.5</v>
      </c>
      <c r="Q28" s="121">
        <f>'SPEC DETAILS'!J95</f>
        <v>2.5</v>
      </c>
      <c r="R28" s="121">
        <f>'SPEC DETAILS'!K95</f>
        <v>2.5</v>
      </c>
      <c r="S28" s="121">
        <f>'SPEC DETAILS'!L95</f>
        <v>2.5</v>
      </c>
      <c r="T28" s="121">
        <f>'SPEC DETAILS'!M95</f>
        <v>2.5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155507</v>
      </c>
      <c r="K34" s="74">
        <f t="shared" si="4"/>
        <v>155163</v>
      </c>
      <c r="L34" s="74">
        <f t="shared" si="4"/>
        <v>139833</v>
      </c>
      <c r="M34" s="74">
        <f t="shared" si="4"/>
        <v>154515</v>
      </c>
      <c r="N34" s="74">
        <f t="shared" si="4"/>
        <v>25261</v>
      </c>
      <c r="O34" s="74">
        <f t="shared" si="4"/>
        <v>26045</v>
      </c>
      <c r="P34" s="74">
        <f t="shared" si="4"/>
        <v>25147</v>
      </c>
      <c r="Q34" s="74">
        <f t="shared" si="4"/>
        <v>25927</v>
      </c>
      <c r="R34" s="62">
        <f t="shared" si="4"/>
        <v>25867</v>
      </c>
      <c r="S34" s="62">
        <f t="shared" si="4"/>
        <v>24974</v>
      </c>
      <c r="T34" s="62">
        <f t="shared" si="4"/>
        <v>25745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783984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155507</v>
      </c>
      <c r="K36" s="64">
        <f>'SPEC DETAILS'!D140</f>
        <v>155163</v>
      </c>
      <c r="L36" s="64">
        <f>'SPEC DETAILS'!E140</f>
        <v>139833</v>
      </c>
      <c r="M36" s="64">
        <f>'SPEC DETAILS'!F140</f>
        <v>154515</v>
      </c>
      <c r="N36" s="64">
        <f>'SPEC DETAILS'!G140</f>
        <v>25261</v>
      </c>
      <c r="O36" s="64">
        <f>'SPEC DETAILS'!H140</f>
        <v>26045</v>
      </c>
      <c r="P36" s="64">
        <f>'SPEC DETAILS'!I140</f>
        <v>25147</v>
      </c>
      <c r="Q36" s="64">
        <f>'SPEC DETAILS'!J140</f>
        <v>25927</v>
      </c>
      <c r="R36" s="64">
        <f>'SPEC DETAILS'!K140</f>
        <v>25867</v>
      </c>
      <c r="S36" s="64">
        <f>'SPEC DETAILS'!L140</f>
        <v>24974</v>
      </c>
      <c r="T36" s="64">
        <f>'SPEC DETAILS'!M140</f>
        <v>25745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783984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-50599</v>
      </c>
      <c r="K46" s="74">
        <f t="shared" si="6"/>
        <v>29211</v>
      </c>
      <c r="L46" s="74">
        <f t="shared" si="6"/>
        <v>14922</v>
      </c>
      <c r="M46" s="74">
        <f t="shared" si="6"/>
        <v>10425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3959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-20000</v>
      </c>
      <c r="K47" s="76">
        <v>-16000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-70599</v>
      </c>
      <c r="K48" s="64">
        <f>'SPEC DETAILS'!D20</f>
        <v>13211</v>
      </c>
      <c r="L48" s="64">
        <f>'SPEC DETAILS'!E20</f>
        <v>14922</v>
      </c>
      <c r="M48" s="64">
        <f>'SPEC DETAILS'!F20</f>
        <v>10425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3959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1.25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SUM(B113:B65536)</f>
        <v>786660</v>
      </c>
      <c r="E1" s="108" t="s">
        <v>100</v>
      </c>
    </row>
    <row r="2" spans="1:6" x14ac:dyDescent="0.2">
      <c r="A2" s="108" t="s">
        <v>60</v>
      </c>
      <c r="B2" s="110"/>
      <c r="C2" s="111">
        <f>SUM(C113:C65536)</f>
        <v>197423</v>
      </c>
      <c r="E2" s="108" t="s">
        <v>140</v>
      </c>
      <c r="F2" s="111">
        <f>SUM(C103:C122)</f>
        <v>77212.939999999944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6" customFormat="1" ht="12" thickBot="1" x14ac:dyDescent="0.25">
      <c r="A61" s="174">
        <v>37134</v>
      </c>
      <c r="B61" s="175">
        <v>404653</v>
      </c>
      <c r="C61" s="175">
        <v>46715</v>
      </c>
    </row>
    <row r="62" spans="1:3" ht="12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6" customFormat="1" ht="12" thickBot="1" x14ac:dyDescent="0.25">
      <c r="A79" s="174">
        <v>37162</v>
      </c>
      <c r="B79" s="175">
        <v>-413713</v>
      </c>
      <c r="C79" s="175">
        <f>54299-4503</f>
        <v>49796</v>
      </c>
    </row>
    <row r="80" spans="1:3" ht="12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6" customFormat="1" ht="12" thickBot="1" x14ac:dyDescent="0.25">
      <c r="A102" s="174">
        <v>37195</v>
      </c>
      <c r="B102" s="175">
        <v>-419461</v>
      </c>
      <c r="C102" s="175">
        <v>94742</v>
      </c>
      <c r="E102" s="175">
        <v>94742</v>
      </c>
    </row>
    <row r="103" spans="1:5" ht="12" thickTop="1" x14ac:dyDescent="0.2">
      <c r="A103" s="109">
        <v>37196</v>
      </c>
      <c r="B103" s="136">
        <v>245388</v>
      </c>
      <c r="C103" s="136">
        <v>267</v>
      </c>
      <c r="E103" s="212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2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2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2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3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  <c r="B116" s="136">
        <v>37487</v>
      </c>
      <c r="C116" s="136">
        <v>-59188</v>
      </c>
      <c r="E116">
        <v>-59188</v>
      </c>
    </row>
    <row r="117" spans="1:5" x14ac:dyDescent="0.2">
      <c r="A117" s="109">
        <v>37216</v>
      </c>
      <c r="B117" s="136">
        <v>1206935</v>
      </c>
      <c r="C117" s="136">
        <v>109520</v>
      </c>
      <c r="E117">
        <v>109520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6" customFormat="1" ht="12" thickBot="1" x14ac:dyDescent="0.25">
      <c r="A122" s="174">
        <v>37225</v>
      </c>
      <c r="B122" s="175"/>
      <c r="C122" s="175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A80" s="109">
        <v>37215</v>
      </c>
      <c r="B80" s="110">
        <v>516967</v>
      </c>
      <c r="C80" s="110">
        <v>207174</v>
      </c>
      <c r="D80" s="110">
        <v>648405</v>
      </c>
    </row>
    <row r="81" spans="1:4" x14ac:dyDescent="0.2">
      <c r="A81" s="109">
        <v>37216</v>
      </c>
      <c r="B81" s="110">
        <v>681358</v>
      </c>
      <c r="C81" s="110">
        <v>73108</v>
      </c>
      <c r="D81" s="110">
        <v>731807</v>
      </c>
    </row>
    <row r="82" spans="1:4" x14ac:dyDescent="0.2">
      <c r="B82" s="110"/>
      <c r="C82" s="110"/>
      <c r="D82" s="110"/>
    </row>
    <row r="83" spans="1:4" x14ac:dyDescent="0.2">
      <c r="B83" s="110"/>
      <c r="C83" s="110"/>
      <c r="D83" s="110"/>
    </row>
    <row r="84" spans="1:4" x14ac:dyDescent="0.2">
      <c r="B84" s="110"/>
      <c r="C84" s="110"/>
      <c r="D84" s="110"/>
    </row>
    <row r="85" spans="1:4" x14ac:dyDescent="0.2">
      <c r="B85" s="110"/>
      <c r="C85" s="110"/>
      <c r="D85" s="110"/>
    </row>
    <row r="86" spans="1:4" x14ac:dyDescent="0.2">
      <c r="B86" s="110"/>
      <c r="C86" s="110"/>
      <c r="D86" s="110"/>
    </row>
    <row r="87" spans="1:4" x14ac:dyDescent="0.2">
      <c r="B87" s="110"/>
      <c r="C87" s="110"/>
      <c r="D87" s="110"/>
    </row>
    <row r="88" spans="1:4" x14ac:dyDescent="0.2">
      <c r="B88" s="110"/>
      <c r="C88" s="110"/>
      <c r="D88" s="110"/>
    </row>
    <row r="89" spans="1:4" x14ac:dyDescent="0.2">
      <c r="B89" s="110"/>
      <c r="C89" s="110"/>
      <c r="D89" s="110"/>
    </row>
    <row r="90" spans="1:4" x14ac:dyDescent="0.2">
      <c r="B90" s="110"/>
      <c r="C90" s="110"/>
      <c r="D90" s="110"/>
    </row>
    <row r="91" spans="1:4" x14ac:dyDescent="0.2">
      <c r="B91" s="110"/>
      <c r="C91" s="110"/>
      <c r="D91" s="110"/>
    </row>
    <row r="92" spans="1:4" x14ac:dyDescent="0.2">
      <c r="B92" s="110"/>
      <c r="C92" s="110"/>
      <c r="D92" s="110"/>
    </row>
    <row r="93" spans="1:4" x14ac:dyDescent="0.2">
      <c r="B93" s="110"/>
      <c r="C93" s="110"/>
      <c r="D93" s="110"/>
    </row>
    <row r="94" spans="1:4" x14ac:dyDescent="0.2">
      <c r="B94" s="110"/>
      <c r="C94" s="110"/>
      <c r="D94" s="110"/>
    </row>
    <row r="95" spans="1:4" x14ac:dyDescent="0.2">
      <c r="B95" s="110"/>
      <c r="C95" s="110"/>
      <c r="D95" s="110"/>
    </row>
    <row r="96" spans="1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>
      <pivotSelection pane="bottomRight" showHeader="1" activeRow="1" click="1" r:id="rId1">
        <pivotArea type="all" dataOnly="0" outline="0" fieldPosition="0"/>
      </pivotSelection>
    </sheetView>
  </sheetViews>
  <sheetFormatPr defaultRowHeight="10.5" customHeight="1" x14ac:dyDescent="0.15"/>
  <cols>
    <col min="1" max="1" width="10.83203125" style="132" customWidth="1"/>
    <col min="2" max="2" width="8.1640625" style="132" customWidth="1"/>
    <col min="3" max="3" width="10.5" style="132" customWidth="1"/>
    <col min="4" max="4" width="10.1640625" style="132" customWidth="1"/>
    <col min="5" max="6" width="10.1640625" style="133" customWidth="1"/>
    <col min="7" max="7" width="10.5" style="132" customWidth="1"/>
    <col min="8" max="8" width="10.1640625" style="132" customWidth="1"/>
    <col min="9" max="9" width="10.1640625" style="133" customWidth="1"/>
    <col min="10" max="10" width="10.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5" t="s">
        <v>85</v>
      </c>
      <c r="B2" s="153" t="s">
        <v>71</v>
      </c>
      <c r="C2" s="154"/>
      <c r="D2"/>
      <c r="E2"/>
      <c r="F2"/>
      <c r="G2"/>
      <c r="H2"/>
      <c r="I2"/>
      <c r="J2"/>
      <c r="K2"/>
      <c r="L2"/>
      <c r="M2"/>
      <c r="N2"/>
      <c r="O2"/>
      <c r="P2" s="172"/>
      <c r="Q2" s="172"/>
    </row>
    <row r="3" spans="1:21" ht="10.5" customHeight="1" x14ac:dyDescent="0.2">
      <c r="A3" s="155"/>
      <c r="B3" s="152" t="s">
        <v>83</v>
      </c>
      <c r="C3" s="156" t="s">
        <v>84</v>
      </c>
      <c r="D3"/>
      <c r="E3"/>
      <c r="F3"/>
      <c r="G3"/>
      <c r="H3"/>
      <c r="I3"/>
      <c r="J3"/>
      <c r="K3"/>
      <c r="L3"/>
      <c r="M3"/>
      <c r="N3"/>
      <c r="O3"/>
      <c r="P3" s="172"/>
      <c r="Q3" s="172"/>
    </row>
    <row r="4" spans="1:21" ht="10.5" customHeight="1" x14ac:dyDescent="0.2">
      <c r="A4" s="157" t="s">
        <v>20</v>
      </c>
      <c r="B4" s="158"/>
      <c r="C4" s="159"/>
      <c r="D4"/>
      <c r="E4"/>
      <c r="F4"/>
      <c r="G4"/>
      <c r="H4"/>
      <c r="I4"/>
      <c r="J4"/>
      <c r="K4"/>
      <c r="L4"/>
      <c r="M4"/>
      <c r="N4"/>
      <c r="O4"/>
      <c r="P4" s="172"/>
      <c r="Q4" s="172"/>
    </row>
    <row r="5" spans="1:21" ht="10.5" customHeight="1" x14ac:dyDescent="0.15">
      <c r="A5" s="172"/>
      <c r="B5" s="8"/>
      <c r="C5" s="8"/>
      <c r="D5" s="8"/>
      <c r="E5" s="8"/>
      <c r="F5" s="8"/>
      <c r="G5" s="8"/>
      <c r="H5" s="8"/>
      <c r="I5" s="173"/>
      <c r="J5" s="173"/>
      <c r="K5" s="172"/>
      <c r="L5" s="172"/>
      <c r="M5" s="172"/>
      <c r="N5" s="172"/>
      <c r="O5" s="172"/>
      <c r="P5" s="172"/>
      <c r="Q5" s="172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1.25" x14ac:dyDescent="0.2">
      <c r="F9" s="109"/>
      <c r="J9" s="109"/>
    </row>
    <row r="10" spans="1:21" customFormat="1" ht="11.25" x14ac:dyDescent="0.2">
      <c r="F10" s="109"/>
      <c r="J10" s="109"/>
    </row>
    <row r="11" spans="1:21" customFormat="1" ht="11.25" x14ac:dyDescent="0.2">
      <c r="F11" s="109"/>
      <c r="J11" s="109"/>
    </row>
    <row r="12" spans="1:21" customFormat="1" ht="11.25" x14ac:dyDescent="0.2">
      <c r="F12" s="109"/>
      <c r="J12" s="109"/>
    </row>
    <row r="13" spans="1:21" customFormat="1" ht="11.25" x14ac:dyDescent="0.2">
      <c r="F13" s="109"/>
      <c r="J13" s="109"/>
    </row>
    <row r="14" spans="1:21" customFormat="1" ht="11.25" x14ac:dyDescent="0.2">
      <c r="F14" s="109"/>
      <c r="J14" s="109"/>
    </row>
    <row r="15" spans="1:21" customFormat="1" ht="11.25" x14ac:dyDescent="0.2">
      <c r="F15" s="109"/>
      <c r="J15" s="109"/>
    </row>
    <row r="16" spans="1:21" customFormat="1" ht="11.25" x14ac:dyDescent="0.2">
      <c r="F16" s="109"/>
      <c r="J16" s="109"/>
    </row>
    <row r="17" spans="6:10" customFormat="1" ht="11.25" x14ac:dyDescent="0.2">
      <c r="F17" s="109"/>
      <c r="J17" s="109"/>
    </row>
    <row r="18" spans="6:10" customFormat="1" ht="11.25" x14ac:dyDescent="0.2">
      <c r="F18" s="109"/>
      <c r="J18" s="109"/>
    </row>
    <row r="19" spans="6:10" customFormat="1" ht="11.25" x14ac:dyDescent="0.2">
      <c r="F19" s="109"/>
      <c r="J19" s="109"/>
    </row>
    <row r="20" spans="6:10" customFormat="1" ht="11.25" x14ac:dyDescent="0.2">
      <c r="F20" s="109"/>
      <c r="J20" s="109"/>
    </row>
    <row r="21" spans="6:10" customFormat="1" ht="11.25" x14ac:dyDescent="0.2">
      <c r="F21" s="109"/>
      <c r="J21" s="109"/>
    </row>
    <row r="22" spans="6:10" customFormat="1" ht="11.25" x14ac:dyDescent="0.2">
      <c r="F22" s="109"/>
      <c r="J22" s="109"/>
    </row>
    <row r="23" spans="6:10" customFormat="1" ht="11.25" x14ac:dyDescent="0.2">
      <c r="F23" s="109"/>
      <c r="J23" s="109"/>
    </row>
    <row r="24" spans="6:10" customFormat="1" ht="11.25" x14ac:dyDescent="0.2">
      <c r="F24" s="109"/>
      <c r="J24" s="109"/>
    </row>
    <row r="25" spans="6:10" customFormat="1" ht="11.25" x14ac:dyDescent="0.2">
      <c r="F25" s="109"/>
      <c r="J25" s="109"/>
    </row>
    <row r="26" spans="6:10" ht="10.5" customHeight="1" x14ac:dyDescent="0.15">
      <c r="J26" s="171"/>
    </row>
    <row r="27" spans="6:10" ht="10.5" customHeight="1" x14ac:dyDescent="0.15">
      <c r="J27" s="171"/>
    </row>
    <row r="28" spans="6:10" ht="10.5" customHeight="1" x14ac:dyDescent="0.15">
      <c r="J28" s="171"/>
    </row>
    <row r="29" spans="6:10" ht="10.5" customHeight="1" x14ac:dyDescent="0.15">
      <c r="J29" s="171"/>
    </row>
    <row r="30" spans="6:10" ht="10.5" customHeight="1" x14ac:dyDescent="0.15">
      <c r="J30" s="171"/>
    </row>
    <row r="31" spans="6:10" ht="10.5" customHeight="1" x14ac:dyDescent="0.15">
      <c r="J31" s="171"/>
    </row>
    <row r="32" spans="6:10" ht="10.5" customHeight="1" x14ac:dyDescent="0.15">
      <c r="J32" s="171"/>
    </row>
    <row r="33" spans="10:10" ht="10.5" customHeight="1" x14ac:dyDescent="0.15">
      <c r="J33" s="171"/>
    </row>
    <row r="34" spans="10:10" ht="10.5" customHeight="1" x14ac:dyDescent="0.15">
      <c r="J34" s="171"/>
    </row>
    <row r="35" spans="10:10" ht="10.5" customHeight="1" x14ac:dyDescent="0.15">
      <c r="J35" s="171"/>
    </row>
    <row r="36" spans="10:10" ht="10.5" customHeight="1" x14ac:dyDescent="0.15">
      <c r="J36" s="171"/>
    </row>
    <row r="37" spans="10:10" ht="10.5" customHeight="1" x14ac:dyDescent="0.15">
      <c r="J37" s="171"/>
    </row>
    <row r="38" spans="10:10" ht="10.5" customHeight="1" x14ac:dyDescent="0.15">
      <c r="J38" s="171"/>
    </row>
    <row r="39" spans="10:10" ht="10.5" customHeight="1" x14ac:dyDescent="0.15">
      <c r="J39" s="171"/>
    </row>
    <row r="40" spans="10:10" ht="10.5" customHeight="1" x14ac:dyDescent="0.15">
      <c r="J40" s="171"/>
    </row>
    <row r="41" spans="10:10" ht="10.5" customHeight="1" x14ac:dyDescent="0.15">
      <c r="J41" s="171"/>
    </row>
    <row r="42" spans="10:10" ht="10.5" customHeight="1" x14ac:dyDescent="0.15">
      <c r="J42" s="171"/>
    </row>
    <row r="43" spans="10:10" ht="10.5" customHeight="1" x14ac:dyDescent="0.15">
      <c r="J43" s="171"/>
    </row>
    <row r="44" spans="10:10" ht="10.5" customHeight="1" x14ac:dyDescent="0.15">
      <c r="J44" s="171"/>
    </row>
    <row r="45" spans="10:10" ht="10.5" customHeight="1" x14ac:dyDescent="0.15">
      <c r="J45" s="171"/>
    </row>
    <row r="46" spans="10:10" ht="10.5" customHeight="1" x14ac:dyDescent="0.15">
      <c r="J46" s="171"/>
    </row>
    <row r="47" spans="10:10" ht="10.5" customHeight="1" x14ac:dyDescent="0.15">
      <c r="J47" s="171"/>
    </row>
    <row r="48" spans="10:10" ht="10.5" customHeight="1" x14ac:dyDescent="0.15">
      <c r="J48" s="171"/>
    </row>
    <row r="49" spans="10:10" ht="10.5" customHeight="1" x14ac:dyDescent="0.15">
      <c r="J49" s="171"/>
    </row>
    <row r="50" spans="10:10" ht="10.5" customHeight="1" x14ac:dyDescent="0.15">
      <c r="J50" s="171"/>
    </row>
    <row r="51" spans="10:10" ht="10.5" customHeight="1" x14ac:dyDescent="0.15">
      <c r="J51" s="171"/>
    </row>
    <row r="52" spans="10:10" ht="10.5" customHeight="1" x14ac:dyDescent="0.15">
      <c r="J52" s="171"/>
    </row>
    <row r="53" spans="10:10" ht="10.5" customHeight="1" x14ac:dyDescent="0.15">
      <c r="J53" s="171"/>
    </row>
    <row r="54" spans="10:10" ht="10.5" customHeight="1" x14ac:dyDescent="0.15">
      <c r="J54" s="171"/>
    </row>
    <row r="55" spans="10:10" ht="10.5" customHeight="1" x14ac:dyDescent="0.15">
      <c r="J55" s="171"/>
    </row>
    <row r="56" spans="10:10" ht="10.5" customHeight="1" x14ac:dyDescent="0.15">
      <c r="J56" s="171"/>
    </row>
    <row r="57" spans="10:10" ht="10.5" customHeight="1" x14ac:dyDescent="0.15">
      <c r="J57" s="171"/>
    </row>
    <row r="58" spans="10:10" ht="10.5" customHeight="1" x14ac:dyDescent="0.15">
      <c r="J58" s="171"/>
    </row>
    <row r="59" spans="10:10" ht="10.5" customHeight="1" x14ac:dyDescent="0.15">
      <c r="J59" s="171"/>
    </row>
    <row r="60" spans="10:10" ht="10.5" customHeight="1" x14ac:dyDescent="0.15">
      <c r="J60" s="171"/>
    </row>
    <row r="61" spans="10:10" ht="10.5" customHeight="1" x14ac:dyDescent="0.15">
      <c r="J61" s="171"/>
    </row>
    <row r="62" spans="10:10" ht="10.5" customHeight="1" x14ac:dyDescent="0.15">
      <c r="J62" s="171"/>
    </row>
    <row r="63" spans="10:10" ht="10.5" customHeight="1" x14ac:dyDescent="0.15">
      <c r="J63" s="171"/>
    </row>
    <row r="64" spans="10:10" ht="10.5" customHeight="1" x14ac:dyDescent="0.15">
      <c r="J64" s="171"/>
    </row>
    <row r="65" spans="10:10" ht="10.5" customHeight="1" x14ac:dyDescent="0.15">
      <c r="J65" s="171"/>
    </row>
    <row r="66" spans="10:10" ht="10.5" customHeight="1" x14ac:dyDescent="0.15">
      <c r="J66" s="171"/>
    </row>
    <row r="67" spans="10:10" ht="10.5" customHeight="1" x14ac:dyDescent="0.15">
      <c r="J67" s="171"/>
    </row>
    <row r="68" spans="10:10" ht="10.5" customHeight="1" x14ac:dyDescent="0.15">
      <c r="J68" s="171"/>
    </row>
    <row r="69" spans="10:10" ht="10.5" customHeight="1" x14ac:dyDescent="0.15">
      <c r="J69" s="171"/>
    </row>
    <row r="70" spans="10:10" ht="10.5" customHeight="1" x14ac:dyDescent="0.15">
      <c r="J70" s="171"/>
    </row>
    <row r="71" spans="10:10" ht="10.5" customHeight="1" x14ac:dyDescent="0.15">
      <c r="J71" s="171"/>
    </row>
    <row r="72" spans="10:10" ht="10.5" customHeight="1" x14ac:dyDescent="0.15">
      <c r="J72" s="171"/>
    </row>
    <row r="73" spans="10:10" ht="10.5" customHeight="1" x14ac:dyDescent="0.15">
      <c r="J73" s="171"/>
    </row>
    <row r="74" spans="10:10" ht="10.5" customHeight="1" x14ac:dyDescent="0.15">
      <c r="J74" s="171"/>
    </row>
    <row r="75" spans="10:10" ht="10.5" customHeight="1" x14ac:dyDescent="0.15">
      <c r="J75" s="171"/>
    </row>
    <row r="76" spans="10:10" ht="10.5" customHeight="1" x14ac:dyDescent="0.15">
      <c r="J76" s="171"/>
    </row>
    <row r="77" spans="10:10" ht="10.5" customHeight="1" x14ac:dyDescent="0.15">
      <c r="J77" s="171"/>
    </row>
    <row r="78" spans="10:10" ht="10.5" customHeight="1" x14ac:dyDescent="0.15">
      <c r="J78" s="171"/>
    </row>
    <row r="79" spans="10:10" ht="10.5" customHeight="1" x14ac:dyDescent="0.15">
      <c r="J79" s="171"/>
    </row>
    <row r="80" spans="10:10" ht="10.5" customHeight="1" x14ac:dyDescent="0.15">
      <c r="J80" s="17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</row>
    <row r="3" spans="1:42" x14ac:dyDescent="0.2">
      <c r="A3" t="s">
        <v>50</v>
      </c>
      <c r="B3" s="177" t="str">
        <f>Dth_Day!C6</f>
        <v>Dec-01</v>
      </c>
      <c r="C3" s="177" t="str">
        <f>Dth_Day!D6</f>
        <v>Jan-02</v>
      </c>
      <c r="D3" s="177" t="str">
        <f>Dth_Day!E6</f>
        <v>Feb-02</v>
      </c>
      <c r="E3" s="177" t="str">
        <f>Dth_Day!F6</f>
        <v>Mar-02</v>
      </c>
      <c r="F3" s="177" t="str">
        <f>Dth_Day!G6</f>
        <v>Apr-02</v>
      </c>
      <c r="G3" s="177" t="str">
        <f>Dth_Day!H6</f>
        <v>May-02</v>
      </c>
      <c r="H3" s="177" t="str">
        <f>Dth_Day!I6</f>
        <v>Jun-02</v>
      </c>
      <c r="I3" s="177" t="str">
        <f>Dth_Day!J6</f>
        <v>Jul-02</v>
      </c>
      <c r="J3" s="177" t="str">
        <f>Dth_Day!K6</f>
        <v>Aug-02</v>
      </c>
      <c r="K3" s="177" t="str">
        <f>Dth_Day!L6</f>
        <v>Sep-02</v>
      </c>
      <c r="L3" s="177" t="str">
        <f>Dth_Day!M6</f>
        <v>Oct-02</v>
      </c>
      <c r="M3" s="177" t="str">
        <f>Dth_Day!N6</f>
        <v>Nov-02</v>
      </c>
      <c r="N3" s="177" t="str">
        <f>Dth_Day!O6</f>
        <v>Dec-02</v>
      </c>
      <c r="O3" s="177" t="str">
        <f>Dth_Day!P6</f>
        <v>Jan-03</v>
      </c>
      <c r="P3" s="177" t="str">
        <f>Dth_Day!Q6</f>
        <v>Feb-03</v>
      </c>
      <c r="Q3" s="177" t="str">
        <f>Dth_Day!R6</f>
        <v>Mar-03</v>
      </c>
      <c r="R3" s="177" t="str">
        <f>Dth_Day!S6</f>
        <v>Apr-03</v>
      </c>
      <c r="S3" s="177" t="str">
        <f>Dth_Day!T6</f>
        <v>May-03</v>
      </c>
      <c r="T3" s="177" t="str">
        <f>Dth_Day!U6</f>
        <v>Jun-03</v>
      </c>
      <c r="U3" s="177" t="str">
        <f>Dth_Day!V6</f>
        <v>Jul-03</v>
      </c>
      <c r="V3" s="177" t="str">
        <f>Dth_Day!W6</f>
        <v>Aug-03</v>
      </c>
      <c r="W3" s="177" t="str">
        <f>Dth_Day!X6</f>
        <v>Sep-03</v>
      </c>
      <c r="X3" s="177" t="str">
        <f>Dth_Day!Y6</f>
        <v>Oct-03</v>
      </c>
      <c r="Y3" s="177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0</v>
      </c>
      <c r="G5" s="130">
        <f>'SPEC REPORT'!H30*G4</f>
        <v>0</v>
      </c>
      <c r="H5" s="130">
        <f>'SPEC REPORT'!I30*H4</f>
        <v>0</v>
      </c>
      <c r="I5" s="130">
        <f>'SPEC REPORT'!J30*I4</f>
        <v>0</v>
      </c>
      <c r="J5" s="130">
        <f>'SPEC REPORT'!K30*J4</f>
        <v>0</v>
      </c>
      <c r="K5" s="130">
        <f>'SPEC REPORT'!L30*K4</f>
        <v>0</v>
      </c>
      <c r="L5" s="130">
        <f>'SPEC REPORT'!M30*L4</f>
        <v>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-399999.99979999999</v>
      </c>
      <c r="M7" s="130">
        <f>SUM(B5:M5)</f>
        <v>-399999.99979999999</v>
      </c>
      <c r="N7" s="130">
        <f t="shared" ref="N7:Y7" si="0">SUM(C5:N5)</f>
        <v>-199999.9999</v>
      </c>
      <c r="O7" s="130">
        <f t="shared" si="0"/>
        <v>0</v>
      </c>
      <c r="P7" s="130">
        <f t="shared" si="0"/>
        <v>0</v>
      </c>
      <c r="Q7" s="130">
        <f t="shared" si="0"/>
        <v>0</v>
      </c>
      <c r="R7" s="130">
        <f t="shared" si="0"/>
        <v>0</v>
      </c>
      <c r="S7" s="130">
        <f t="shared" si="0"/>
        <v>0</v>
      </c>
      <c r="T7" s="130">
        <f t="shared" si="0"/>
        <v>0</v>
      </c>
      <c r="U7" s="130">
        <f t="shared" si="0"/>
        <v>0</v>
      </c>
      <c r="V7" s="130">
        <f t="shared" si="0"/>
        <v>0</v>
      </c>
      <c r="W7" s="130">
        <f t="shared" si="0"/>
        <v>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-399999.99979999999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7" t="str">
        <f>B3</f>
        <v>Dec-01</v>
      </c>
      <c r="C11" s="177" t="str">
        <f t="shared" ref="C11:Y11" si="1">C3</f>
        <v>Jan-02</v>
      </c>
      <c r="D11" s="177" t="str">
        <f t="shared" si="1"/>
        <v>Feb-02</v>
      </c>
      <c r="E11" s="177" t="str">
        <f t="shared" si="1"/>
        <v>Mar-02</v>
      </c>
      <c r="F11" s="177" t="str">
        <f t="shared" si="1"/>
        <v>Apr-02</v>
      </c>
      <c r="G11" s="177" t="str">
        <f t="shared" si="1"/>
        <v>May-02</v>
      </c>
      <c r="H11" s="177" t="str">
        <f t="shared" si="1"/>
        <v>Jun-02</v>
      </c>
      <c r="I11" s="177" t="str">
        <f t="shared" si="1"/>
        <v>Jul-02</v>
      </c>
      <c r="J11" s="177" t="str">
        <f t="shared" si="1"/>
        <v>Aug-02</v>
      </c>
      <c r="K11" s="177" t="str">
        <f t="shared" si="1"/>
        <v>Sep-02</v>
      </c>
      <c r="L11" s="177" t="str">
        <f t="shared" si="1"/>
        <v>Oct-02</v>
      </c>
      <c r="M11" s="177" t="str">
        <f t="shared" si="1"/>
        <v>Nov-02</v>
      </c>
      <c r="N11" s="177" t="str">
        <f t="shared" si="1"/>
        <v>Dec-02</v>
      </c>
      <c r="O11" s="177" t="str">
        <f t="shared" si="1"/>
        <v>Jan-03</v>
      </c>
      <c r="P11" s="177" t="str">
        <f t="shared" si="1"/>
        <v>Feb-03</v>
      </c>
      <c r="Q11" s="177" t="str">
        <f t="shared" si="1"/>
        <v>Mar-03</v>
      </c>
      <c r="R11" s="177" t="str">
        <f t="shared" si="1"/>
        <v>Apr-03</v>
      </c>
      <c r="S11" s="177" t="str">
        <f t="shared" si="1"/>
        <v>May-03</v>
      </c>
      <c r="T11" s="177" t="str">
        <f t="shared" si="1"/>
        <v>Jun-03</v>
      </c>
      <c r="U11" s="177" t="str">
        <f t="shared" si="1"/>
        <v>Jul-03</v>
      </c>
      <c r="V11" s="177" t="str">
        <f t="shared" si="1"/>
        <v>Aug-03</v>
      </c>
      <c r="W11" s="177" t="str">
        <f t="shared" si="1"/>
        <v>Sep-03</v>
      </c>
      <c r="X11" s="177" t="str">
        <f t="shared" si="1"/>
        <v>Oct-03</v>
      </c>
      <c r="Y11" s="177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577381.4325</v>
      </c>
      <c r="C13" s="130">
        <f>Dth_Day!D32*C12</f>
        <v>516470.79730000003</v>
      </c>
      <c r="D13" s="130">
        <f>Dth_Day!E32*D12</f>
        <v>327167.27119999996</v>
      </c>
      <c r="E13" s="130">
        <f>Dth_Day!F32*E12</f>
        <v>-98529.200299999953</v>
      </c>
      <c r="F13" s="130">
        <f>Dth_Day!G32*F12</f>
        <v>-248654.90400000004</v>
      </c>
      <c r="G13" s="130">
        <f>Dth_Day!H32*G12</f>
        <v>332823.26640000002</v>
      </c>
      <c r="H13" s="130">
        <f>Dth_Day!I32*H12</f>
        <v>499518.64500000002</v>
      </c>
      <c r="I13" s="130">
        <f>Dth_Day!J32*I12</f>
        <v>-212264.1020999999</v>
      </c>
      <c r="J13" s="130">
        <f>Dth_Day!K32*J12</f>
        <v>-305264.1020999999</v>
      </c>
      <c r="K13" s="130">
        <f>Dth_Day!L32*K12</f>
        <v>218517.64500000014</v>
      </c>
      <c r="L13" s="130">
        <f>Dth_Day!M32*L12</f>
        <v>641734.89980000001</v>
      </c>
      <c r="M13" s="130">
        <f>Dth_Day!N32*M12</f>
        <v>312692.19300000003</v>
      </c>
      <c r="N13" s="130">
        <f>Dth_Day!O32*N12</f>
        <v>142647.53229999996</v>
      </c>
      <c r="O13" s="130">
        <f>Dth_Day!P32*O12</f>
        <v>121645.53139999999</v>
      </c>
      <c r="P13" s="130">
        <f>Dth_Day!Q32*P12</f>
        <v>200778.51359999995</v>
      </c>
      <c r="Q13" s="130">
        <f>Dth_Day!R32*Q12</f>
        <v>619645.53360000008</v>
      </c>
      <c r="R13" s="130">
        <f>Dth_Day!S32*R12</f>
        <v>-762654.90599999996</v>
      </c>
      <c r="S13" s="130">
        <f>Dth_Day!T32*S12</f>
        <v>-555175.73569999996</v>
      </c>
      <c r="T13" s="130">
        <f>Dth_Day!U32*T12</f>
        <v>-571653.90300000005</v>
      </c>
      <c r="U13" s="130">
        <f>Dth_Day!V32*U12</f>
        <v>-1728179.7323</v>
      </c>
      <c r="V13" s="130">
        <f>Dth_Day!W32*V12</f>
        <v>-2092177.7333000002</v>
      </c>
      <c r="W13" s="130">
        <f>Dth_Day!X32*W12</f>
        <v>-1742654.9040000001</v>
      </c>
      <c r="X13" s="130">
        <f>Dth_Day!Y32*X12</f>
        <v>-1292177.7337</v>
      </c>
      <c r="Y13" s="130">
        <f>Dth_Day!Z32*Y12</f>
        <v>-1733000.0010000002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2561593.8417000007</v>
      </c>
      <c r="C16" s="130">
        <f>MIN(M16:Y16)</f>
        <v>-9392957.5381000005</v>
      </c>
      <c r="M16" s="130">
        <f>SUM(B13:M13)</f>
        <v>2561593.8417000007</v>
      </c>
      <c r="N16" s="130">
        <f t="shared" ref="N16:Y16" si="3">SUM(C13:N13)</f>
        <v>2126859.9415000002</v>
      </c>
      <c r="O16" s="130">
        <f t="shared" si="3"/>
        <v>1732034.6756000004</v>
      </c>
      <c r="P16" s="130">
        <f t="shared" si="3"/>
        <v>1605645.9180000001</v>
      </c>
      <c r="Q16" s="130">
        <f t="shared" si="3"/>
        <v>2323820.6519000004</v>
      </c>
      <c r="R16" s="130">
        <f t="shared" si="3"/>
        <v>1809820.6499000005</v>
      </c>
      <c r="S16" s="130">
        <f t="shared" si="3"/>
        <v>921821.6478000005</v>
      </c>
      <c r="T16" s="130">
        <f t="shared" si="3"/>
        <v>-149350.90019999957</v>
      </c>
      <c r="U16" s="130">
        <f t="shared" si="3"/>
        <v>-1665266.5303999998</v>
      </c>
      <c r="V16" s="130">
        <f t="shared" si="3"/>
        <v>-3452180.1615999998</v>
      </c>
      <c r="W16" s="130">
        <f t="shared" si="3"/>
        <v>-5413352.7105999999</v>
      </c>
      <c r="X16" s="130">
        <f t="shared" si="3"/>
        <v>-7347265.3441000003</v>
      </c>
      <c r="Y16" s="130">
        <f t="shared" si="3"/>
        <v>-9392957.5381000005</v>
      </c>
    </row>
    <row r="17" spans="1:25" x14ac:dyDescent="0.2">
      <c r="A17" s="130"/>
      <c r="B17" s="40">
        <f>IF(ABS(C16)&gt;ABS(B16),C16,B16)</f>
        <v>-9392957.5381000005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2561593.8417000007</v>
      </c>
      <c r="C24" s="129"/>
    </row>
    <row r="25" spans="1:25" x14ac:dyDescent="0.2">
      <c r="A25" s="130" t="s">
        <v>53</v>
      </c>
      <c r="B25" s="130">
        <f>SUM(N13:Y13)</f>
        <v>-9392957.5381000005</v>
      </c>
      <c r="C25" s="129"/>
    </row>
    <row r="26" spans="1:25" x14ac:dyDescent="0.2">
      <c r="A26" s="134" t="s">
        <v>101</v>
      </c>
      <c r="B26" s="134">
        <f>SUM(B24:B25)</f>
        <v>-6831363.6963999998</v>
      </c>
      <c r="C26" s="129"/>
    </row>
    <row r="27" spans="1:25" x14ac:dyDescent="0.2">
      <c r="C27" s="129"/>
      <c r="H27" s="177"/>
    </row>
    <row r="28" spans="1:25" x14ac:dyDescent="0.2">
      <c r="A28" s="108" t="s">
        <v>50</v>
      </c>
    </row>
    <row r="29" spans="1:25" x14ac:dyDescent="0.2">
      <c r="A29" s="180" t="s">
        <v>102</v>
      </c>
      <c r="B29" s="134">
        <f>SUM(B5:Y5)</f>
        <v>-399999.99979999999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8.25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75" x14ac:dyDescent="0.25">
      <c r="A1" s="190" t="s">
        <v>139</v>
      </c>
      <c r="B1" s="191"/>
      <c r="C1" s="191"/>
      <c r="D1" s="191"/>
      <c r="E1" s="191"/>
      <c r="F1" s="191"/>
      <c r="G1" s="191"/>
    </row>
    <row r="3" spans="1:21" ht="11.25" x14ac:dyDescent="0.2">
      <c r="A3" s="215" t="s">
        <v>85</v>
      </c>
      <c r="B3" s="153" t="s">
        <v>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54"/>
      <c r="O3"/>
      <c r="P3"/>
      <c r="Q3" s="154"/>
    </row>
    <row r="4" spans="1:21" ht="11.25" x14ac:dyDescent="0.2">
      <c r="A4" s="155"/>
      <c r="B4" s="5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4" t="s">
        <v>83</v>
      </c>
      <c r="N4" s="156" t="s">
        <v>84</v>
      </c>
      <c r="O4"/>
      <c r="P4"/>
      <c r="Q4" s="156"/>
    </row>
    <row r="5" spans="1:21" ht="11.25" x14ac:dyDescent="0.2">
      <c r="A5" s="157" t="s">
        <v>20</v>
      </c>
      <c r="B5" s="158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9">
        <v>9050</v>
      </c>
      <c r="O5"/>
      <c r="P5"/>
      <c r="Q5" s="159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9" customFormat="1" ht="15.75" customHeight="1" x14ac:dyDescent="0.15">
      <c r="A8" s="189" t="s">
        <v>62</v>
      </c>
      <c r="B8" s="189" t="s">
        <v>63</v>
      </c>
      <c r="C8" s="189" t="s">
        <v>64</v>
      </c>
      <c r="D8" s="189" t="s">
        <v>65</v>
      </c>
      <c r="E8" s="189" t="s">
        <v>66</v>
      </c>
      <c r="F8" s="189" t="s">
        <v>67</v>
      </c>
      <c r="G8" s="189" t="s">
        <v>68</v>
      </c>
      <c r="H8" s="189" t="s">
        <v>69</v>
      </c>
      <c r="I8" s="189" t="s">
        <v>70</v>
      </c>
      <c r="J8" s="189" t="s">
        <v>71</v>
      </c>
      <c r="K8" s="189" t="s">
        <v>72</v>
      </c>
      <c r="L8" s="189" t="s">
        <v>73</v>
      </c>
      <c r="M8" s="189" t="s">
        <v>74</v>
      </c>
      <c r="N8" s="189" t="s">
        <v>75</v>
      </c>
      <c r="O8" s="189" t="s">
        <v>76</v>
      </c>
      <c r="P8" s="189" t="s">
        <v>77</v>
      </c>
      <c r="Q8" s="189" t="s">
        <v>78</v>
      </c>
      <c r="R8" s="189" t="s">
        <v>79</v>
      </c>
      <c r="S8" s="189" t="s">
        <v>80</v>
      </c>
      <c r="T8" s="189" t="s">
        <v>81</v>
      </c>
      <c r="U8" s="189" t="s">
        <v>134</v>
      </c>
    </row>
    <row r="9" spans="1:21" ht="11.25" x14ac:dyDescent="0.2">
      <c r="A9">
        <v>4415</v>
      </c>
      <c r="B9" t="s">
        <v>144</v>
      </c>
      <c r="C9" t="s">
        <v>57</v>
      </c>
      <c r="D9" t="s">
        <v>6</v>
      </c>
      <c r="E9" t="s">
        <v>145</v>
      </c>
      <c r="F9" s="109">
        <v>37167</v>
      </c>
      <c r="G9" t="s">
        <v>208</v>
      </c>
      <c r="H9" t="s">
        <v>209</v>
      </c>
      <c r="I9" t="s">
        <v>210</v>
      </c>
      <c r="J9" s="109">
        <v>37347</v>
      </c>
      <c r="K9">
        <v>5000</v>
      </c>
      <c r="L9">
        <v>150000</v>
      </c>
      <c r="M9" t="s">
        <v>146</v>
      </c>
      <c r="N9">
        <v>0</v>
      </c>
      <c r="O9" t="s">
        <v>9</v>
      </c>
      <c r="P9" t="s">
        <v>3</v>
      </c>
      <c r="Q9" t="s">
        <v>147</v>
      </c>
      <c r="R9">
        <v>2.61</v>
      </c>
      <c r="S9">
        <v>2.58</v>
      </c>
      <c r="T9">
        <v>-4500</v>
      </c>
      <c r="U9" t="s">
        <v>147</v>
      </c>
    </row>
    <row r="10" spans="1:21" ht="11.25" x14ac:dyDescent="0.2">
      <c r="A10">
        <v>4415</v>
      </c>
      <c r="B10" t="s">
        <v>144</v>
      </c>
      <c r="C10" t="s">
        <v>57</v>
      </c>
      <c r="D10" t="s">
        <v>6</v>
      </c>
      <c r="E10" t="s">
        <v>145</v>
      </c>
      <c r="F10" s="109">
        <v>37167</v>
      </c>
      <c r="G10" t="s">
        <v>208</v>
      </c>
      <c r="H10" t="s">
        <v>209</v>
      </c>
      <c r="I10" t="s">
        <v>210</v>
      </c>
      <c r="J10" s="109">
        <v>37438</v>
      </c>
      <c r="K10">
        <v>5000</v>
      </c>
      <c r="L10">
        <v>155000</v>
      </c>
      <c r="M10" t="s">
        <v>146</v>
      </c>
      <c r="N10">
        <v>0</v>
      </c>
      <c r="O10" t="s">
        <v>9</v>
      </c>
      <c r="P10" t="s">
        <v>3</v>
      </c>
      <c r="Q10" t="s">
        <v>147</v>
      </c>
      <c r="R10">
        <v>2.72</v>
      </c>
      <c r="S10">
        <v>2.6949999999999998</v>
      </c>
      <c r="T10">
        <v>-3875</v>
      </c>
      <c r="U10" t="s">
        <v>147</v>
      </c>
    </row>
    <row r="11" spans="1:21" ht="11.25" x14ac:dyDescent="0.2">
      <c r="A11">
        <v>4415</v>
      </c>
      <c r="B11" t="s">
        <v>144</v>
      </c>
      <c r="C11" t="s">
        <v>57</v>
      </c>
      <c r="D11" t="s">
        <v>6</v>
      </c>
      <c r="E11" t="s">
        <v>145</v>
      </c>
      <c r="F11" s="109">
        <v>37167</v>
      </c>
      <c r="G11" t="s">
        <v>208</v>
      </c>
      <c r="H11" t="s">
        <v>209</v>
      </c>
      <c r="I11" t="s">
        <v>210</v>
      </c>
      <c r="J11" s="109">
        <v>37500</v>
      </c>
      <c r="K11">
        <v>5000</v>
      </c>
      <c r="L11">
        <v>150000</v>
      </c>
      <c r="M11" t="s">
        <v>146</v>
      </c>
      <c r="N11">
        <v>0</v>
      </c>
      <c r="O11" t="s">
        <v>9</v>
      </c>
      <c r="P11" t="s">
        <v>3</v>
      </c>
      <c r="Q11" t="s">
        <v>147</v>
      </c>
      <c r="R11">
        <v>2.76</v>
      </c>
      <c r="S11">
        <v>2.73</v>
      </c>
      <c r="T11">
        <v>-4500</v>
      </c>
      <c r="U11" t="s">
        <v>147</v>
      </c>
    </row>
    <row r="12" spans="1:21" ht="11.25" x14ac:dyDescent="0.2">
      <c r="A12">
        <v>4415</v>
      </c>
      <c r="B12" t="s">
        <v>144</v>
      </c>
      <c r="C12" t="s">
        <v>57</v>
      </c>
      <c r="D12" t="s">
        <v>6</v>
      </c>
      <c r="E12" t="s">
        <v>145</v>
      </c>
      <c r="F12" s="109">
        <v>37167</v>
      </c>
      <c r="G12" t="s">
        <v>208</v>
      </c>
      <c r="H12" t="s">
        <v>209</v>
      </c>
      <c r="I12" t="s">
        <v>210</v>
      </c>
      <c r="J12" s="109">
        <v>37530</v>
      </c>
      <c r="K12">
        <v>5000</v>
      </c>
      <c r="L12">
        <v>155000</v>
      </c>
      <c r="M12" t="s">
        <v>146</v>
      </c>
      <c r="N12">
        <v>0</v>
      </c>
      <c r="O12" t="s">
        <v>9</v>
      </c>
      <c r="P12" t="s">
        <v>3</v>
      </c>
      <c r="Q12" t="s">
        <v>147</v>
      </c>
      <c r="R12">
        <v>2.78</v>
      </c>
      <c r="S12">
        <v>2.7519999999999998</v>
      </c>
      <c r="T12">
        <v>-4340</v>
      </c>
      <c r="U12" t="s">
        <v>147</v>
      </c>
    </row>
    <row r="13" spans="1:21" ht="11.25" x14ac:dyDescent="0.2">
      <c r="A13">
        <v>4415</v>
      </c>
      <c r="B13" t="s">
        <v>144</v>
      </c>
      <c r="C13" t="s">
        <v>57</v>
      </c>
      <c r="D13" t="s">
        <v>6</v>
      </c>
      <c r="E13" t="s">
        <v>145</v>
      </c>
      <c r="F13" s="109">
        <v>37167</v>
      </c>
      <c r="G13" t="s">
        <v>208</v>
      </c>
      <c r="H13" t="s">
        <v>209</v>
      </c>
      <c r="I13" t="s">
        <v>210</v>
      </c>
      <c r="J13" s="109">
        <v>37469</v>
      </c>
      <c r="K13">
        <v>5000</v>
      </c>
      <c r="L13">
        <v>155000</v>
      </c>
      <c r="M13" t="s">
        <v>146</v>
      </c>
      <c r="N13">
        <v>0</v>
      </c>
      <c r="O13" t="s">
        <v>9</v>
      </c>
      <c r="P13" t="s">
        <v>3</v>
      </c>
      <c r="Q13" t="s">
        <v>147</v>
      </c>
      <c r="R13">
        <v>2.75</v>
      </c>
      <c r="S13">
        <v>2.7280000000000002</v>
      </c>
      <c r="T13">
        <v>-3410</v>
      </c>
      <c r="U13" t="s">
        <v>147</v>
      </c>
    </row>
    <row r="14" spans="1:21" ht="11.25" x14ac:dyDescent="0.2">
      <c r="A14">
        <v>4415</v>
      </c>
      <c r="B14" t="s">
        <v>144</v>
      </c>
      <c r="C14" t="s">
        <v>57</v>
      </c>
      <c r="D14" t="s">
        <v>6</v>
      </c>
      <c r="E14" t="s">
        <v>145</v>
      </c>
      <c r="F14" s="109">
        <v>37167</v>
      </c>
      <c r="G14" t="s">
        <v>208</v>
      </c>
      <c r="H14" t="s">
        <v>209</v>
      </c>
      <c r="I14" t="s">
        <v>210</v>
      </c>
      <c r="J14" s="109">
        <v>37408</v>
      </c>
      <c r="K14">
        <v>5000</v>
      </c>
      <c r="L14">
        <v>150000</v>
      </c>
      <c r="M14" t="s">
        <v>146</v>
      </c>
      <c r="N14">
        <v>0</v>
      </c>
      <c r="O14" t="s">
        <v>9</v>
      </c>
      <c r="P14" t="s">
        <v>3</v>
      </c>
      <c r="Q14" t="s">
        <v>147</v>
      </c>
      <c r="R14">
        <v>2.68</v>
      </c>
      <c r="S14">
        <v>2.6579999999999999</v>
      </c>
      <c r="T14">
        <v>-3300</v>
      </c>
      <c r="U14" t="s">
        <v>147</v>
      </c>
    </row>
    <row r="15" spans="1:21" ht="11.25" x14ac:dyDescent="0.2">
      <c r="A15">
        <v>4415</v>
      </c>
      <c r="B15" t="s">
        <v>144</v>
      </c>
      <c r="C15" t="s">
        <v>57</v>
      </c>
      <c r="D15" t="s">
        <v>6</v>
      </c>
      <c r="E15" t="s">
        <v>145</v>
      </c>
      <c r="F15" s="109">
        <v>37167</v>
      </c>
      <c r="G15" t="s">
        <v>208</v>
      </c>
      <c r="H15" t="s">
        <v>209</v>
      </c>
      <c r="I15" t="s">
        <v>210</v>
      </c>
      <c r="J15" s="109">
        <v>37377</v>
      </c>
      <c r="K15">
        <v>5000</v>
      </c>
      <c r="L15">
        <v>155000</v>
      </c>
      <c r="M15" t="s">
        <v>146</v>
      </c>
      <c r="N15">
        <v>0</v>
      </c>
      <c r="O15" t="s">
        <v>9</v>
      </c>
      <c r="P15" t="s">
        <v>3</v>
      </c>
      <c r="Q15" t="s">
        <v>147</v>
      </c>
      <c r="R15">
        <v>2.64</v>
      </c>
      <c r="S15">
        <v>2.6179999999999999</v>
      </c>
      <c r="T15">
        <v>-3410</v>
      </c>
      <c r="U15" t="s">
        <v>147</v>
      </c>
    </row>
    <row r="16" spans="1:21" ht="11.25" x14ac:dyDescent="0.2">
      <c r="A16">
        <v>3519</v>
      </c>
      <c r="B16" t="s">
        <v>144</v>
      </c>
      <c r="C16" t="s">
        <v>57</v>
      </c>
      <c r="D16" t="s">
        <v>6</v>
      </c>
      <c r="E16" t="s">
        <v>145</v>
      </c>
      <c r="F16" s="109">
        <v>37112</v>
      </c>
      <c r="G16" t="s">
        <v>208</v>
      </c>
      <c r="H16" t="s">
        <v>209</v>
      </c>
      <c r="I16" t="s">
        <v>211</v>
      </c>
      <c r="J16" s="109">
        <v>37226</v>
      </c>
      <c r="K16">
        <v>5000</v>
      </c>
      <c r="L16">
        <v>155000</v>
      </c>
      <c r="M16" t="s">
        <v>146</v>
      </c>
      <c r="N16">
        <v>0</v>
      </c>
      <c r="O16" t="s">
        <v>9</v>
      </c>
      <c r="P16" t="s">
        <v>3</v>
      </c>
      <c r="Q16" t="s">
        <v>147</v>
      </c>
      <c r="R16">
        <v>3.1850000000000001</v>
      </c>
      <c r="S16">
        <v>2.7130000000000001</v>
      </c>
      <c r="T16">
        <v>-73160</v>
      </c>
      <c r="U16" t="s">
        <v>147</v>
      </c>
    </row>
    <row r="17" spans="1:21" ht="11.25" x14ac:dyDescent="0.2">
      <c r="A17">
        <v>3519</v>
      </c>
      <c r="B17" t="s">
        <v>144</v>
      </c>
      <c r="C17" t="s">
        <v>57</v>
      </c>
      <c r="D17" t="s">
        <v>6</v>
      </c>
      <c r="E17" t="s">
        <v>145</v>
      </c>
      <c r="F17" s="109">
        <v>37112</v>
      </c>
      <c r="G17" t="s">
        <v>208</v>
      </c>
      <c r="H17" t="s">
        <v>209</v>
      </c>
      <c r="I17" t="s">
        <v>211</v>
      </c>
      <c r="J17" s="109">
        <v>37316</v>
      </c>
      <c r="K17">
        <v>5000</v>
      </c>
      <c r="L17">
        <v>155000</v>
      </c>
      <c r="M17" t="s">
        <v>146</v>
      </c>
      <c r="N17">
        <v>0</v>
      </c>
      <c r="O17" t="s">
        <v>9</v>
      </c>
      <c r="P17" t="s">
        <v>3</v>
      </c>
      <c r="Q17" t="s">
        <v>147</v>
      </c>
      <c r="R17">
        <v>3.3849999999999998</v>
      </c>
      <c r="S17">
        <v>2.7749999999999999</v>
      </c>
      <c r="T17">
        <v>-94550</v>
      </c>
      <c r="U17" t="s">
        <v>147</v>
      </c>
    </row>
    <row r="18" spans="1:21" ht="11.25" x14ac:dyDescent="0.2">
      <c r="A18">
        <v>3519</v>
      </c>
      <c r="B18" t="s">
        <v>144</v>
      </c>
      <c r="C18" t="s">
        <v>57</v>
      </c>
      <c r="D18" t="s">
        <v>6</v>
      </c>
      <c r="E18" t="s">
        <v>145</v>
      </c>
      <c r="F18" s="109">
        <v>37112</v>
      </c>
      <c r="G18" t="s">
        <v>208</v>
      </c>
      <c r="H18" t="s">
        <v>209</v>
      </c>
      <c r="I18" t="s">
        <v>211</v>
      </c>
      <c r="J18" s="109">
        <v>37288</v>
      </c>
      <c r="K18">
        <v>5000</v>
      </c>
      <c r="L18">
        <v>140000</v>
      </c>
      <c r="M18" t="s">
        <v>146</v>
      </c>
      <c r="N18">
        <v>0</v>
      </c>
      <c r="O18" t="s">
        <v>9</v>
      </c>
      <c r="P18" t="s">
        <v>3</v>
      </c>
      <c r="Q18" t="s">
        <v>147</v>
      </c>
      <c r="R18">
        <v>3.415</v>
      </c>
      <c r="S18">
        <v>2.806</v>
      </c>
      <c r="T18">
        <v>-85260</v>
      </c>
      <c r="U18" t="s">
        <v>147</v>
      </c>
    </row>
    <row r="19" spans="1:21" ht="11.25" x14ac:dyDescent="0.2">
      <c r="A19">
        <v>3519</v>
      </c>
      <c r="B19" t="s">
        <v>144</v>
      </c>
      <c r="C19" t="s">
        <v>57</v>
      </c>
      <c r="D19" t="s">
        <v>6</v>
      </c>
      <c r="E19" t="s">
        <v>145</v>
      </c>
      <c r="F19" s="109">
        <v>37112</v>
      </c>
      <c r="G19" t="s">
        <v>208</v>
      </c>
      <c r="H19" t="s">
        <v>209</v>
      </c>
      <c r="I19" t="s">
        <v>211</v>
      </c>
      <c r="J19" s="109">
        <v>37257</v>
      </c>
      <c r="K19">
        <v>5000</v>
      </c>
      <c r="L19">
        <v>155000</v>
      </c>
      <c r="M19" t="s">
        <v>146</v>
      </c>
      <c r="N19">
        <v>0</v>
      </c>
      <c r="O19" t="s">
        <v>9</v>
      </c>
      <c r="P19" t="s">
        <v>3</v>
      </c>
      <c r="Q19" t="s">
        <v>147</v>
      </c>
      <c r="R19">
        <v>3.3650000000000002</v>
      </c>
      <c r="S19">
        <v>2.9359999999999999</v>
      </c>
      <c r="T19">
        <v>-66495</v>
      </c>
      <c r="U19" t="s">
        <v>147</v>
      </c>
    </row>
    <row r="20" spans="1:21" ht="11.25" x14ac:dyDescent="0.2">
      <c r="A20">
        <v>4559</v>
      </c>
      <c r="B20" t="s">
        <v>144</v>
      </c>
      <c r="C20" t="s">
        <v>57</v>
      </c>
      <c r="D20" t="s">
        <v>7</v>
      </c>
      <c r="E20" t="s">
        <v>145</v>
      </c>
      <c r="F20" s="109">
        <v>37174</v>
      </c>
      <c r="G20" t="s">
        <v>208</v>
      </c>
      <c r="H20" t="s">
        <v>148</v>
      </c>
      <c r="I20" t="s">
        <v>212</v>
      </c>
      <c r="J20" s="109">
        <v>37226</v>
      </c>
      <c r="K20">
        <v>5000</v>
      </c>
      <c r="L20">
        <v>155000</v>
      </c>
      <c r="M20" t="s">
        <v>146</v>
      </c>
      <c r="N20">
        <v>0.01</v>
      </c>
      <c r="O20" t="s">
        <v>9</v>
      </c>
      <c r="P20" t="s">
        <v>3</v>
      </c>
      <c r="Q20" t="s">
        <v>147</v>
      </c>
      <c r="R20">
        <v>2.7130000000000001</v>
      </c>
      <c r="S20">
        <v>2.7349999999999999</v>
      </c>
      <c r="T20">
        <v>3410</v>
      </c>
      <c r="U20" t="s">
        <v>147</v>
      </c>
    </row>
    <row r="21" spans="1:21" ht="11.25" x14ac:dyDescent="0.2">
      <c r="A21">
        <v>4559</v>
      </c>
      <c r="B21" t="s">
        <v>144</v>
      </c>
      <c r="C21" t="s">
        <v>57</v>
      </c>
      <c r="D21" t="s">
        <v>7</v>
      </c>
      <c r="E21" t="s">
        <v>145</v>
      </c>
      <c r="F21" s="109">
        <v>37174</v>
      </c>
      <c r="G21" t="s">
        <v>208</v>
      </c>
      <c r="H21" t="s">
        <v>148</v>
      </c>
      <c r="I21" t="s">
        <v>212</v>
      </c>
      <c r="J21" s="109">
        <v>37288</v>
      </c>
      <c r="K21">
        <v>5000</v>
      </c>
      <c r="L21">
        <v>140000</v>
      </c>
      <c r="M21" t="s">
        <v>146</v>
      </c>
      <c r="N21">
        <v>0.01</v>
      </c>
      <c r="O21" t="s">
        <v>9</v>
      </c>
      <c r="P21" t="s">
        <v>3</v>
      </c>
      <c r="Q21" t="s">
        <v>147</v>
      </c>
      <c r="R21">
        <v>2.806</v>
      </c>
      <c r="S21">
        <v>2.9649999999999999</v>
      </c>
      <c r="T21">
        <v>22260</v>
      </c>
      <c r="U21" t="s">
        <v>147</v>
      </c>
    </row>
    <row r="22" spans="1:21" ht="11.25" x14ac:dyDescent="0.2">
      <c r="A22">
        <v>4559</v>
      </c>
      <c r="B22" t="s">
        <v>144</v>
      </c>
      <c r="C22" t="s">
        <v>57</v>
      </c>
      <c r="D22" t="s">
        <v>7</v>
      </c>
      <c r="E22" t="s">
        <v>145</v>
      </c>
      <c r="F22" s="109">
        <v>37174</v>
      </c>
      <c r="G22" t="s">
        <v>208</v>
      </c>
      <c r="H22" t="s">
        <v>148</v>
      </c>
      <c r="I22" t="s">
        <v>212</v>
      </c>
      <c r="J22" s="109">
        <v>37316</v>
      </c>
      <c r="K22">
        <v>5000</v>
      </c>
      <c r="L22">
        <v>155000</v>
      </c>
      <c r="M22" t="s">
        <v>146</v>
      </c>
      <c r="N22">
        <v>0.01</v>
      </c>
      <c r="O22" t="s">
        <v>9</v>
      </c>
      <c r="P22" t="s">
        <v>3</v>
      </c>
      <c r="Q22" t="s">
        <v>147</v>
      </c>
      <c r="R22">
        <v>2.7749999999999999</v>
      </c>
      <c r="S22">
        <v>2.9350000000000001</v>
      </c>
      <c r="T22">
        <v>24800</v>
      </c>
      <c r="U22" t="s">
        <v>147</v>
      </c>
    </row>
    <row r="23" spans="1:21" ht="11.25" x14ac:dyDescent="0.2">
      <c r="A23">
        <v>4559</v>
      </c>
      <c r="B23" t="s">
        <v>144</v>
      </c>
      <c r="C23" t="s">
        <v>57</v>
      </c>
      <c r="D23" t="s">
        <v>7</v>
      </c>
      <c r="E23" t="s">
        <v>145</v>
      </c>
      <c r="F23" s="109">
        <v>37174</v>
      </c>
      <c r="G23" t="s">
        <v>208</v>
      </c>
      <c r="H23" t="s">
        <v>148</v>
      </c>
      <c r="I23" t="s">
        <v>212</v>
      </c>
      <c r="J23" s="109">
        <v>37257</v>
      </c>
      <c r="K23">
        <v>5000</v>
      </c>
      <c r="L23">
        <v>155000</v>
      </c>
      <c r="M23" t="s">
        <v>146</v>
      </c>
      <c r="N23">
        <v>0.01</v>
      </c>
      <c r="O23" t="s">
        <v>9</v>
      </c>
      <c r="P23" t="s">
        <v>3</v>
      </c>
      <c r="Q23" t="s">
        <v>147</v>
      </c>
      <c r="R23">
        <v>2.9359999999999999</v>
      </c>
      <c r="S23">
        <v>2.915</v>
      </c>
      <c r="T23">
        <v>-3255</v>
      </c>
      <c r="U23" t="s">
        <v>147</v>
      </c>
    </row>
    <row r="24" spans="1:21" ht="11.25" x14ac:dyDescent="0.2">
      <c r="A24">
        <v>2858</v>
      </c>
      <c r="B24" t="s">
        <v>144</v>
      </c>
      <c r="C24" t="s">
        <v>57</v>
      </c>
      <c r="D24" t="s">
        <v>7</v>
      </c>
      <c r="E24" t="s">
        <v>145</v>
      </c>
      <c r="F24" s="109">
        <v>37062</v>
      </c>
      <c r="G24" t="s">
        <v>208</v>
      </c>
      <c r="H24" t="s">
        <v>209</v>
      </c>
      <c r="I24" t="s">
        <v>213</v>
      </c>
      <c r="J24" s="109">
        <v>37347</v>
      </c>
      <c r="K24">
        <v>5000</v>
      </c>
      <c r="L24">
        <v>150000</v>
      </c>
      <c r="M24" t="s">
        <v>146</v>
      </c>
      <c r="N24">
        <v>0</v>
      </c>
      <c r="O24" t="s">
        <v>9</v>
      </c>
      <c r="P24" t="s">
        <v>3</v>
      </c>
      <c r="Q24" t="s">
        <v>147</v>
      </c>
      <c r="R24">
        <v>2.58</v>
      </c>
      <c r="S24">
        <v>2.6749999999999998</v>
      </c>
      <c r="T24">
        <v>14250</v>
      </c>
      <c r="U24" t="s">
        <v>147</v>
      </c>
    </row>
    <row r="25" spans="1:21" ht="11.25" x14ac:dyDescent="0.2">
      <c r="A25">
        <v>2858</v>
      </c>
      <c r="B25" t="s">
        <v>144</v>
      </c>
      <c r="C25" t="s">
        <v>57</v>
      </c>
      <c r="D25" t="s">
        <v>7</v>
      </c>
      <c r="E25" t="s">
        <v>145</v>
      </c>
      <c r="F25" s="109">
        <v>37062</v>
      </c>
      <c r="G25" t="s">
        <v>208</v>
      </c>
      <c r="H25" t="s">
        <v>209</v>
      </c>
      <c r="I25" t="s">
        <v>213</v>
      </c>
      <c r="J25" s="109">
        <v>37377</v>
      </c>
      <c r="K25">
        <v>5000</v>
      </c>
      <c r="L25">
        <v>155000</v>
      </c>
      <c r="M25" t="s">
        <v>146</v>
      </c>
      <c r="N25">
        <v>0</v>
      </c>
      <c r="O25" t="s">
        <v>9</v>
      </c>
      <c r="P25" t="s">
        <v>3</v>
      </c>
      <c r="Q25" t="s">
        <v>147</v>
      </c>
      <c r="R25">
        <v>2.6179999999999999</v>
      </c>
      <c r="S25">
        <v>2.7050000000000001</v>
      </c>
      <c r="T25">
        <v>13485</v>
      </c>
      <c r="U25" t="s">
        <v>147</v>
      </c>
    </row>
    <row r="26" spans="1:21" ht="11.25" x14ac:dyDescent="0.2">
      <c r="A26">
        <v>2858</v>
      </c>
      <c r="B26" t="s">
        <v>144</v>
      </c>
      <c r="C26" t="s">
        <v>57</v>
      </c>
      <c r="D26" t="s">
        <v>7</v>
      </c>
      <c r="E26" t="s">
        <v>145</v>
      </c>
      <c r="F26" s="109">
        <v>37062</v>
      </c>
      <c r="G26" t="s">
        <v>208</v>
      </c>
      <c r="H26" t="s">
        <v>209</v>
      </c>
      <c r="I26" t="s">
        <v>213</v>
      </c>
      <c r="J26" s="109">
        <v>37408</v>
      </c>
      <c r="K26">
        <v>5000</v>
      </c>
      <c r="L26">
        <v>150000</v>
      </c>
      <c r="M26" t="s">
        <v>146</v>
      </c>
      <c r="N26">
        <v>0</v>
      </c>
      <c r="O26" t="s">
        <v>9</v>
      </c>
      <c r="P26" t="s">
        <v>3</v>
      </c>
      <c r="Q26" t="s">
        <v>147</v>
      </c>
      <c r="R26">
        <v>2.6579999999999999</v>
      </c>
      <c r="S26">
        <v>2.7450000000000001</v>
      </c>
      <c r="T26">
        <v>13050</v>
      </c>
      <c r="U26" t="s">
        <v>147</v>
      </c>
    </row>
    <row r="27" spans="1:21" ht="11.25" x14ac:dyDescent="0.2">
      <c r="A27">
        <v>2858</v>
      </c>
      <c r="B27" t="s">
        <v>144</v>
      </c>
      <c r="C27" t="s">
        <v>57</v>
      </c>
      <c r="D27" t="s">
        <v>7</v>
      </c>
      <c r="E27" t="s">
        <v>145</v>
      </c>
      <c r="F27" s="109">
        <v>37062</v>
      </c>
      <c r="G27" t="s">
        <v>208</v>
      </c>
      <c r="H27" t="s">
        <v>209</v>
      </c>
      <c r="I27" t="s">
        <v>213</v>
      </c>
      <c r="J27" s="109">
        <v>37438</v>
      </c>
      <c r="K27">
        <v>5000</v>
      </c>
      <c r="L27">
        <v>155000</v>
      </c>
      <c r="M27" t="s">
        <v>146</v>
      </c>
      <c r="N27">
        <v>0</v>
      </c>
      <c r="O27" t="s">
        <v>9</v>
      </c>
      <c r="P27" t="s">
        <v>3</v>
      </c>
      <c r="Q27" t="s">
        <v>147</v>
      </c>
      <c r="R27">
        <v>2.6949999999999998</v>
      </c>
      <c r="S27">
        <v>2.7850000000000001</v>
      </c>
      <c r="T27">
        <v>13950</v>
      </c>
      <c r="U27" t="s">
        <v>147</v>
      </c>
    </row>
    <row r="28" spans="1:21" ht="11.25" x14ac:dyDescent="0.2">
      <c r="A28">
        <v>2858</v>
      </c>
      <c r="B28" t="s">
        <v>144</v>
      </c>
      <c r="C28" t="s">
        <v>57</v>
      </c>
      <c r="D28" t="s">
        <v>7</v>
      </c>
      <c r="E28" t="s">
        <v>145</v>
      </c>
      <c r="F28" s="109">
        <v>37062</v>
      </c>
      <c r="G28" t="s">
        <v>208</v>
      </c>
      <c r="H28" t="s">
        <v>209</v>
      </c>
      <c r="I28" t="s">
        <v>213</v>
      </c>
      <c r="J28" s="109">
        <v>37469</v>
      </c>
      <c r="K28">
        <v>5000</v>
      </c>
      <c r="L28">
        <v>155000</v>
      </c>
      <c r="M28" t="s">
        <v>146</v>
      </c>
      <c r="N28">
        <v>0</v>
      </c>
      <c r="O28" t="s">
        <v>9</v>
      </c>
      <c r="P28" t="s">
        <v>3</v>
      </c>
      <c r="Q28" t="s">
        <v>147</v>
      </c>
      <c r="R28">
        <v>2.7280000000000002</v>
      </c>
      <c r="S28">
        <v>2.8149999999999999</v>
      </c>
      <c r="T28">
        <v>13485</v>
      </c>
      <c r="U28" t="s">
        <v>147</v>
      </c>
    </row>
    <row r="29" spans="1:21" ht="11.25" x14ac:dyDescent="0.2">
      <c r="A29">
        <v>2858</v>
      </c>
      <c r="B29" t="s">
        <v>144</v>
      </c>
      <c r="C29" t="s">
        <v>57</v>
      </c>
      <c r="D29" t="s">
        <v>7</v>
      </c>
      <c r="E29" t="s">
        <v>145</v>
      </c>
      <c r="F29" s="109">
        <v>37062</v>
      </c>
      <c r="G29" t="s">
        <v>208</v>
      </c>
      <c r="H29" t="s">
        <v>209</v>
      </c>
      <c r="I29" t="s">
        <v>213</v>
      </c>
      <c r="J29" s="109">
        <v>37500</v>
      </c>
      <c r="K29">
        <v>5000</v>
      </c>
      <c r="L29">
        <v>150000</v>
      </c>
      <c r="M29" t="s">
        <v>146</v>
      </c>
      <c r="N29">
        <v>0</v>
      </c>
      <c r="O29" t="s">
        <v>9</v>
      </c>
      <c r="P29" t="s">
        <v>3</v>
      </c>
      <c r="Q29" t="s">
        <v>147</v>
      </c>
      <c r="R29">
        <v>2.73</v>
      </c>
      <c r="S29">
        <v>2.8250000000000002</v>
      </c>
      <c r="T29">
        <v>14250</v>
      </c>
      <c r="U29" t="s">
        <v>147</v>
      </c>
    </row>
    <row r="30" spans="1:21" ht="11.25" x14ac:dyDescent="0.2">
      <c r="A30">
        <v>2858</v>
      </c>
      <c r="B30" t="s">
        <v>144</v>
      </c>
      <c r="C30" t="s">
        <v>57</v>
      </c>
      <c r="D30" t="s">
        <v>7</v>
      </c>
      <c r="E30" t="s">
        <v>145</v>
      </c>
      <c r="F30" s="109">
        <v>37062</v>
      </c>
      <c r="G30" t="s">
        <v>208</v>
      </c>
      <c r="H30" t="s">
        <v>209</v>
      </c>
      <c r="I30" t="s">
        <v>213</v>
      </c>
      <c r="J30" s="109">
        <v>37530</v>
      </c>
      <c r="K30">
        <v>5000</v>
      </c>
      <c r="L30">
        <v>155000</v>
      </c>
      <c r="M30" t="s">
        <v>146</v>
      </c>
      <c r="N30">
        <v>0</v>
      </c>
      <c r="O30" t="s">
        <v>9</v>
      </c>
      <c r="P30" t="s">
        <v>3</v>
      </c>
      <c r="Q30" t="s">
        <v>147</v>
      </c>
      <c r="R30">
        <v>2.7519999999999998</v>
      </c>
      <c r="S30">
        <v>2.8450000000000002</v>
      </c>
      <c r="T30">
        <v>14415</v>
      </c>
      <c r="U30" t="s">
        <v>147</v>
      </c>
    </row>
    <row r="31" spans="1:21" ht="11.25" x14ac:dyDescent="0.2">
      <c r="A31">
        <v>3682</v>
      </c>
      <c r="B31" t="s">
        <v>144</v>
      </c>
      <c r="C31" t="s">
        <v>57</v>
      </c>
      <c r="D31" t="s">
        <v>7</v>
      </c>
      <c r="E31" t="s">
        <v>145</v>
      </c>
      <c r="F31" s="109">
        <v>37124</v>
      </c>
      <c r="G31" t="s">
        <v>208</v>
      </c>
      <c r="H31" t="s">
        <v>209</v>
      </c>
      <c r="I31" t="s">
        <v>213</v>
      </c>
      <c r="J31" s="109">
        <v>37226</v>
      </c>
      <c r="K31">
        <v>5000</v>
      </c>
      <c r="L31">
        <v>155000</v>
      </c>
      <c r="M31" t="s">
        <v>146</v>
      </c>
      <c r="N31">
        <v>1E-3</v>
      </c>
      <c r="O31" t="s">
        <v>9</v>
      </c>
      <c r="P31" t="s">
        <v>3</v>
      </c>
      <c r="Q31" t="s">
        <v>147</v>
      </c>
      <c r="R31">
        <v>2.7130000000000001</v>
      </c>
      <c r="S31">
        <v>3.23</v>
      </c>
      <c r="T31">
        <v>80135</v>
      </c>
      <c r="U31" t="s">
        <v>147</v>
      </c>
    </row>
    <row r="32" spans="1:21" ht="11.25" x14ac:dyDescent="0.2">
      <c r="A32">
        <v>3682</v>
      </c>
      <c r="B32" t="s">
        <v>144</v>
      </c>
      <c r="C32" t="s">
        <v>57</v>
      </c>
      <c r="D32" t="s">
        <v>7</v>
      </c>
      <c r="E32" t="s">
        <v>145</v>
      </c>
      <c r="F32" s="109">
        <v>37124</v>
      </c>
      <c r="G32" t="s">
        <v>208</v>
      </c>
      <c r="H32" t="s">
        <v>209</v>
      </c>
      <c r="I32" t="s">
        <v>213</v>
      </c>
      <c r="J32" s="109">
        <v>37257</v>
      </c>
      <c r="K32">
        <v>5000</v>
      </c>
      <c r="L32">
        <v>155000</v>
      </c>
      <c r="M32" t="s">
        <v>146</v>
      </c>
      <c r="N32">
        <v>1E-3</v>
      </c>
      <c r="O32" t="s">
        <v>9</v>
      </c>
      <c r="P32" t="s">
        <v>3</v>
      </c>
      <c r="Q32" t="s">
        <v>147</v>
      </c>
      <c r="R32">
        <v>2.9359999999999999</v>
      </c>
      <c r="S32">
        <v>3.41</v>
      </c>
      <c r="T32">
        <v>73470</v>
      </c>
      <c r="U32" t="s">
        <v>147</v>
      </c>
    </row>
    <row r="33" spans="1:21" ht="11.25" x14ac:dyDescent="0.2">
      <c r="A33">
        <v>3682</v>
      </c>
      <c r="B33" t="s">
        <v>144</v>
      </c>
      <c r="C33" t="s">
        <v>57</v>
      </c>
      <c r="D33" t="s">
        <v>7</v>
      </c>
      <c r="E33" t="s">
        <v>145</v>
      </c>
      <c r="F33" s="109">
        <v>37124</v>
      </c>
      <c r="G33" t="s">
        <v>208</v>
      </c>
      <c r="H33" t="s">
        <v>209</v>
      </c>
      <c r="I33" t="s">
        <v>213</v>
      </c>
      <c r="J33" s="109">
        <v>37288</v>
      </c>
      <c r="K33">
        <v>5000</v>
      </c>
      <c r="L33">
        <v>140000</v>
      </c>
      <c r="M33" t="s">
        <v>146</v>
      </c>
      <c r="N33">
        <v>1E-3</v>
      </c>
      <c r="O33" t="s">
        <v>9</v>
      </c>
      <c r="P33" t="s">
        <v>3</v>
      </c>
      <c r="Q33" t="s">
        <v>147</v>
      </c>
      <c r="R33">
        <v>2.806</v>
      </c>
      <c r="S33">
        <v>3.46</v>
      </c>
      <c r="T33">
        <v>91560</v>
      </c>
      <c r="U33" t="s">
        <v>147</v>
      </c>
    </row>
    <row r="34" spans="1:21" ht="11.25" x14ac:dyDescent="0.2">
      <c r="A34">
        <v>3682</v>
      </c>
      <c r="B34" t="s">
        <v>144</v>
      </c>
      <c r="C34" t="s">
        <v>57</v>
      </c>
      <c r="D34" t="s">
        <v>7</v>
      </c>
      <c r="E34" t="s">
        <v>145</v>
      </c>
      <c r="F34" s="109">
        <v>37124</v>
      </c>
      <c r="G34" t="s">
        <v>208</v>
      </c>
      <c r="H34" t="s">
        <v>209</v>
      </c>
      <c r="I34" t="s">
        <v>213</v>
      </c>
      <c r="J34" s="109">
        <v>37316</v>
      </c>
      <c r="K34">
        <v>5000</v>
      </c>
      <c r="L34">
        <v>155000</v>
      </c>
      <c r="M34" t="s">
        <v>146</v>
      </c>
      <c r="N34">
        <v>1E-3</v>
      </c>
      <c r="O34" t="s">
        <v>9</v>
      </c>
      <c r="P34" t="s">
        <v>3</v>
      </c>
      <c r="Q34" t="s">
        <v>147</v>
      </c>
      <c r="R34">
        <v>2.7749999999999999</v>
      </c>
      <c r="S34">
        <v>3.43</v>
      </c>
      <c r="T34">
        <v>101525</v>
      </c>
      <c r="U34" t="s">
        <v>147</v>
      </c>
    </row>
    <row r="35" spans="1:21" ht="11.25" x14ac:dyDescent="0.2">
      <c r="A35">
        <v>5216</v>
      </c>
      <c r="B35" t="s">
        <v>144</v>
      </c>
      <c r="C35" t="s">
        <v>57</v>
      </c>
      <c r="D35" t="s">
        <v>6</v>
      </c>
      <c r="E35" t="s">
        <v>145</v>
      </c>
      <c r="F35" s="109">
        <v>37188</v>
      </c>
      <c r="G35" t="s">
        <v>208</v>
      </c>
      <c r="H35" t="s">
        <v>209</v>
      </c>
      <c r="I35" t="s">
        <v>213</v>
      </c>
      <c r="J35" s="109">
        <v>37316</v>
      </c>
      <c r="K35">
        <v>5000</v>
      </c>
      <c r="L35">
        <v>155000</v>
      </c>
      <c r="M35" t="s">
        <v>146</v>
      </c>
      <c r="N35">
        <v>0</v>
      </c>
      <c r="O35" t="s">
        <v>9</v>
      </c>
      <c r="P35" t="s">
        <v>3</v>
      </c>
      <c r="Q35" t="s">
        <v>147</v>
      </c>
      <c r="R35">
        <v>3.08</v>
      </c>
      <c r="S35">
        <v>2.7749999999999999</v>
      </c>
      <c r="T35">
        <v>-47275</v>
      </c>
      <c r="U35" t="s">
        <v>147</v>
      </c>
    </row>
    <row r="36" spans="1:21" ht="11.25" x14ac:dyDescent="0.2">
      <c r="A36">
        <v>5216</v>
      </c>
      <c r="B36" t="s">
        <v>144</v>
      </c>
      <c r="C36" t="s">
        <v>57</v>
      </c>
      <c r="D36" t="s">
        <v>6</v>
      </c>
      <c r="E36" t="s">
        <v>145</v>
      </c>
      <c r="F36" s="109">
        <v>37188</v>
      </c>
      <c r="G36" t="s">
        <v>208</v>
      </c>
      <c r="H36" t="s">
        <v>209</v>
      </c>
      <c r="I36" t="s">
        <v>213</v>
      </c>
      <c r="J36" s="109">
        <v>37288</v>
      </c>
      <c r="K36">
        <v>5000</v>
      </c>
      <c r="L36">
        <v>140000</v>
      </c>
      <c r="M36" t="s">
        <v>146</v>
      </c>
      <c r="N36">
        <v>0</v>
      </c>
      <c r="O36" t="s">
        <v>9</v>
      </c>
      <c r="P36" t="s">
        <v>3</v>
      </c>
      <c r="Q36" t="s">
        <v>147</v>
      </c>
      <c r="R36">
        <v>3.11</v>
      </c>
      <c r="S36">
        <v>2.806</v>
      </c>
      <c r="T36">
        <v>-42560</v>
      </c>
      <c r="U36" t="s">
        <v>147</v>
      </c>
    </row>
    <row r="37" spans="1:21" ht="11.25" x14ac:dyDescent="0.2">
      <c r="A37">
        <v>5216</v>
      </c>
      <c r="B37" t="s">
        <v>144</v>
      </c>
      <c r="C37" t="s">
        <v>57</v>
      </c>
      <c r="D37" t="s">
        <v>6</v>
      </c>
      <c r="E37" t="s">
        <v>145</v>
      </c>
      <c r="F37" s="109">
        <v>37188</v>
      </c>
      <c r="G37" t="s">
        <v>208</v>
      </c>
      <c r="H37" t="s">
        <v>209</v>
      </c>
      <c r="I37" t="s">
        <v>213</v>
      </c>
      <c r="J37" s="109">
        <v>37257</v>
      </c>
      <c r="K37">
        <v>5000</v>
      </c>
      <c r="L37">
        <v>155000</v>
      </c>
      <c r="M37" t="s">
        <v>146</v>
      </c>
      <c r="N37">
        <v>0</v>
      </c>
      <c r="O37" t="s">
        <v>9</v>
      </c>
      <c r="P37" t="s">
        <v>3</v>
      </c>
      <c r="Q37" t="s">
        <v>147</v>
      </c>
      <c r="R37">
        <v>3.06</v>
      </c>
      <c r="S37">
        <v>2.9359999999999999</v>
      </c>
      <c r="T37">
        <v>-19220</v>
      </c>
      <c r="U37" t="s">
        <v>147</v>
      </c>
    </row>
    <row r="38" spans="1:21" ht="11.25" x14ac:dyDescent="0.2">
      <c r="A38">
        <v>5216</v>
      </c>
      <c r="B38" t="s">
        <v>144</v>
      </c>
      <c r="C38" t="s">
        <v>57</v>
      </c>
      <c r="D38" t="s">
        <v>6</v>
      </c>
      <c r="E38" t="s">
        <v>145</v>
      </c>
      <c r="F38" s="109">
        <v>37188</v>
      </c>
      <c r="G38" t="s">
        <v>208</v>
      </c>
      <c r="H38" t="s">
        <v>209</v>
      </c>
      <c r="I38" t="s">
        <v>213</v>
      </c>
      <c r="J38" s="109">
        <v>37226</v>
      </c>
      <c r="K38">
        <v>5000</v>
      </c>
      <c r="L38">
        <v>155000</v>
      </c>
      <c r="M38" t="s">
        <v>146</v>
      </c>
      <c r="N38">
        <v>0</v>
      </c>
      <c r="O38" t="s">
        <v>9</v>
      </c>
      <c r="P38" t="s">
        <v>3</v>
      </c>
      <c r="Q38" t="s">
        <v>147</v>
      </c>
      <c r="R38">
        <v>2.88</v>
      </c>
      <c r="S38">
        <v>2.7130000000000001</v>
      </c>
      <c r="T38">
        <v>-25885</v>
      </c>
      <c r="U38" t="s">
        <v>147</v>
      </c>
    </row>
    <row r="39" spans="1:21" ht="11.25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109"/>
    </row>
    <row r="44" spans="1:21" ht="11.25" x14ac:dyDescent="0.2">
      <c r="J44" s="109"/>
    </row>
    <row r="45" spans="1:21" ht="11.25" x14ac:dyDescent="0.2">
      <c r="J45" s="109"/>
    </row>
    <row r="46" spans="1:21" ht="11.25" x14ac:dyDescent="0.2">
      <c r="J46" s="109"/>
    </row>
    <row r="47" spans="1:21" ht="11.25" x14ac:dyDescent="0.2">
      <c r="J47" s="109"/>
    </row>
    <row r="48" spans="1:21" ht="11.25" x14ac:dyDescent="0.2">
      <c r="J48" s="109"/>
    </row>
    <row r="49" spans="10:10" ht="11.25" x14ac:dyDescent="0.2">
      <c r="J49" s="109"/>
    </row>
    <row r="50" spans="10:10" ht="11.25" x14ac:dyDescent="0.2">
      <c r="J50" s="109"/>
    </row>
    <row r="51" spans="10:10" ht="11.25" x14ac:dyDescent="0.2">
      <c r="J51" s="109"/>
    </row>
    <row r="52" spans="10:10" ht="11.25" x14ac:dyDescent="0.2">
      <c r="J52" s="109"/>
    </row>
    <row r="53" spans="10:10" ht="11.25" x14ac:dyDescent="0.2">
      <c r="J53" s="109"/>
    </row>
    <row r="54" spans="10:10" ht="11.25" x14ac:dyDescent="0.2">
      <c r="J54" s="109"/>
    </row>
    <row r="55" spans="10:10" ht="11.25" x14ac:dyDescent="0.2">
      <c r="J55" s="109"/>
    </row>
    <row r="56" spans="10:10" ht="11.25" x14ac:dyDescent="0.2">
      <c r="J56" s="109"/>
    </row>
    <row r="57" spans="10:10" ht="11.25" x14ac:dyDescent="0.2">
      <c r="J57" s="109"/>
    </row>
    <row r="58" spans="10:10" ht="11.25" x14ac:dyDescent="0.2">
      <c r="J58" s="109"/>
    </row>
    <row r="59" spans="10:10" ht="11.25" x14ac:dyDescent="0.2">
      <c r="J59" s="109"/>
    </row>
    <row r="60" spans="10:10" ht="11.25" x14ac:dyDescent="0.2">
      <c r="J60" s="109"/>
    </row>
    <row r="61" spans="10:10" ht="11.25" x14ac:dyDescent="0.2">
      <c r="J61" s="109"/>
    </row>
    <row r="62" spans="10:10" ht="11.25" x14ac:dyDescent="0.2">
      <c r="J62" s="109"/>
    </row>
    <row r="63" spans="10:10" ht="11.25" x14ac:dyDescent="0.2">
      <c r="J63" s="109"/>
    </row>
    <row r="64" spans="10:10" ht="11.25" x14ac:dyDescent="0.2">
      <c r="J64" s="109"/>
    </row>
    <row r="65" spans="10:10" ht="11.25" x14ac:dyDescent="0.2">
      <c r="J65" s="109"/>
    </row>
    <row r="66" spans="10:10" ht="11.25" x14ac:dyDescent="0.2">
      <c r="J66" s="109"/>
    </row>
    <row r="67" spans="10:10" ht="11.25" x14ac:dyDescent="0.2">
      <c r="J67" s="109"/>
    </row>
    <row r="68" spans="10:10" ht="11.25" x14ac:dyDescent="0.2">
      <c r="J68" s="109"/>
    </row>
    <row r="69" spans="10:10" ht="11.25" x14ac:dyDescent="0.2">
      <c r="J69" s="109"/>
    </row>
    <row r="70" spans="10:10" ht="11.25" x14ac:dyDescent="0.2">
      <c r="J70" s="109"/>
    </row>
    <row r="71" spans="10:10" ht="11.25" x14ac:dyDescent="0.2">
      <c r="J71" s="109"/>
    </row>
    <row r="72" spans="10:10" ht="11.25" x14ac:dyDescent="0.2">
      <c r="J72" s="109"/>
    </row>
    <row r="73" spans="10:10" ht="11.25" x14ac:dyDescent="0.2">
      <c r="J73" s="109"/>
    </row>
    <row r="74" spans="10:10" ht="11.25" x14ac:dyDescent="0.2">
      <c r="J74" s="109"/>
    </row>
    <row r="75" spans="10:10" ht="11.25" x14ac:dyDescent="0.2">
      <c r="J75" s="109"/>
    </row>
    <row r="76" spans="10:10" ht="11.25" x14ac:dyDescent="0.2">
      <c r="J76" s="109"/>
    </row>
    <row r="77" spans="10:10" ht="11.25" x14ac:dyDescent="0.2">
      <c r="J77" s="109"/>
    </row>
    <row r="78" spans="10:10" ht="11.25" x14ac:dyDescent="0.2">
      <c r="J78" s="109"/>
    </row>
    <row r="79" spans="10:10" ht="11.25" x14ac:dyDescent="0.2">
      <c r="J79" s="109"/>
    </row>
    <row r="80" spans="10:10" ht="11.25" x14ac:dyDescent="0.2">
      <c r="J80" s="109"/>
    </row>
    <row r="81" spans="10:10" ht="11.25" x14ac:dyDescent="0.2">
      <c r="J81" s="109"/>
    </row>
    <row r="82" spans="10:10" ht="11.25" x14ac:dyDescent="0.2">
      <c r="J82" s="109"/>
    </row>
    <row r="83" spans="10:10" ht="11.25" x14ac:dyDescent="0.2">
      <c r="J83" s="109"/>
    </row>
    <row r="84" spans="10:10" ht="11.25" x14ac:dyDescent="0.2">
      <c r="J84" s="109"/>
    </row>
    <row r="85" spans="10:10" ht="11.25" x14ac:dyDescent="0.2">
      <c r="J85" s="109"/>
    </row>
    <row r="86" spans="10:10" ht="11.25" x14ac:dyDescent="0.2">
      <c r="J86" s="109"/>
    </row>
    <row r="87" spans="10:10" ht="11.25" x14ac:dyDescent="0.2">
      <c r="J87" s="109"/>
    </row>
    <row r="88" spans="10:10" ht="11.25" x14ac:dyDescent="0.2">
      <c r="J88" s="109"/>
    </row>
    <row r="89" spans="10:10" ht="11.25" x14ac:dyDescent="0.2">
      <c r="J89" s="109"/>
    </row>
    <row r="90" spans="10:10" ht="11.25" x14ac:dyDescent="0.2">
      <c r="J90" s="109"/>
    </row>
    <row r="91" spans="10:10" ht="11.25" x14ac:dyDescent="0.2">
      <c r="J91" s="109"/>
    </row>
    <row r="92" spans="10:10" ht="11.25" x14ac:dyDescent="0.2">
      <c r="J92" s="109"/>
    </row>
    <row r="93" spans="10:10" ht="11.25" x14ac:dyDescent="0.2">
      <c r="J93" s="109"/>
    </row>
    <row r="94" spans="10:10" ht="11.25" x14ac:dyDescent="0.2">
      <c r="J94" s="109"/>
    </row>
    <row r="95" spans="10:10" ht="11.25" x14ac:dyDescent="0.2">
      <c r="J95" s="109"/>
    </row>
    <row r="96" spans="10:10" ht="11.25" x14ac:dyDescent="0.2">
      <c r="J96" s="109"/>
    </row>
    <row r="97" spans="10:10" ht="11.25" x14ac:dyDescent="0.2">
      <c r="J97" s="109"/>
    </row>
    <row r="98" spans="10:10" ht="11.25" x14ac:dyDescent="0.2">
      <c r="J98" s="109"/>
    </row>
    <row r="99" spans="10:10" ht="11.25" x14ac:dyDescent="0.2">
      <c r="J99" s="109"/>
    </row>
    <row r="100" spans="10:10" ht="11.25" x14ac:dyDescent="0.2">
      <c r="J100" s="109"/>
    </row>
    <row r="101" spans="10:10" ht="11.25" x14ac:dyDescent="0.2">
      <c r="J101" s="109"/>
    </row>
    <row r="102" spans="10:10" ht="11.25" x14ac:dyDescent="0.2">
      <c r="J102" s="109"/>
    </row>
    <row r="103" spans="10:10" ht="11.25" x14ac:dyDescent="0.2">
      <c r="J103" s="109"/>
    </row>
    <row r="104" spans="10:10" ht="11.25" x14ac:dyDescent="0.2">
      <c r="J104" s="109"/>
    </row>
    <row r="105" spans="10:10" ht="11.25" x14ac:dyDescent="0.2">
      <c r="J105" s="109"/>
    </row>
    <row r="106" spans="10:10" ht="11.25" x14ac:dyDescent="0.2">
      <c r="J106" s="109"/>
    </row>
    <row r="107" spans="10:10" ht="11.25" x14ac:dyDescent="0.2">
      <c r="J107" s="109"/>
    </row>
    <row r="108" spans="10:10" ht="11.25" x14ac:dyDescent="0.2">
      <c r="J108" s="109"/>
    </row>
    <row r="109" spans="10:10" ht="11.25" x14ac:dyDescent="0.2">
      <c r="J109" s="109"/>
    </row>
    <row r="110" spans="10:10" ht="11.25" x14ac:dyDescent="0.2">
      <c r="J110" s="109"/>
    </row>
    <row r="111" spans="10:10" ht="11.25" x14ac:dyDescent="0.2">
      <c r="J111" s="109"/>
    </row>
    <row r="112" spans="10:10" ht="11.25" x14ac:dyDescent="0.2">
      <c r="J112" s="109"/>
    </row>
    <row r="113" spans="10:10" ht="11.25" x14ac:dyDescent="0.2">
      <c r="J113" s="109"/>
    </row>
    <row r="114" spans="10:10" ht="11.25" x14ac:dyDescent="0.2">
      <c r="J114" s="109"/>
    </row>
    <row r="115" spans="10:10" ht="11.25" x14ac:dyDescent="0.2">
      <c r="J115" s="109"/>
    </row>
    <row r="116" spans="10:10" ht="11.25" x14ac:dyDescent="0.2">
      <c r="J116" s="109"/>
    </row>
    <row r="117" spans="10:10" ht="11.25" x14ac:dyDescent="0.2">
      <c r="J117" s="109"/>
    </row>
    <row r="118" spans="10:10" ht="11.25" x14ac:dyDescent="0.2">
      <c r="J118" s="109"/>
    </row>
    <row r="119" spans="10:10" ht="11.25" x14ac:dyDescent="0.2">
      <c r="J119" s="109"/>
    </row>
    <row r="120" spans="10:10" ht="11.25" x14ac:dyDescent="0.2">
      <c r="J120" s="109"/>
    </row>
    <row r="121" spans="10:10" ht="11.25" x14ac:dyDescent="0.2">
      <c r="J121" s="109"/>
    </row>
    <row r="122" spans="10:10" ht="11.25" x14ac:dyDescent="0.2">
      <c r="J122" s="109"/>
    </row>
    <row r="123" spans="10:10" ht="11.25" x14ac:dyDescent="0.2">
      <c r="J123" s="109"/>
    </row>
    <row r="124" spans="10:10" ht="11.25" x14ac:dyDescent="0.2">
      <c r="J124" s="109"/>
    </row>
    <row r="125" spans="10:10" ht="11.25" x14ac:dyDescent="0.2">
      <c r="J125" s="109"/>
    </row>
    <row r="126" spans="10:10" ht="11.25" x14ac:dyDescent="0.2">
      <c r="J126" s="109"/>
    </row>
    <row r="127" spans="10:10" ht="11.25" x14ac:dyDescent="0.2">
      <c r="J127" s="109"/>
    </row>
    <row r="128" spans="10:10" ht="11.25" x14ac:dyDescent="0.2">
      <c r="J128" s="109"/>
    </row>
    <row r="129" spans="10:10" ht="11.25" x14ac:dyDescent="0.2">
      <c r="J129" s="109"/>
    </row>
    <row r="130" spans="10:10" ht="11.25" x14ac:dyDescent="0.2">
      <c r="J130" s="109"/>
    </row>
    <row r="131" spans="10:10" ht="11.25" x14ac:dyDescent="0.2">
      <c r="J131" s="109"/>
    </row>
    <row r="132" spans="10:10" ht="11.25" x14ac:dyDescent="0.2">
      <c r="J132" s="109"/>
    </row>
    <row r="133" spans="10:10" ht="11.25" x14ac:dyDescent="0.2">
      <c r="J133" s="109"/>
    </row>
    <row r="134" spans="10:10" ht="11.25" x14ac:dyDescent="0.2">
      <c r="J134" s="109"/>
    </row>
    <row r="135" spans="10:10" ht="11.25" x14ac:dyDescent="0.2">
      <c r="J135" s="109"/>
    </row>
    <row r="136" spans="10:10" ht="11.25" x14ac:dyDescent="0.2">
      <c r="J136" s="109"/>
    </row>
    <row r="137" spans="10:10" ht="11.25" x14ac:dyDescent="0.2">
      <c r="J137" s="109"/>
    </row>
    <row r="138" spans="10:10" ht="11.25" x14ac:dyDescent="0.2">
      <c r="J138" s="109"/>
    </row>
    <row r="139" spans="10:10" ht="11.25" x14ac:dyDescent="0.2">
      <c r="J139" s="109"/>
    </row>
    <row r="140" spans="10:10" ht="11.25" x14ac:dyDescent="0.2">
      <c r="J140" s="109"/>
    </row>
    <row r="141" spans="10:10" ht="11.25" x14ac:dyDescent="0.2">
      <c r="J141" s="109"/>
    </row>
    <row r="142" spans="10:10" ht="11.25" x14ac:dyDescent="0.2">
      <c r="J142" s="109"/>
    </row>
    <row r="143" spans="10:10" ht="11.25" x14ac:dyDescent="0.2">
      <c r="J143" s="109"/>
    </row>
    <row r="144" spans="10:10" ht="11.25" x14ac:dyDescent="0.2">
      <c r="J144" s="109"/>
    </row>
    <row r="145" spans="10:10" ht="11.25" x14ac:dyDescent="0.2">
      <c r="J145" s="109"/>
    </row>
    <row r="146" spans="10:10" ht="11.25" x14ac:dyDescent="0.2">
      <c r="J146" s="109"/>
    </row>
    <row r="147" spans="10:10" ht="11.25" x14ac:dyDescent="0.2">
      <c r="J147" s="109"/>
    </row>
    <row r="148" spans="10:10" ht="11.25" x14ac:dyDescent="0.2">
      <c r="J148" s="109"/>
    </row>
    <row r="149" spans="10:10" ht="11.25" x14ac:dyDescent="0.2">
      <c r="J149" s="109"/>
    </row>
    <row r="150" spans="10:10" ht="11.25" x14ac:dyDescent="0.2">
      <c r="J150" s="109"/>
    </row>
    <row r="151" spans="10:10" ht="11.25" x14ac:dyDescent="0.2">
      <c r="J151" s="109"/>
    </row>
    <row r="152" spans="10:10" ht="11.25" x14ac:dyDescent="0.2">
      <c r="J152" s="109"/>
    </row>
    <row r="153" spans="10:10" ht="11.25" x14ac:dyDescent="0.2">
      <c r="J153" s="109"/>
    </row>
    <row r="154" spans="10:10" ht="11.25" x14ac:dyDescent="0.2">
      <c r="J154" s="109"/>
    </row>
    <row r="155" spans="10:10" ht="11.25" x14ac:dyDescent="0.2">
      <c r="J155" s="109"/>
    </row>
    <row r="156" spans="10:10" ht="11.25" x14ac:dyDescent="0.2">
      <c r="J156" s="109"/>
    </row>
    <row r="157" spans="10:10" ht="11.25" x14ac:dyDescent="0.2">
      <c r="J157" s="109"/>
    </row>
    <row r="158" spans="10:10" ht="11.25" x14ac:dyDescent="0.2">
      <c r="J158" s="109"/>
    </row>
    <row r="159" spans="10:10" ht="11.25" x14ac:dyDescent="0.2">
      <c r="J159" s="109"/>
    </row>
    <row r="160" spans="10:10" ht="11.25" x14ac:dyDescent="0.2">
      <c r="J160" s="109"/>
    </row>
    <row r="161" spans="10:10" ht="11.25" x14ac:dyDescent="0.2">
      <c r="J161" s="109"/>
    </row>
    <row r="162" spans="10:10" ht="11.25" x14ac:dyDescent="0.2">
      <c r="J162" s="109"/>
    </row>
    <row r="163" spans="10:10" ht="11.25" x14ac:dyDescent="0.2">
      <c r="J163" s="109"/>
    </row>
    <row r="164" spans="10:10" ht="11.25" x14ac:dyDescent="0.2">
      <c r="J164" s="109"/>
    </row>
    <row r="165" spans="10:10" ht="11.25" x14ac:dyDescent="0.2">
      <c r="J165" s="109"/>
    </row>
    <row r="166" spans="10:10" ht="11.25" x14ac:dyDescent="0.2">
      <c r="J166" s="109"/>
    </row>
    <row r="167" spans="10:10" ht="11.25" x14ac:dyDescent="0.2">
      <c r="J167" s="109"/>
    </row>
    <row r="168" spans="10:10" ht="11.25" x14ac:dyDescent="0.2">
      <c r="J168" s="109"/>
    </row>
    <row r="169" spans="10:10" ht="11.25" x14ac:dyDescent="0.2">
      <c r="J169" s="109"/>
    </row>
    <row r="170" spans="10:10" ht="11.25" x14ac:dyDescent="0.2">
      <c r="J170" s="109"/>
    </row>
    <row r="171" spans="10:10" ht="11.25" x14ac:dyDescent="0.2">
      <c r="J171" s="109"/>
    </row>
    <row r="172" spans="10:10" ht="11.25" x14ac:dyDescent="0.2">
      <c r="J172" s="109"/>
    </row>
    <row r="173" spans="10:10" ht="11.25" x14ac:dyDescent="0.2">
      <c r="J173" s="109"/>
    </row>
    <row r="174" spans="10:10" ht="11.25" x14ac:dyDescent="0.2">
      <c r="J174" s="109"/>
    </row>
    <row r="175" spans="10:10" ht="11.25" x14ac:dyDescent="0.2">
      <c r="J175" s="109"/>
    </row>
    <row r="176" spans="10:10" ht="11.25" x14ac:dyDescent="0.2">
      <c r="J176" s="109"/>
    </row>
    <row r="177" spans="10:10" ht="11.25" x14ac:dyDescent="0.2">
      <c r="J177" s="109"/>
    </row>
    <row r="178" spans="10:10" ht="11.25" x14ac:dyDescent="0.2">
      <c r="J178" s="109"/>
    </row>
    <row r="179" spans="10:10" ht="11.25" x14ac:dyDescent="0.2">
      <c r="J179" s="109"/>
    </row>
    <row r="180" spans="10:10" ht="11.25" x14ac:dyDescent="0.2">
      <c r="J180" s="109"/>
    </row>
    <row r="181" spans="10:10" ht="11.25" x14ac:dyDescent="0.2">
      <c r="J181" s="109"/>
    </row>
    <row r="182" spans="10:10" ht="11.25" x14ac:dyDescent="0.2">
      <c r="J182" s="109"/>
    </row>
    <row r="183" spans="10:10" ht="11.25" x14ac:dyDescent="0.2">
      <c r="J183" s="109"/>
    </row>
    <row r="184" spans="10:10" ht="11.25" x14ac:dyDescent="0.2">
      <c r="J184" s="109"/>
    </row>
    <row r="185" spans="10:10" ht="11.25" x14ac:dyDescent="0.2">
      <c r="J185" s="109"/>
    </row>
    <row r="186" spans="10:10" ht="11.25" x14ac:dyDescent="0.2">
      <c r="J186" s="109"/>
    </row>
    <row r="187" spans="10:10" ht="11.25" x14ac:dyDescent="0.2">
      <c r="J187" s="109"/>
    </row>
    <row r="188" spans="10:10" ht="11.25" x14ac:dyDescent="0.2">
      <c r="J188" s="109"/>
    </row>
    <row r="189" spans="10:10" ht="11.25" x14ac:dyDescent="0.2">
      <c r="J189" s="109"/>
    </row>
    <row r="190" spans="10:10" ht="11.25" x14ac:dyDescent="0.2">
      <c r="J190" s="109"/>
    </row>
    <row r="191" spans="10:10" ht="11.25" x14ac:dyDescent="0.2">
      <c r="J191" s="109"/>
    </row>
    <row r="192" spans="10:10" ht="11.25" x14ac:dyDescent="0.2">
      <c r="J192" s="109"/>
    </row>
    <row r="193" spans="10:10" ht="11.25" x14ac:dyDescent="0.2">
      <c r="J193" s="109"/>
    </row>
    <row r="194" spans="10:10" ht="11.25" x14ac:dyDescent="0.2">
      <c r="J194" s="109"/>
    </row>
    <row r="195" spans="10:10" ht="11.25" x14ac:dyDescent="0.2">
      <c r="J195" s="109"/>
    </row>
    <row r="196" spans="10:10" ht="11.25" x14ac:dyDescent="0.2">
      <c r="J196" s="109"/>
    </row>
    <row r="197" spans="10:10" ht="11.25" x14ac:dyDescent="0.2">
      <c r="J197" s="109"/>
    </row>
    <row r="198" spans="10:10" ht="11.25" x14ac:dyDescent="0.2">
      <c r="J198" s="109"/>
    </row>
    <row r="199" spans="10:10" ht="11.25" x14ac:dyDescent="0.2">
      <c r="J199" s="109"/>
    </row>
    <row r="200" spans="10:10" ht="11.25" x14ac:dyDescent="0.2">
      <c r="J200" s="109"/>
    </row>
    <row r="201" spans="10:10" ht="11.25" x14ac:dyDescent="0.2">
      <c r="J201" s="109"/>
    </row>
    <row r="202" spans="10:10" ht="11.25" x14ac:dyDescent="0.2">
      <c r="J202" s="109"/>
    </row>
    <row r="203" spans="10:10" ht="11.25" x14ac:dyDescent="0.2">
      <c r="J203" s="109"/>
    </row>
    <row r="204" spans="10:10" ht="11.25" x14ac:dyDescent="0.2">
      <c r="J204" s="109"/>
    </row>
    <row r="205" spans="10:10" ht="11.25" x14ac:dyDescent="0.2">
      <c r="J205" s="109"/>
    </row>
    <row r="206" spans="10:10" ht="11.25" x14ac:dyDescent="0.2">
      <c r="J206" s="109"/>
    </row>
    <row r="207" spans="10:10" ht="11.25" x14ac:dyDescent="0.2">
      <c r="J207" s="109"/>
    </row>
    <row r="208" spans="10:10" ht="11.25" x14ac:dyDescent="0.2">
      <c r="J208" s="109"/>
    </row>
    <row r="209" spans="10:10" ht="11.25" x14ac:dyDescent="0.2">
      <c r="J209" s="109"/>
    </row>
    <row r="210" spans="10:10" ht="11.25" x14ac:dyDescent="0.2">
      <c r="J210" s="109"/>
    </row>
    <row r="211" spans="10:10" ht="11.25" x14ac:dyDescent="0.2">
      <c r="J211" s="109"/>
    </row>
    <row r="212" spans="10:10" ht="11.25" x14ac:dyDescent="0.2">
      <c r="J212" s="109"/>
    </row>
    <row r="213" spans="10:10" ht="11.25" x14ac:dyDescent="0.2">
      <c r="J213" s="109"/>
    </row>
    <row r="214" spans="10:10" ht="11.25" x14ac:dyDescent="0.2">
      <c r="J214" s="109"/>
    </row>
    <row r="215" spans="10:10" ht="11.25" x14ac:dyDescent="0.2">
      <c r="J215" s="109"/>
    </row>
    <row r="216" spans="10:10" ht="11.25" x14ac:dyDescent="0.2">
      <c r="J216" s="109"/>
    </row>
    <row r="217" spans="10:10" ht="11.25" x14ac:dyDescent="0.2">
      <c r="J217" s="109"/>
    </row>
    <row r="218" spans="10:10" ht="11.25" x14ac:dyDescent="0.2">
      <c r="J218" s="109"/>
    </row>
    <row r="219" spans="10:10" ht="11.25" x14ac:dyDescent="0.2">
      <c r="J219" s="109"/>
    </row>
    <row r="220" spans="10:10" ht="11.25" x14ac:dyDescent="0.2">
      <c r="J220" s="109"/>
    </row>
    <row r="221" spans="10:10" ht="11.25" x14ac:dyDescent="0.2">
      <c r="J221" s="109"/>
    </row>
    <row r="222" spans="10:10" ht="11.25" x14ac:dyDescent="0.2">
      <c r="J222" s="109"/>
    </row>
    <row r="223" spans="10:10" ht="11.25" x14ac:dyDescent="0.2">
      <c r="J223" s="109"/>
    </row>
    <row r="224" spans="10:10" ht="11.25" x14ac:dyDescent="0.2">
      <c r="J224" s="109"/>
    </row>
    <row r="225" spans="10:10" ht="11.25" x14ac:dyDescent="0.2">
      <c r="J225" s="109"/>
    </row>
    <row r="226" spans="10:10" ht="11.25" x14ac:dyDescent="0.2">
      <c r="J226" s="109"/>
    </row>
    <row r="227" spans="10:10" ht="11.25" x14ac:dyDescent="0.2">
      <c r="J227" s="109"/>
    </row>
    <row r="228" spans="10:10" ht="11.25" x14ac:dyDescent="0.2">
      <c r="J228" s="109"/>
    </row>
    <row r="229" spans="10:10" ht="11.25" x14ac:dyDescent="0.2">
      <c r="J229" s="109"/>
    </row>
    <row r="230" spans="10:10" ht="11.25" x14ac:dyDescent="0.2">
      <c r="J230" s="109"/>
    </row>
    <row r="231" spans="10:10" ht="11.25" x14ac:dyDescent="0.2">
      <c r="J231" s="109"/>
    </row>
    <row r="232" spans="10:10" ht="11.25" x14ac:dyDescent="0.2">
      <c r="J232" s="109"/>
    </row>
    <row r="233" spans="10:10" ht="11.25" x14ac:dyDescent="0.2">
      <c r="J233" s="109"/>
    </row>
    <row r="234" spans="10:10" ht="11.25" x14ac:dyDescent="0.2">
      <c r="J234" s="109"/>
    </row>
    <row r="235" spans="10:10" ht="11.25" x14ac:dyDescent="0.2">
      <c r="J235" s="109"/>
    </row>
    <row r="236" spans="10:10" ht="11.25" x14ac:dyDescent="0.2">
      <c r="J236" s="109"/>
    </row>
    <row r="237" spans="10:10" ht="11.25" x14ac:dyDescent="0.2">
      <c r="J237" s="109"/>
    </row>
    <row r="238" spans="10:10" ht="11.25" x14ac:dyDescent="0.2">
      <c r="J238" s="109"/>
    </row>
    <row r="239" spans="10:10" ht="11.25" x14ac:dyDescent="0.2">
      <c r="J239" s="109"/>
    </row>
    <row r="240" spans="10:10" ht="11.25" x14ac:dyDescent="0.2">
      <c r="J240" s="109"/>
    </row>
    <row r="241" spans="10:10" ht="11.25" x14ac:dyDescent="0.2">
      <c r="J241" s="109"/>
    </row>
    <row r="242" spans="10:10" ht="11.25" x14ac:dyDescent="0.2">
      <c r="J242" s="109"/>
    </row>
    <row r="243" spans="10:10" ht="11.25" x14ac:dyDescent="0.2">
      <c r="J243" s="109"/>
    </row>
    <row r="244" spans="10:10" ht="11.25" x14ac:dyDescent="0.2">
      <c r="J244" s="109"/>
    </row>
    <row r="245" spans="10:10" ht="11.25" x14ac:dyDescent="0.2">
      <c r="J245" s="109"/>
    </row>
    <row r="246" spans="10:10" ht="11.25" x14ac:dyDescent="0.2">
      <c r="J246" s="109"/>
    </row>
    <row r="247" spans="10:10" ht="11.25" x14ac:dyDescent="0.2">
      <c r="J247" s="109"/>
    </row>
    <row r="248" spans="10:10" ht="11.25" x14ac:dyDescent="0.2">
      <c r="J248" s="109"/>
    </row>
    <row r="249" spans="10:10" ht="11.25" x14ac:dyDescent="0.2">
      <c r="J249" s="109"/>
    </row>
    <row r="250" spans="10:10" ht="11.25" x14ac:dyDescent="0.2">
      <c r="J250" s="109"/>
    </row>
    <row r="251" spans="10:10" ht="11.25" x14ac:dyDescent="0.2">
      <c r="J251" s="109"/>
    </row>
    <row r="252" spans="10:10" ht="11.25" x14ac:dyDescent="0.2">
      <c r="J252" s="109"/>
    </row>
    <row r="253" spans="10:10" ht="11.25" x14ac:dyDescent="0.2">
      <c r="J253" s="109"/>
    </row>
    <row r="254" spans="10:10" ht="11.25" x14ac:dyDescent="0.2">
      <c r="J254" s="109"/>
    </row>
    <row r="255" spans="10:10" ht="11.25" x14ac:dyDescent="0.2">
      <c r="J255" s="109"/>
    </row>
    <row r="256" spans="10:10" ht="11.25" x14ac:dyDescent="0.2">
      <c r="J256" s="109"/>
    </row>
    <row r="257" spans="10:10" ht="11.25" x14ac:dyDescent="0.2">
      <c r="J257" s="109"/>
    </row>
    <row r="258" spans="10:10" ht="11.25" x14ac:dyDescent="0.2">
      <c r="J258" s="109"/>
    </row>
    <row r="259" spans="10:10" ht="11.25" x14ac:dyDescent="0.2">
      <c r="J259" s="109"/>
    </row>
    <row r="260" spans="10:10" ht="11.25" x14ac:dyDescent="0.2">
      <c r="J260" s="109"/>
    </row>
    <row r="261" spans="10:10" ht="11.25" x14ac:dyDescent="0.2">
      <c r="J261" s="109"/>
    </row>
    <row r="262" spans="10:10" ht="11.25" x14ac:dyDescent="0.2">
      <c r="J262" s="109"/>
    </row>
    <row r="263" spans="10:10" ht="11.25" x14ac:dyDescent="0.2">
      <c r="J263" s="109"/>
    </row>
    <row r="264" spans="10:10" ht="11.25" x14ac:dyDescent="0.2">
      <c r="J264" s="109"/>
    </row>
    <row r="265" spans="10:10" ht="11.25" x14ac:dyDescent="0.2">
      <c r="J265" s="109"/>
    </row>
    <row r="266" spans="10:10" ht="11.25" x14ac:dyDescent="0.2">
      <c r="J266" s="109"/>
    </row>
    <row r="267" spans="10:10" ht="11.25" x14ac:dyDescent="0.2">
      <c r="J267" s="109"/>
    </row>
    <row r="268" spans="10:10" ht="11.25" x14ac:dyDescent="0.2">
      <c r="J268" s="109"/>
    </row>
    <row r="269" spans="10:10" ht="11.25" x14ac:dyDescent="0.2">
      <c r="J269" s="109"/>
    </row>
    <row r="270" spans="10:10" ht="11.25" x14ac:dyDescent="0.2">
      <c r="J270" s="109"/>
    </row>
    <row r="271" spans="10:10" ht="11.25" x14ac:dyDescent="0.2">
      <c r="J271" s="109"/>
    </row>
    <row r="272" spans="10:10" ht="11.25" x14ac:dyDescent="0.2">
      <c r="J272" s="109"/>
    </row>
    <row r="273" spans="10:10" ht="11.25" x14ac:dyDescent="0.2">
      <c r="J273" s="109"/>
    </row>
    <row r="274" spans="10:10" ht="11.25" x14ac:dyDescent="0.2">
      <c r="J274" s="109"/>
    </row>
    <row r="275" spans="10:10" ht="11.25" x14ac:dyDescent="0.2">
      <c r="J275" s="109"/>
    </row>
    <row r="276" spans="10:10" ht="11.25" x14ac:dyDescent="0.2">
      <c r="J276" s="109"/>
    </row>
    <row r="277" spans="10:10" ht="11.25" x14ac:dyDescent="0.2">
      <c r="J277" s="109"/>
    </row>
    <row r="278" spans="10:10" ht="11.25" x14ac:dyDescent="0.2">
      <c r="J278" s="109"/>
    </row>
    <row r="279" spans="10:10" ht="11.25" x14ac:dyDescent="0.2">
      <c r="J279" s="109"/>
    </row>
    <row r="280" spans="10:10" ht="11.25" x14ac:dyDescent="0.2">
      <c r="J280" s="109"/>
    </row>
    <row r="281" spans="10:10" ht="11.25" x14ac:dyDescent="0.2">
      <c r="J281" s="109"/>
    </row>
    <row r="282" spans="10:10" ht="11.25" x14ac:dyDescent="0.2">
      <c r="J282" s="109"/>
    </row>
    <row r="283" spans="10:10" ht="11.25" x14ac:dyDescent="0.2">
      <c r="J283" s="109"/>
    </row>
    <row r="284" spans="10:10" ht="11.25" x14ac:dyDescent="0.2">
      <c r="J284" s="109"/>
    </row>
    <row r="285" spans="10:10" ht="11.25" x14ac:dyDescent="0.2">
      <c r="J285" s="109"/>
    </row>
    <row r="286" spans="10:10" ht="11.25" x14ac:dyDescent="0.2">
      <c r="J286" s="109"/>
    </row>
    <row r="287" spans="10:10" ht="11.25" x14ac:dyDescent="0.2">
      <c r="J287" s="109"/>
    </row>
    <row r="288" spans="10:10" ht="11.25" x14ac:dyDescent="0.2">
      <c r="J288" s="109"/>
    </row>
    <row r="289" spans="10:10" ht="11.25" x14ac:dyDescent="0.2">
      <c r="J289" s="109"/>
    </row>
    <row r="290" spans="10:10" ht="11.25" x14ac:dyDescent="0.2">
      <c r="J290" s="109"/>
    </row>
    <row r="291" spans="10:10" ht="11.25" x14ac:dyDescent="0.2">
      <c r="J291" s="109"/>
    </row>
    <row r="292" spans="10:10" ht="11.25" x14ac:dyDescent="0.2">
      <c r="J292" s="109"/>
    </row>
    <row r="293" spans="10:10" ht="11.25" x14ac:dyDescent="0.2">
      <c r="J293" s="109"/>
    </row>
    <row r="294" spans="10:10" ht="11.25" x14ac:dyDescent="0.2">
      <c r="J294" s="109"/>
    </row>
    <row r="295" spans="10:10" ht="11.25" x14ac:dyDescent="0.2">
      <c r="J295" s="109"/>
    </row>
    <row r="296" spans="10:10" ht="11.25" x14ac:dyDescent="0.2">
      <c r="J296" s="109"/>
    </row>
    <row r="297" spans="10:10" ht="11.25" x14ac:dyDescent="0.2">
      <c r="J297" s="109"/>
    </row>
    <row r="298" spans="10:10" ht="11.25" x14ac:dyDescent="0.2">
      <c r="J298" s="109"/>
    </row>
    <row r="299" spans="10:10" ht="11.25" x14ac:dyDescent="0.2">
      <c r="J299" s="109"/>
    </row>
    <row r="300" spans="10:10" ht="11.25" x14ac:dyDescent="0.2">
      <c r="J300" s="109"/>
    </row>
    <row r="301" spans="10:10" ht="11.25" x14ac:dyDescent="0.2">
      <c r="J301" s="109"/>
    </row>
    <row r="302" spans="10:10" ht="11.25" x14ac:dyDescent="0.2">
      <c r="J302" s="109"/>
    </row>
    <row r="303" spans="10:10" ht="11.25" x14ac:dyDescent="0.2">
      <c r="J303" s="109"/>
    </row>
    <row r="304" spans="10:10" ht="11.25" x14ac:dyDescent="0.2">
      <c r="J304" s="109"/>
    </row>
    <row r="305" spans="10:10" ht="11.25" x14ac:dyDescent="0.2">
      <c r="J305" s="109"/>
    </row>
    <row r="306" spans="10:10" ht="11.25" x14ac:dyDescent="0.2">
      <c r="J306" s="109"/>
    </row>
    <row r="307" spans="10:10" ht="11.25" x14ac:dyDescent="0.2">
      <c r="J307" s="109"/>
    </row>
    <row r="308" spans="10:10" ht="11.25" x14ac:dyDescent="0.2">
      <c r="J308" s="109"/>
    </row>
    <row r="309" spans="10:10" ht="11.25" x14ac:dyDescent="0.2">
      <c r="J309" s="109"/>
    </row>
    <row r="310" spans="10:10" ht="11.25" x14ac:dyDescent="0.2">
      <c r="J310" s="109"/>
    </row>
    <row r="311" spans="10:10" ht="11.25" x14ac:dyDescent="0.2">
      <c r="J311" s="109"/>
    </row>
    <row r="312" spans="10:10" ht="11.25" x14ac:dyDescent="0.2">
      <c r="J312" s="109"/>
    </row>
    <row r="313" spans="10:10" ht="11.25" x14ac:dyDescent="0.2">
      <c r="J313" s="109"/>
    </row>
    <row r="314" spans="10:10" ht="11.25" x14ac:dyDescent="0.2">
      <c r="J314" s="109"/>
    </row>
    <row r="315" spans="10:10" ht="11.25" x14ac:dyDescent="0.2">
      <c r="J315" s="109"/>
    </row>
    <row r="316" spans="10:10" ht="11.25" x14ac:dyDescent="0.2">
      <c r="J316" s="109"/>
    </row>
    <row r="317" spans="10:10" ht="11.25" x14ac:dyDescent="0.2">
      <c r="J317" s="109"/>
    </row>
    <row r="318" spans="10:10" ht="11.25" x14ac:dyDescent="0.2">
      <c r="J318" s="109"/>
    </row>
    <row r="319" spans="10:10" ht="11.25" x14ac:dyDescent="0.2">
      <c r="J319" s="109"/>
    </row>
    <row r="320" spans="10:10" ht="11.25" x14ac:dyDescent="0.2">
      <c r="J320" s="109"/>
    </row>
    <row r="321" spans="10:10" ht="11.25" x14ac:dyDescent="0.2">
      <c r="J321" s="109"/>
    </row>
    <row r="322" spans="10:10" ht="11.25" x14ac:dyDescent="0.2">
      <c r="J322" s="109"/>
    </row>
    <row r="323" spans="10:10" ht="11.25" x14ac:dyDescent="0.2">
      <c r="J323" s="109"/>
    </row>
    <row r="324" spans="10:10" ht="11.25" x14ac:dyDescent="0.2">
      <c r="J324" s="109"/>
    </row>
    <row r="325" spans="10:10" ht="11.25" x14ac:dyDescent="0.2">
      <c r="J325" s="109"/>
    </row>
    <row r="326" spans="10:10" ht="11.25" x14ac:dyDescent="0.2">
      <c r="J326" s="109"/>
    </row>
    <row r="327" spans="10:10" ht="11.25" x14ac:dyDescent="0.2">
      <c r="J327" s="109"/>
    </row>
    <row r="328" spans="10:10" ht="11.25" x14ac:dyDescent="0.2">
      <c r="J328" s="109"/>
    </row>
    <row r="329" spans="10:10" ht="11.25" x14ac:dyDescent="0.2">
      <c r="J329" s="109"/>
    </row>
    <row r="330" spans="10:10" ht="11.25" x14ac:dyDescent="0.2">
      <c r="J330" s="109"/>
    </row>
    <row r="331" spans="10:10" ht="11.25" x14ac:dyDescent="0.2">
      <c r="J331" s="109"/>
    </row>
    <row r="332" spans="10:10" ht="11.25" x14ac:dyDescent="0.2">
      <c r="J332" s="109"/>
    </row>
    <row r="333" spans="10:10" ht="11.25" x14ac:dyDescent="0.2">
      <c r="J333" s="109"/>
    </row>
    <row r="334" spans="10:10" ht="11.25" x14ac:dyDescent="0.2">
      <c r="J334" s="109"/>
    </row>
    <row r="335" spans="10:10" ht="11.25" x14ac:dyDescent="0.2">
      <c r="J335" s="109"/>
    </row>
    <row r="336" spans="10:10" ht="11.25" x14ac:dyDescent="0.2">
      <c r="J336" s="109"/>
    </row>
    <row r="337" spans="10:10" ht="11.25" x14ac:dyDescent="0.2">
      <c r="J337" s="109"/>
    </row>
    <row r="338" spans="10:10" ht="11.25" x14ac:dyDescent="0.2">
      <c r="J338" s="109"/>
    </row>
    <row r="339" spans="10:10" ht="11.25" x14ac:dyDescent="0.2">
      <c r="J339" s="109"/>
    </row>
    <row r="340" spans="10:10" ht="11.25" x14ac:dyDescent="0.2">
      <c r="J340" s="109"/>
    </row>
    <row r="341" spans="10:10" ht="11.25" x14ac:dyDescent="0.2">
      <c r="J341" s="109"/>
    </row>
    <row r="342" spans="10:10" ht="11.25" x14ac:dyDescent="0.2">
      <c r="J342" s="109"/>
    </row>
    <row r="343" spans="10:10" ht="11.25" x14ac:dyDescent="0.2">
      <c r="J343" s="109"/>
    </row>
    <row r="344" spans="10:10" ht="11.25" x14ac:dyDescent="0.2">
      <c r="J344" s="109"/>
    </row>
    <row r="345" spans="10:10" ht="11.25" x14ac:dyDescent="0.2">
      <c r="J345" s="109"/>
    </row>
    <row r="346" spans="10:10" ht="11.25" x14ac:dyDescent="0.2">
      <c r="J346" s="109"/>
    </row>
    <row r="347" spans="10:10" ht="11.25" x14ac:dyDescent="0.2">
      <c r="J347" s="109"/>
    </row>
    <row r="348" spans="10:10" ht="11.25" x14ac:dyDescent="0.2">
      <c r="J348" s="109"/>
    </row>
    <row r="349" spans="10:10" ht="11.25" x14ac:dyDescent="0.2">
      <c r="J349" s="109"/>
    </row>
    <row r="350" spans="10:10" ht="11.25" x14ac:dyDescent="0.2">
      <c r="J350" s="109"/>
    </row>
    <row r="351" spans="10:10" ht="11.25" x14ac:dyDescent="0.2">
      <c r="J351" s="109"/>
    </row>
    <row r="352" spans="10:10" ht="11.25" x14ac:dyDescent="0.2">
      <c r="J352" s="109"/>
    </row>
    <row r="353" spans="10:10" ht="11.25" x14ac:dyDescent="0.2">
      <c r="J353" s="109"/>
    </row>
    <row r="354" spans="10:10" ht="11.25" x14ac:dyDescent="0.2">
      <c r="J354" s="109"/>
    </row>
    <row r="355" spans="10:10" ht="11.25" x14ac:dyDescent="0.2">
      <c r="J355" s="109"/>
    </row>
    <row r="356" spans="10:10" ht="11.25" x14ac:dyDescent="0.2">
      <c r="J356" s="109"/>
    </row>
    <row r="357" spans="10:10" ht="11.25" x14ac:dyDescent="0.2">
      <c r="J357" s="109"/>
    </row>
    <row r="358" spans="10:10" ht="11.25" x14ac:dyDescent="0.2">
      <c r="J358" s="109"/>
    </row>
    <row r="359" spans="10:10" ht="11.25" x14ac:dyDescent="0.2">
      <c r="J359" s="109"/>
    </row>
    <row r="360" spans="10:10" ht="11.25" x14ac:dyDescent="0.2">
      <c r="J360" s="109"/>
    </row>
    <row r="361" spans="10:10" ht="11.25" x14ac:dyDescent="0.2">
      <c r="J361" s="109"/>
    </row>
    <row r="362" spans="10:10" ht="11.25" x14ac:dyDescent="0.2">
      <c r="J362" s="109"/>
    </row>
    <row r="363" spans="10:10" ht="11.25" x14ac:dyDescent="0.2">
      <c r="J363" s="109"/>
    </row>
    <row r="364" spans="10:10" ht="11.25" x14ac:dyDescent="0.2">
      <c r="J364" s="109"/>
    </row>
    <row r="365" spans="10:10" ht="11.25" x14ac:dyDescent="0.2">
      <c r="J365" s="109"/>
    </row>
    <row r="366" spans="10:10" ht="11.25" x14ac:dyDescent="0.2">
      <c r="J366" s="109"/>
    </row>
    <row r="367" spans="10:10" ht="11.25" x14ac:dyDescent="0.2">
      <c r="J367" s="109"/>
    </row>
    <row r="368" spans="10:10" ht="11.25" x14ac:dyDescent="0.2">
      <c r="J368" s="109"/>
    </row>
    <row r="369" spans="10:10" ht="11.25" x14ac:dyDescent="0.2">
      <c r="J369" s="109"/>
    </row>
    <row r="370" spans="10:10" ht="11.25" x14ac:dyDescent="0.2">
      <c r="J370" s="109"/>
    </row>
    <row r="371" spans="10:10" ht="11.25" x14ac:dyDescent="0.2">
      <c r="J371" s="109"/>
    </row>
    <row r="372" spans="10:10" ht="11.25" x14ac:dyDescent="0.2">
      <c r="J372" s="109"/>
    </row>
    <row r="373" spans="10:10" ht="11.25" x14ac:dyDescent="0.2">
      <c r="J373" s="109"/>
    </row>
    <row r="374" spans="10:10" ht="11.25" x14ac:dyDescent="0.2">
      <c r="J374" s="109"/>
    </row>
    <row r="375" spans="10:10" ht="11.25" x14ac:dyDescent="0.2">
      <c r="J375" s="109"/>
    </row>
    <row r="376" spans="10:10" ht="11.25" x14ac:dyDescent="0.2">
      <c r="J376" s="109"/>
    </row>
    <row r="377" spans="10:10" ht="11.25" x14ac:dyDescent="0.2">
      <c r="J377" s="109"/>
    </row>
    <row r="378" spans="10:10" ht="11.25" x14ac:dyDescent="0.2">
      <c r="J378" s="109"/>
    </row>
    <row r="379" spans="10:10" ht="11.25" x14ac:dyDescent="0.2">
      <c r="J379" s="109"/>
    </row>
    <row r="380" spans="10:10" ht="11.25" x14ac:dyDescent="0.2">
      <c r="J380" s="109"/>
    </row>
    <row r="381" spans="10:10" ht="11.25" x14ac:dyDescent="0.2">
      <c r="J381" s="109"/>
    </row>
    <row r="382" spans="10:10" ht="11.25" x14ac:dyDescent="0.2">
      <c r="J382" s="109"/>
    </row>
    <row r="383" spans="10:10" ht="11.25" x14ac:dyDescent="0.2">
      <c r="J383" s="109"/>
    </row>
    <row r="384" spans="10:10" ht="11.25" x14ac:dyDescent="0.2">
      <c r="J384" s="109"/>
    </row>
    <row r="385" spans="10:10" ht="11.25" x14ac:dyDescent="0.2">
      <c r="J385" s="109"/>
    </row>
    <row r="386" spans="10:10" ht="11.25" x14ac:dyDescent="0.2">
      <c r="J386" s="109"/>
    </row>
    <row r="387" spans="10:10" ht="11.25" x14ac:dyDescent="0.2">
      <c r="J387" s="109"/>
    </row>
    <row r="388" spans="10:10" ht="11.25" x14ac:dyDescent="0.2">
      <c r="J388" s="109"/>
    </row>
    <row r="389" spans="10:10" ht="11.25" x14ac:dyDescent="0.2">
      <c r="J389" s="109"/>
    </row>
    <row r="390" spans="10:10" ht="11.25" x14ac:dyDescent="0.2">
      <c r="J390" s="109"/>
    </row>
    <row r="391" spans="10:10" ht="11.25" x14ac:dyDescent="0.2">
      <c r="J391" s="109"/>
    </row>
    <row r="392" spans="10:10" ht="11.25" x14ac:dyDescent="0.2">
      <c r="J392" s="109"/>
    </row>
    <row r="393" spans="10:10" ht="11.25" x14ac:dyDescent="0.2">
      <c r="J393" s="109"/>
    </row>
    <row r="394" spans="10:10" ht="11.25" x14ac:dyDescent="0.2">
      <c r="J394" s="109"/>
    </row>
    <row r="395" spans="10:10" ht="11.25" x14ac:dyDescent="0.2">
      <c r="J395" s="109"/>
    </row>
    <row r="396" spans="10:10" ht="11.25" x14ac:dyDescent="0.2">
      <c r="J396" s="109"/>
    </row>
    <row r="397" spans="10:10" ht="11.25" x14ac:dyDescent="0.2">
      <c r="J397" s="109"/>
    </row>
    <row r="398" spans="10:10" ht="11.25" x14ac:dyDescent="0.2">
      <c r="J398" s="109"/>
    </row>
    <row r="399" spans="10:10" ht="11.25" x14ac:dyDescent="0.2">
      <c r="J399" s="109"/>
    </row>
    <row r="400" spans="10:10" ht="11.25" x14ac:dyDescent="0.2">
      <c r="J400" s="109"/>
    </row>
    <row r="401" spans="10:10" ht="11.25" x14ac:dyDescent="0.2">
      <c r="J401" s="109"/>
    </row>
    <row r="402" spans="10:10" ht="11.25" x14ac:dyDescent="0.2">
      <c r="J402" s="109"/>
    </row>
    <row r="403" spans="10:10" ht="11.25" x14ac:dyDescent="0.2">
      <c r="J403" s="109"/>
    </row>
    <row r="404" spans="10:10" ht="11.25" x14ac:dyDescent="0.2">
      <c r="J404" s="109"/>
    </row>
    <row r="405" spans="10:10" ht="11.25" x14ac:dyDescent="0.2">
      <c r="J405" s="109"/>
    </row>
    <row r="406" spans="10:10" ht="11.25" x14ac:dyDescent="0.2">
      <c r="J406" s="109"/>
    </row>
    <row r="407" spans="10:10" ht="11.25" x14ac:dyDescent="0.2">
      <c r="J407" s="109"/>
    </row>
    <row r="408" spans="10:10" ht="11.25" x14ac:dyDescent="0.2">
      <c r="J408" s="109"/>
    </row>
    <row r="409" spans="10:10" ht="11.25" x14ac:dyDescent="0.2">
      <c r="J409" s="109"/>
    </row>
    <row r="410" spans="10:10" ht="11.25" x14ac:dyDescent="0.2">
      <c r="J410" s="109"/>
    </row>
    <row r="411" spans="10:10" ht="11.25" x14ac:dyDescent="0.2">
      <c r="J411" s="109"/>
    </row>
    <row r="412" spans="10:10" ht="11.25" x14ac:dyDescent="0.2">
      <c r="J412" s="109"/>
    </row>
    <row r="413" spans="10:10" ht="11.25" x14ac:dyDescent="0.2">
      <c r="J413" s="109"/>
    </row>
    <row r="414" spans="10:10" ht="11.25" x14ac:dyDescent="0.2">
      <c r="J414" s="109"/>
    </row>
    <row r="415" spans="10:10" ht="11.25" x14ac:dyDescent="0.2">
      <c r="J415" s="109"/>
    </row>
    <row r="416" spans="10:10" ht="11.25" x14ac:dyDescent="0.2">
      <c r="J416" s="109"/>
    </row>
    <row r="417" spans="10:10" ht="11.25" x14ac:dyDescent="0.2">
      <c r="J417" s="109"/>
    </row>
    <row r="418" spans="10:10" ht="11.25" x14ac:dyDescent="0.2">
      <c r="J418" s="109"/>
    </row>
    <row r="419" spans="10:10" ht="11.25" x14ac:dyDescent="0.2">
      <c r="J419" s="109"/>
    </row>
    <row r="420" spans="10:10" ht="11.25" x14ac:dyDescent="0.2">
      <c r="J420" s="109"/>
    </row>
    <row r="421" spans="10:10" ht="11.25" x14ac:dyDescent="0.2">
      <c r="J421" s="109"/>
    </row>
    <row r="422" spans="10:10" ht="11.25" x14ac:dyDescent="0.2">
      <c r="J422" s="109"/>
    </row>
    <row r="423" spans="10:10" ht="11.25" x14ac:dyDescent="0.2">
      <c r="J423" s="109"/>
    </row>
    <row r="424" spans="10:10" ht="11.25" x14ac:dyDescent="0.2">
      <c r="J424" s="109"/>
    </row>
    <row r="425" spans="10:10" ht="11.25" x14ac:dyDescent="0.2">
      <c r="J425" s="109"/>
    </row>
    <row r="426" spans="10:10" ht="11.25" x14ac:dyDescent="0.2">
      <c r="J426" s="109"/>
    </row>
    <row r="427" spans="10:10" ht="11.25" x14ac:dyDescent="0.2">
      <c r="J427" s="109"/>
    </row>
    <row r="428" spans="10:10" ht="11.25" x14ac:dyDescent="0.2">
      <c r="J428" s="109"/>
    </row>
    <row r="429" spans="10:10" ht="11.25" x14ac:dyDescent="0.2">
      <c r="J429" s="109"/>
    </row>
    <row r="430" spans="10:10" ht="11.25" x14ac:dyDescent="0.2">
      <c r="J430" s="109"/>
    </row>
    <row r="431" spans="10:10" ht="11.25" x14ac:dyDescent="0.2">
      <c r="J431" s="109"/>
    </row>
    <row r="432" spans="10:10" ht="11.25" x14ac:dyDescent="0.2">
      <c r="J432" s="109"/>
    </row>
    <row r="433" spans="10:10" ht="11.25" x14ac:dyDescent="0.2">
      <c r="J433" s="109"/>
    </row>
    <row r="434" spans="10:10" ht="11.25" x14ac:dyDescent="0.2">
      <c r="J434" s="109"/>
    </row>
    <row r="435" spans="10:10" ht="11.25" x14ac:dyDescent="0.2">
      <c r="J435" s="109"/>
    </row>
    <row r="436" spans="10:10" ht="11.25" x14ac:dyDescent="0.2">
      <c r="J436" s="109"/>
    </row>
    <row r="437" spans="10:10" ht="11.25" x14ac:dyDescent="0.2">
      <c r="J437" s="109"/>
    </row>
    <row r="438" spans="10:10" ht="11.25" x14ac:dyDescent="0.2">
      <c r="J438" s="109"/>
    </row>
    <row r="439" spans="10:10" ht="11.25" x14ac:dyDescent="0.2">
      <c r="J439" s="109"/>
    </row>
    <row r="440" spans="10:10" ht="11.25" x14ac:dyDescent="0.2">
      <c r="J440" s="109"/>
    </row>
    <row r="441" spans="10:10" ht="11.25" x14ac:dyDescent="0.2">
      <c r="J441" s="109"/>
    </row>
    <row r="442" spans="10:10" ht="11.25" x14ac:dyDescent="0.2">
      <c r="J442" s="109"/>
    </row>
    <row r="443" spans="10:10" ht="11.25" x14ac:dyDescent="0.2">
      <c r="J443" s="109"/>
    </row>
    <row r="444" spans="10:10" ht="11.25" x14ac:dyDescent="0.2">
      <c r="J444" s="109"/>
    </row>
    <row r="445" spans="10:10" ht="11.25" x14ac:dyDescent="0.2">
      <c r="J445" s="109"/>
    </row>
    <row r="446" spans="10:10" ht="11.25" x14ac:dyDescent="0.2">
      <c r="J446" s="109"/>
    </row>
    <row r="447" spans="10:10" ht="11.25" x14ac:dyDescent="0.2">
      <c r="J447" s="109"/>
    </row>
    <row r="448" spans="10:10" ht="11.25" x14ac:dyDescent="0.2">
      <c r="J448" s="109"/>
    </row>
    <row r="449" spans="10:10" ht="11.25" x14ac:dyDescent="0.2">
      <c r="J449" s="109"/>
    </row>
    <row r="450" spans="10:10" ht="11.25" x14ac:dyDescent="0.2">
      <c r="J450" s="109"/>
    </row>
    <row r="451" spans="10:10" ht="11.25" x14ac:dyDescent="0.2">
      <c r="J451" s="109"/>
    </row>
    <row r="452" spans="10:10" ht="11.25" x14ac:dyDescent="0.2">
      <c r="J452" s="109"/>
    </row>
    <row r="453" spans="10:10" ht="11.25" x14ac:dyDescent="0.2">
      <c r="J453" s="109"/>
    </row>
    <row r="454" spans="10:10" ht="11.25" x14ac:dyDescent="0.2">
      <c r="J454" s="109"/>
    </row>
    <row r="455" spans="10:10" ht="11.25" x14ac:dyDescent="0.2">
      <c r="J455" s="109"/>
    </row>
    <row r="456" spans="10:10" ht="11.25" x14ac:dyDescent="0.2">
      <c r="J456" s="109"/>
    </row>
    <row r="457" spans="10:10" ht="11.25" x14ac:dyDescent="0.2">
      <c r="J457" s="109"/>
    </row>
    <row r="458" spans="10:10" ht="11.25" x14ac:dyDescent="0.2">
      <c r="J458" s="109"/>
    </row>
    <row r="459" spans="10:10" ht="11.25" x14ac:dyDescent="0.2">
      <c r="J459" s="109"/>
    </row>
    <row r="460" spans="10:10" ht="11.25" x14ac:dyDescent="0.2">
      <c r="J460" s="109"/>
    </row>
    <row r="461" spans="10:10" ht="11.25" x14ac:dyDescent="0.2">
      <c r="J461" s="109"/>
    </row>
    <row r="462" spans="10:10" ht="11.25" x14ac:dyDescent="0.2">
      <c r="J462" s="109"/>
    </row>
    <row r="463" spans="10:10" ht="11.25" x14ac:dyDescent="0.2">
      <c r="J463" s="109"/>
    </row>
    <row r="464" spans="10:10" ht="11.25" x14ac:dyDescent="0.2">
      <c r="J464" s="109"/>
    </row>
    <row r="465" spans="10:10" ht="11.25" x14ac:dyDescent="0.2">
      <c r="J465" s="109"/>
    </row>
    <row r="466" spans="10:10" ht="11.25" x14ac:dyDescent="0.2">
      <c r="J466" s="109"/>
    </row>
    <row r="467" spans="10:10" ht="11.25" x14ac:dyDescent="0.2">
      <c r="J467" s="109"/>
    </row>
    <row r="468" spans="10:10" ht="11.25" x14ac:dyDescent="0.2">
      <c r="J468" s="109"/>
    </row>
    <row r="469" spans="10:10" ht="11.25" x14ac:dyDescent="0.2">
      <c r="J469" s="109"/>
    </row>
    <row r="470" spans="10:10" ht="11.25" x14ac:dyDescent="0.2">
      <c r="J470" s="109"/>
    </row>
    <row r="471" spans="10:10" ht="11.25" x14ac:dyDescent="0.2">
      <c r="J471" s="109"/>
    </row>
    <row r="472" spans="10:10" ht="11.25" x14ac:dyDescent="0.2">
      <c r="J472" s="109"/>
    </row>
    <row r="473" spans="10:10" ht="11.25" x14ac:dyDescent="0.2">
      <c r="J473" s="109"/>
    </row>
    <row r="474" spans="10:10" ht="11.25" x14ac:dyDescent="0.2">
      <c r="J474" s="109"/>
    </row>
    <row r="475" spans="10:10" ht="11.25" x14ac:dyDescent="0.2">
      <c r="J475" s="109"/>
    </row>
    <row r="476" spans="10:10" ht="11.25" x14ac:dyDescent="0.2">
      <c r="J476" s="109"/>
    </row>
    <row r="477" spans="10:10" ht="11.25" x14ac:dyDescent="0.2">
      <c r="J477" s="109"/>
    </row>
    <row r="478" spans="10:10" ht="11.25" x14ac:dyDescent="0.2">
      <c r="J478" s="109"/>
    </row>
    <row r="479" spans="10:10" ht="11.25" x14ac:dyDescent="0.2">
      <c r="J479" s="109"/>
    </row>
    <row r="480" spans="10:10" ht="11.25" x14ac:dyDescent="0.2">
      <c r="J480" s="109"/>
    </row>
    <row r="481" spans="10:10" ht="11.25" x14ac:dyDescent="0.2">
      <c r="J481" s="109"/>
    </row>
    <row r="482" spans="10:10" ht="11.25" x14ac:dyDescent="0.2">
      <c r="J482" s="109"/>
    </row>
    <row r="483" spans="10:10" ht="11.25" x14ac:dyDescent="0.2">
      <c r="J483" s="109"/>
    </row>
    <row r="484" spans="10:10" ht="11.25" x14ac:dyDescent="0.2">
      <c r="J484" s="109"/>
    </row>
    <row r="485" spans="10:10" ht="11.25" x14ac:dyDescent="0.2">
      <c r="J485" s="109"/>
    </row>
    <row r="486" spans="10:10" ht="11.25" x14ac:dyDescent="0.2">
      <c r="J486" s="109"/>
    </row>
    <row r="487" spans="10:10" ht="11.25" x14ac:dyDescent="0.2">
      <c r="J487" s="109"/>
    </row>
    <row r="488" spans="10:10" ht="11.25" x14ac:dyDescent="0.2">
      <c r="J488" s="109"/>
    </row>
    <row r="489" spans="10:10" ht="11.25" x14ac:dyDescent="0.2">
      <c r="J489" s="109"/>
    </row>
    <row r="490" spans="10:10" ht="11.25" x14ac:dyDescent="0.2">
      <c r="J490" s="109"/>
    </row>
    <row r="491" spans="10:10" ht="11.25" x14ac:dyDescent="0.2">
      <c r="J491" s="109"/>
    </row>
    <row r="492" spans="10:10" ht="11.25" x14ac:dyDescent="0.2">
      <c r="J492" s="109"/>
    </row>
    <row r="493" spans="10:10" ht="11.25" x14ac:dyDescent="0.2">
      <c r="J493" s="109"/>
    </row>
    <row r="494" spans="10:10" ht="11.25" x14ac:dyDescent="0.2">
      <c r="J494" s="109"/>
    </row>
    <row r="495" spans="10:10" ht="11.25" x14ac:dyDescent="0.2">
      <c r="J495" s="109"/>
    </row>
    <row r="496" spans="10:10" ht="11.25" x14ac:dyDescent="0.2">
      <c r="J496" s="109"/>
    </row>
    <row r="497" spans="10:10" ht="11.25" x14ac:dyDescent="0.2">
      <c r="J497" s="109"/>
    </row>
    <row r="498" spans="10:10" ht="11.25" x14ac:dyDescent="0.2">
      <c r="J498" s="109"/>
    </row>
    <row r="499" spans="10:10" ht="11.25" x14ac:dyDescent="0.2">
      <c r="J499" s="109"/>
    </row>
    <row r="500" spans="10:10" ht="11.25" x14ac:dyDescent="0.2">
      <c r="J500" s="109"/>
    </row>
    <row r="501" spans="10:10" ht="11.25" x14ac:dyDescent="0.2">
      <c r="J501" s="109"/>
    </row>
    <row r="502" spans="10:10" ht="11.25" x14ac:dyDescent="0.2">
      <c r="J502" s="109"/>
    </row>
    <row r="503" spans="10:10" ht="11.25" x14ac:dyDescent="0.2">
      <c r="J503" s="109"/>
    </row>
    <row r="504" spans="10:10" ht="11.25" x14ac:dyDescent="0.2">
      <c r="J504" s="109"/>
    </row>
    <row r="505" spans="10:10" ht="11.25" x14ac:dyDescent="0.2">
      <c r="J505" s="109"/>
    </row>
    <row r="506" spans="10:10" ht="11.25" x14ac:dyDescent="0.2">
      <c r="J506" s="109"/>
    </row>
    <row r="507" spans="10:10" ht="11.25" x14ac:dyDescent="0.2">
      <c r="J507" s="109"/>
    </row>
    <row r="508" spans="10:10" ht="11.25" x14ac:dyDescent="0.2">
      <c r="J508" s="109"/>
    </row>
    <row r="509" spans="10:10" ht="11.25" x14ac:dyDescent="0.2">
      <c r="J509" s="109"/>
    </row>
    <row r="510" spans="10:10" ht="11.25" x14ac:dyDescent="0.2">
      <c r="J510" s="109"/>
    </row>
    <row r="511" spans="10:10" ht="11.25" x14ac:dyDescent="0.2">
      <c r="J511" s="109"/>
    </row>
    <row r="512" spans="10:10" ht="11.25" x14ac:dyDescent="0.2">
      <c r="J512" s="109"/>
    </row>
    <row r="513" spans="10:10" ht="11.25" x14ac:dyDescent="0.2">
      <c r="J513" s="109"/>
    </row>
    <row r="514" spans="10:10" ht="11.25" x14ac:dyDescent="0.2">
      <c r="J514" s="109"/>
    </row>
    <row r="515" spans="10:10" ht="11.25" x14ac:dyDescent="0.2">
      <c r="J515" s="109"/>
    </row>
    <row r="516" spans="10:10" ht="11.25" x14ac:dyDescent="0.2">
      <c r="J516" s="109"/>
    </row>
    <row r="517" spans="10:10" ht="11.25" x14ac:dyDescent="0.2">
      <c r="J517" s="109"/>
    </row>
    <row r="518" spans="10:10" ht="11.25" x14ac:dyDescent="0.2">
      <c r="J518" s="109"/>
    </row>
    <row r="519" spans="10:10" ht="11.25" x14ac:dyDescent="0.2">
      <c r="J519" s="109"/>
    </row>
    <row r="520" spans="10:10" ht="11.25" x14ac:dyDescent="0.2">
      <c r="J520" s="109"/>
    </row>
    <row r="521" spans="10:10" ht="11.25" x14ac:dyDescent="0.2">
      <c r="J521" s="109"/>
    </row>
    <row r="522" spans="10:10" ht="11.25" x14ac:dyDescent="0.2">
      <c r="J522" s="109"/>
    </row>
    <row r="523" spans="10:10" ht="11.25" x14ac:dyDescent="0.2">
      <c r="J523" s="109"/>
    </row>
    <row r="524" spans="10:10" ht="11.25" x14ac:dyDescent="0.2">
      <c r="J524" s="109"/>
    </row>
    <row r="525" spans="10:10" ht="11.25" x14ac:dyDescent="0.2">
      <c r="J525" s="109"/>
    </row>
    <row r="526" spans="10:10" ht="11.25" x14ac:dyDescent="0.2">
      <c r="J526" s="109"/>
    </row>
    <row r="527" spans="10:10" ht="11.25" x14ac:dyDescent="0.2">
      <c r="J527" s="109"/>
    </row>
    <row r="528" spans="10:10" ht="11.25" x14ac:dyDescent="0.2">
      <c r="J528" s="109"/>
    </row>
    <row r="529" spans="10:10" ht="11.25" x14ac:dyDescent="0.2">
      <c r="J529" s="109"/>
    </row>
    <row r="530" spans="10:10" ht="11.25" x14ac:dyDescent="0.2">
      <c r="J530" s="109"/>
    </row>
    <row r="531" spans="10:10" ht="11.25" x14ac:dyDescent="0.2">
      <c r="J531" s="109"/>
    </row>
    <row r="532" spans="10:10" ht="11.25" x14ac:dyDescent="0.2">
      <c r="J532" s="109"/>
    </row>
    <row r="533" spans="10:10" ht="11.25" x14ac:dyDescent="0.2">
      <c r="J533" s="109"/>
    </row>
    <row r="534" spans="10:10" ht="11.25" x14ac:dyDescent="0.2">
      <c r="J534" s="109"/>
    </row>
    <row r="535" spans="10:10" ht="11.25" x14ac:dyDescent="0.2">
      <c r="J535" s="109"/>
    </row>
    <row r="536" spans="10:10" ht="11.25" x14ac:dyDescent="0.2">
      <c r="J536" s="109"/>
    </row>
    <row r="537" spans="10:10" ht="11.25" x14ac:dyDescent="0.2">
      <c r="J537" s="109"/>
    </row>
    <row r="538" spans="10:10" ht="11.25" x14ac:dyDescent="0.2">
      <c r="J538" s="109"/>
    </row>
    <row r="539" spans="10:10" ht="11.25" x14ac:dyDescent="0.2">
      <c r="J539" s="109"/>
    </row>
    <row r="540" spans="10:10" ht="11.25" x14ac:dyDescent="0.2">
      <c r="J540" s="109"/>
    </row>
    <row r="541" spans="10:10" ht="11.25" x14ac:dyDescent="0.2">
      <c r="J541" s="109"/>
    </row>
    <row r="542" spans="10:10" ht="11.25" x14ac:dyDescent="0.2">
      <c r="J542" s="109"/>
    </row>
    <row r="543" spans="10:10" ht="11.25" x14ac:dyDescent="0.2">
      <c r="J543" s="109"/>
    </row>
    <row r="544" spans="10:10" ht="11.25" x14ac:dyDescent="0.2">
      <c r="J544" s="109"/>
    </row>
    <row r="545" spans="10:10" ht="11.25" x14ac:dyDescent="0.2">
      <c r="J545" s="109"/>
    </row>
    <row r="546" spans="10:10" ht="11.25" x14ac:dyDescent="0.2">
      <c r="J546" s="109"/>
    </row>
    <row r="547" spans="10:10" ht="11.25" x14ac:dyDescent="0.2">
      <c r="J547" s="109"/>
    </row>
    <row r="548" spans="10:10" ht="11.25" x14ac:dyDescent="0.2">
      <c r="J548" s="109"/>
    </row>
    <row r="549" spans="10:10" ht="11.25" x14ac:dyDescent="0.2">
      <c r="J549" s="109"/>
    </row>
    <row r="550" spans="10:10" ht="11.25" x14ac:dyDescent="0.2">
      <c r="J550" s="109"/>
    </row>
    <row r="551" spans="10:10" ht="11.25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2001-11-26T14:58:04Z</cp:lastPrinted>
  <dcterms:created xsi:type="dcterms:W3CDTF">2001-06-07T23:53:28Z</dcterms:created>
  <dcterms:modified xsi:type="dcterms:W3CDTF">2023-09-14T18:20:42Z</dcterms:modified>
</cp:coreProperties>
</file>