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B3B5F7-135A-47F9-BC3A-D3E635823398}" xr6:coauthVersionLast="47" xr6:coauthVersionMax="47" xr10:uidLastSave="{00000000-0000-0000-0000-000000000000}"/>
  <bookViews>
    <workbookView xWindow="-120" yWindow="-120" windowWidth="38640" windowHeight="15720" firstSheet="19" activeTab="20"/>
  </bookViews>
  <sheets>
    <sheet name="NNG-Jan." sheetId="1" r:id="rId1"/>
    <sheet name="TW-Jan." sheetId="2" r:id="rId2"/>
    <sheet name="NNG-Feb." sheetId="3" r:id="rId3"/>
    <sheet name="TW-Feb." sheetId="4" r:id="rId4"/>
    <sheet name="NNG-Mar." sheetId="5" r:id="rId5"/>
    <sheet name="TW-Mar." sheetId="6" r:id="rId6"/>
    <sheet name="NNG-Apr." sheetId="7" r:id="rId7"/>
    <sheet name="TW-Apr." sheetId="8" r:id="rId8"/>
    <sheet name="NNG-May" sheetId="9" r:id="rId9"/>
    <sheet name="TW-May" sheetId="10" r:id="rId10"/>
    <sheet name="NNG-Jun" sheetId="11" r:id="rId11"/>
    <sheet name="TW-Jun" sheetId="12" r:id="rId12"/>
    <sheet name="NNG-Jul" sheetId="13" r:id="rId13"/>
    <sheet name="TW &amp; ETS-Jul" sheetId="14" r:id="rId14"/>
    <sheet name="NNG-Aug" sheetId="15" r:id="rId15"/>
    <sheet name="TW &amp; ETS-Aug" sheetId="16" r:id="rId16"/>
    <sheet name="NNG-Sep" sheetId="17" r:id="rId17"/>
    <sheet name="TW &amp; ETS-Sep" sheetId="18" r:id="rId18"/>
    <sheet name="NNG-Oct" sheetId="19" r:id="rId19"/>
    <sheet name="TW &amp; ETS-Oct" sheetId="20" r:id="rId20"/>
    <sheet name="NNG-Nov" sheetId="21" r:id="rId21"/>
    <sheet name="TW &amp; ETS-Nov" sheetId="22" r:id="rId22"/>
    <sheet name="NNG-Dec" sheetId="23" r:id="rId23"/>
    <sheet name="TW &amp; ETS-Dec" sheetId="24" r:id="rId24"/>
  </sheets>
  <definedNames>
    <definedName name="\F" localSheetId="6">'NNG-Apr.'!$C$57:$D$59</definedName>
    <definedName name="\F" localSheetId="14">'NNG-Aug'!$C$62:$D$64</definedName>
    <definedName name="\F" localSheetId="22">'NNG-Dec'!$C$62:$D$64</definedName>
    <definedName name="\F" localSheetId="2">'NNG-Feb.'!$C$57:$D$59</definedName>
    <definedName name="\F" localSheetId="12">'NNG-Jul'!$C$62:$D$64</definedName>
    <definedName name="\F" localSheetId="10">'NNG-Jun'!$C$57:$D$59</definedName>
    <definedName name="\F" localSheetId="4">'NNG-Mar.'!$C$57:$D$59</definedName>
    <definedName name="\F" localSheetId="8">'NNG-May'!$C$57:$D$59</definedName>
    <definedName name="\F" localSheetId="20">'NNG-Nov'!$C$62:$D$64</definedName>
    <definedName name="\F" localSheetId="18">'NNG-Oct'!$C$62:$D$64</definedName>
    <definedName name="\F" localSheetId="16">'NNG-Sep'!$C$62:$D$64</definedName>
    <definedName name="\F" localSheetId="15">'TW &amp; ETS-Aug'!$C$62:$D$64</definedName>
    <definedName name="\F" localSheetId="23">'TW &amp; ETS-Dec'!$C$62:$D$64</definedName>
    <definedName name="\F" localSheetId="13">'TW &amp; ETS-Jul'!$C$62:$D$64</definedName>
    <definedName name="\F" localSheetId="21">'TW &amp; ETS-Nov'!$C$62:$D$64</definedName>
    <definedName name="\F" localSheetId="19">'TW &amp; ETS-Oct'!$C$62:$D$64</definedName>
    <definedName name="\F" localSheetId="17">'TW &amp; ETS-Sep'!$C$62:$D$64</definedName>
    <definedName name="\F" localSheetId="7">'TW-Apr.'!$C$57:$D$59</definedName>
    <definedName name="\F" localSheetId="3">'TW-Feb.'!$C$57:$D$59</definedName>
    <definedName name="\F" localSheetId="1">'TW-Jan.'!$C$57:$D$59</definedName>
    <definedName name="\F" localSheetId="11">'TW-Jun'!$C$57:$D$59</definedName>
    <definedName name="\F" localSheetId="5">'TW-Mar.'!$C$57:$D$59</definedName>
    <definedName name="\F" localSheetId="9">'TW-May'!$C$57:$D$59</definedName>
    <definedName name="\F">'NNG-Jan.'!$C$57:$D$59</definedName>
    <definedName name="\P" localSheetId="6">'NNG-Apr.'!$C$63:$D$69</definedName>
    <definedName name="\P" localSheetId="14">'NNG-Aug'!$C$68:$D$74</definedName>
    <definedName name="\P" localSheetId="22">'NNG-Dec'!$C$68:$D$74</definedName>
    <definedName name="\P" localSheetId="2">'NNG-Feb.'!$C$63:$D$69</definedName>
    <definedName name="\P" localSheetId="12">'NNG-Jul'!$C$68:$D$74</definedName>
    <definedName name="\P" localSheetId="10">'NNG-Jun'!$C$63:$D$69</definedName>
    <definedName name="\P" localSheetId="4">'NNG-Mar.'!$C$63:$D$69</definedName>
    <definedName name="\P" localSheetId="8">'NNG-May'!$C$63:$D$69</definedName>
    <definedName name="\P" localSheetId="20">'NNG-Nov'!$C$68:$D$74</definedName>
    <definedName name="\P" localSheetId="18">'NNG-Oct'!$C$68:$D$74</definedName>
    <definedName name="\P" localSheetId="16">'NNG-Sep'!$C$68:$D$74</definedName>
    <definedName name="\P" localSheetId="15">'TW &amp; ETS-Aug'!$C$68:$D$74</definedName>
    <definedName name="\P" localSheetId="23">'TW &amp; ETS-Dec'!$C$68:$D$74</definedName>
    <definedName name="\P" localSheetId="13">'TW &amp; ETS-Jul'!$C$68:$D$74</definedName>
    <definedName name="\P" localSheetId="21">'TW &amp; ETS-Nov'!$C$68:$D$74</definedName>
    <definedName name="\P" localSheetId="19">'TW &amp; ETS-Oct'!$C$68:$D$74</definedName>
    <definedName name="\P" localSheetId="17">'TW &amp; ETS-Sep'!$C$68:$D$74</definedName>
    <definedName name="\P" localSheetId="7">'TW-Apr.'!$C$63:$D$69</definedName>
    <definedName name="\P" localSheetId="3">'TW-Feb.'!$C$63:$D$69</definedName>
    <definedName name="\P" localSheetId="1">'TW-Jan.'!$C$63:$D$69</definedName>
    <definedName name="\P" localSheetId="11">'TW-Jun'!$C$63:$D$69</definedName>
    <definedName name="\P" localSheetId="5">'TW-Mar.'!$C$63:$D$69</definedName>
    <definedName name="\P" localSheetId="9">'TW-May'!$C$63:$D$69</definedName>
    <definedName name="\P">'NNG-Jan.'!$C$63:$D$69</definedName>
    <definedName name="CEVAR">#REF!</definedName>
    <definedName name="CUREST">#REF!</definedName>
    <definedName name="LATESTFC" localSheetId="6">'NNG-Apr.'!$A$1:$AD$54</definedName>
    <definedName name="LATESTFC" localSheetId="14">'NNG-Aug'!$A$1:$AD$59</definedName>
    <definedName name="LATESTFC" localSheetId="22">'NNG-Dec'!$A$1:$AD$59</definedName>
    <definedName name="LATESTFC" localSheetId="2">'NNG-Feb.'!$A$1:$AD$54</definedName>
    <definedName name="LATESTFC" localSheetId="12">'NNG-Jul'!$A$1:$AD$59</definedName>
    <definedName name="LATESTFC" localSheetId="10">'NNG-Jun'!$A$1:$AD$54</definedName>
    <definedName name="LATESTFC" localSheetId="4">'NNG-Mar.'!$A$1:$AD$54</definedName>
    <definedName name="LATESTFC" localSheetId="8">'NNG-May'!$A$1:$AD$54</definedName>
    <definedName name="LATESTFC" localSheetId="20">'NNG-Nov'!$A$1:$AD$59</definedName>
    <definedName name="LATESTFC" localSheetId="18">'NNG-Oct'!$A$1:$AD$59</definedName>
    <definedName name="LATESTFC" localSheetId="16">'NNG-Sep'!$A$1:$AD$59</definedName>
    <definedName name="LATESTFC" localSheetId="15">'TW &amp; ETS-Aug'!$A$1:$AD$59</definedName>
    <definedName name="LATESTFC" localSheetId="23">'TW &amp; ETS-Dec'!$A$1:$AD$59</definedName>
    <definedName name="LATESTFC" localSheetId="13">'TW &amp; ETS-Jul'!$A$1:$AD$59</definedName>
    <definedName name="LATESTFC" localSheetId="21">'TW &amp; ETS-Nov'!$A$1:$AD$59</definedName>
    <definedName name="LATESTFC" localSheetId="19">'TW &amp; ETS-Oct'!$A$1:$AD$59</definedName>
    <definedName name="LATESTFC" localSheetId="17">'TW &amp; ETS-Sep'!$A$1:$AD$59</definedName>
    <definedName name="LATESTFC" localSheetId="7">'TW-Apr.'!$A$1:$AD$54</definedName>
    <definedName name="LATESTFC" localSheetId="3">'TW-Feb.'!$A$1:$AD$54</definedName>
    <definedName name="LATESTFC" localSheetId="1">'TW-Jan.'!$A$1:$AD$54</definedName>
    <definedName name="LATESTFC" localSheetId="11">'TW-Jun'!$A$1:$AD$54</definedName>
    <definedName name="LATESTFC" localSheetId="5">'TW-Mar.'!$A$1:$AD$54</definedName>
    <definedName name="LATESTFC" localSheetId="9">'TW-May'!$A$1:$AD$54</definedName>
    <definedName name="LATESTFC">'NNG-Jan.'!$A$1:$AD$54</definedName>
    <definedName name="PLAN">#REF!</definedName>
    <definedName name="PLANVAR">#REF!</definedName>
    <definedName name="PRFCVAR">#REF!</definedName>
    <definedName name="_xlnm.Print_Area" localSheetId="6">'NNG-Apr.'!$A$1:$AD$54</definedName>
    <definedName name="_xlnm.Print_Area" localSheetId="14">'NNG-Aug'!$A$1:$AD$59</definedName>
    <definedName name="_xlnm.Print_Area" localSheetId="22">'NNG-Dec'!$A$1:$AD$59</definedName>
    <definedName name="_xlnm.Print_Area" localSheetId="2">'NNG-Feb.'!$A$1:$AD$54</definedName>
    <definedName name="_xlnm.Print_Area" localSheetId="0">'NNG-Jan.'!$A$1:$AD$54</definedName>
    <definedName name="_xlnm.Print_Area" localSheetId="12">'NNG-Jul'!$A$1:$AD$59</definedName>
    <definedName name="_xlnm.Print_Area" localSheetId="10">'NNG-Jun'!$A$1:$AD$54</definedName>
    <definedName name="_xlnm.Print_Area" localSheetId="4">'NNG-Mar.'!$A$1:$AD$54</definedName>
    <definedName name="_xlnm.Print_Area" localSheetId="8">'NNG-May'!$A$1:$AD$54</definedName>
    <definedName name="_xlnm.Print_Area" localSheetId="20">'NNG-Nov'!$A$1:$AD$59</definedName>
    <definedName name="_xlnm.Print_Area" localSheetId="18">'NNG-Oct'!$A$1:$AD$59</definedName>
    <definedName name="_xlnm.Print_Area" localSheetId="16">'NNG-Sep'!$A$1:$AD$59</definedName>
    <definedName name="_xlnm.Print_Area" localSheetId="15">'TW &amp; ETS-Aug'!$A$1:$AD$59</definedName>
    <definedName name="_xlnm.Print_Area" localSheetId="23">'TW &amp; ETS-Dec'!$A$1:$AD$59</definedName>
    <definedName name="_xlnm.Print_Area" localSheetId="13">'TW &amp; ETS-Jul'!$A$1:$AD$59</definedName>
    <definedName name="_xlnm.Print_Area" localSheetId="21">'TW &amp; ETS-Nov'!$A$1:$AD$59</definedName>
    <definedName name="_xlnm.Print_Area" localSheetId="19">'TW &amp; ETS-Oct'!$A$1:$AD$59</definedName>
    <definedName name="_xlnm.Print_Area" localSheetId="17">'TW &amp; ETS-Sep'!$A$1:$AD$59</definedName>
    <definedName name="_xlnm.Print_Area" localSheetId="7">'TW-Apr.'!$A$1:$AD$54</definedName>
    <definedName name="_xlnm.Print_Area" localSheetId="3">'TW-Feb.'!$A$1:$AD$54</definedName>
    <definedName name="_xlnm.Print_Area" localSheetId="1">'TW-Jan.'!$A$1:$AD$54</definedName>
    <definedName name="_xlnm.Print_Area" localSheetId="11">'TW-Jun'!$A$1:$AD$54</definedName>
    <definedName name="_xlnm.Print_Area" localSheetId="5">'TW-Mar.'!$A$1:$AD$54</definedName>
    <definedName name="_xlnm.Print_Area" localSheetId="9">'TW-May'!$A$1:$AD$54</definedName>
    <definedName name="PRIORFC">#REF!</definedName>
    <definedName name="SHORT">#REF!</definedName>
  </definedNames>
  <calcPr calcId="0"/>
</workbook>
</file>

<file path=xl/calcChain.xml><?xml version="1.0" encoding="utf-8"?>
<calcChain xmlns="http://schemas.openxmlformats.org/spreadsheetml/2006/main">
  <c r="N11" i="7" l="1"/>
  <c r="P11" i="7"/>
  <c r="V11" i="7"/>
  <c r="W11" i="7"/>
  <c r="X11" i="7"/>
  <c r="Y11" i="7"/>
  <c r="AA11" i="7"/>
  <c r="AB11" i="7"/>
  <c r="AC11" i="7"/>
  <c r="AD11" i="7"/>
  <c r="AB12" i="7"/>
  <c r="AD12" i="7"/>
  <c r="AB13" i="7"/>
  <c r="AD13" i="7"/>
  <c r="AB14" i="7"/>
  <c r="AD14" i="7"/>
  <c r="AB15" i="7"/>
  <c r="AD15" i="7"/>
  <c r="AB16" i="7"/>
  <c r="AD16" i="7"/>
  <c r="AB17" i="7"/>
  <c r="AD17" i="7"/>
  <c r="AB18" i="7"/>
  <c r="AD18" i="7"/>
  <c r="AB19" i="7"/>
  <c r="AD19" i="7"/>
  <c r="AB20" i="7"/>
  <c r="AD20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B25" i="7"/>
  <c r="AD25" i="7"/>
  <c r="AB26" i="7"/>
  <c r="AD26" i="7"/>
  <c r="AB27" i="7"/>
  <c r="AD27" i="7"/>
  <c r="N28" i="7"/>
  <c r="P28" i="7"/>
  <c r="V28" i="7"/>
  <c r="W28" i="7"/>
  <c r="X28" i="7"/>
  <c r="Y28" i="7"/>
  <c r="AA28" i="7"/>
  <c r="AB28" i="7"/>
  <c r="AD28" i="7"/>
  <c r="AB29" i="7"/>
  <c r="AD29" i="7"/>
  <c r="AB30" i="7"/>
  <c r="AD30" i="7"/>
  <c r="AB31" i="7"/>
  <c r="AD31" i="7"/>
  <c r="AB32" i="7"/>
  <c r="AD32" i="7"/>
  <c r="AB33" i="7"/>
  <c r="AD33" i="7"/>
  <c r="AB34" i="7"/>
  <c r="AD34" i="7"/>
  <c r="AB35" i="7"/>
  <c r="AD35" i="7"/>
  <c r="AB36" i="7"/>
  <c r="AD36" i="7"/>
  <c r="AB37" i="7"/>
  <c r="AD37" i="7"/>
  <c r="AB38" i="7"/>
  <c r="AD38" i="7"/>
  <c r="AB39" i="7"/>
  <c r="AD39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B45" i="7"/>
  <c r="AD45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D52" i="7"/>
  <c r="A53" i="7"/>
  <c r="AD53" i="7"/>
  <c r="S11" i="15"/>
  <c r="W11" i="15"/>
  <c r="AB11" i="15"/>
  <c r="AC11" i="15"/>
  <c r="AD11" i="15"/>
  <c r="AB12" i="15"/>
  <c r="AD12" i="15"/>
  <c r="AB13" i="15"/>
  <c r="AD13" i="15"/>
  <c r="AB14" i="15"/>
  <c r="AD14" i="15"/>
  <c r="AB15" i="15"/>
  <c r="AD15" i="15"/>
  <c r="AB16" i="15"/>
  <c r="AD16" i="15"/>
  <c r="AB17" i="15"/>
  <c r="AD17" i="15"/>
  <c r="AB18" i="15"/>
  <c r="AD18" i="15"/>
  <c r="AB19" i="15"/>
  <c r="AD19" i="15"/>
  <c r="AB20" i="15"/>
  <c r="AD20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B25" i="15"/>
  <c r="AD25" i="15"/>
  <c r="AB26" i="15"/>
  <c r="AC26" i="15"/>
  <c r="AD26" i="15"/>
  <c r="AB27" i="15"/>
  <c r="AD27" i="15"/>
  <c r="S28" i="15"/>
  <c r="W28" i="15"/>
  <c r="AB28" i="15"/>
  <c r="AD28" i="15"/>
  <c r="AB29" i="15"/>
  <c r="AD29" i="15"/>
  <c r="AB30" i="15"/>
  <c r="AD30" i="15"/>
  <c r="AB31" i="15"/>
  <c r="AD31" i="15"/>
  <c r="AB32" i="15"/>
  <c r="AD32" i="15"/>
  <c r="AB33" i="15"/>
  <c r="AD33" i="15"/>
  <c r="AB34" i="15"/>
  <c r="AD34" i="15"/>
  <c r="AB35" i="15"/>
  <c r="AD35" i="15"/>
  <c r="AB36" i="15"/>
  <c r="AD36" i="15"/>
  <c r="AB37" i="15"/>
  <c r="AD37" i="15"/>
  <c r="AB38" i="15"/>
  <c r="AD38" i="15"/>
  <c r="AB39" i="15"/>
  <c r="AD39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D57" i="15"/>
  <c r="A58" i="15"/>
  <c r="AD58" i="15"/>
  <c r="AB11" i="23"/>
  <c r="AD11" i="23"/>
  <c r="AB12" i="23"/>
  <c r="AD12" i="23"/>
  <c r="AB13" i="23"/>
  <c r="AD13" i="23"/>
  <c r="AB14" i="23"/>
  <c r="AD14" i="23"/>
  <c r="AB15" i="23"/>
  <c r="AD15" i="23"/>
  <c r="AB16" i="23"/>
  <c r="AD16" i="23"/>
  <c r="AB17" i="23"/>
  <c r="AD17" i="23"/>
  <c r="AB18" i="23"/>
  <c r="AD18" i="23"/>
  <c r="AB19" i="23"/>
  <c r="AD19" i="23"/>
  <c r="AB20" i="23"/>
  <c r="AD20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B25" i="23"/>
  <c r="AD25" i="23"/>
  <c r="AB26" i="23"/>
  <c r="AD26" i="23"/>
  <c r="AB27" i="23"/>
  <c r="AD27" i="23"/>
  <c r="AB28" i="23"/>
  <c r="AD28" i="23"/>
  <c r="AB29" i="23"/>
  <c r="AD29" i="23"/>
  <c r="AB30" i="23"/>
  <c r="AD30" i="23"/>
  <c r="AB31" i="23"/>
  <c r="AD31" i="23"/>
  <c r="AB32" i="23"/>
  <c r="AD32" i="23"/>
  <c r="AB33" i="23"/>
  <c r="AD33" i="23"/>
  <c r="AB34" i="23"/>
  <c r="AD34" i="23"/>
  <c r="AB35" i="23"/>
  <c r="AD35" i="23"/>
  <c r="AB36" i="23"/>
  <c r="AD36" i="23"/>
  <c r="AB37" i="23"/>
  <c r="AD37" i="23"/>
  <c r="AB38" i="23"/>
  <c r="AD38" i="23"/>
  <c r="AB39" i="23"/>
  <c r="AD39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D57" i="23"/>
  <c r="A58" i="23"/>
  <c r="AD58" i="23"/>
  <c r="X11" i="3"/>
  <c r="Y11" i="3"/>
  <c r="Z11" i="3"/>
  <c r="AB11" i="3"/>
  <c r="AC11" i="3"/>
  <c r="AD11" i="3"/>
  <c r="AB12" i="3"/>
  <c r="AD12" i="3"/>
  <c r="AB13" i="3"/>
  <c r="AD13" i="3"/>
  <c r="AB14" i="3"/>
  <c r="AD14" i="3"/>
  <c r="AB15" i="3"/>
  <c r="AD15" i="3"/>
  <c r="AB16" i="3"/>
  <c r="AD16" i="3"/>
  <c r="AB17" i="3"/>
  <c r="AD17" i="3"/>
  <c r="AB18" i="3"/>
  <c r="AD18" i="3"/>
  <c r="AB19" i="3"/>
  <c r="AD19" i="3"/>
  <c r="AB20" i="3"/>
  <c r="AD20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B25" i="3"/>
  <c r="AD25" i="3"/>
  <c r="AB26" i="3"/>
  <c r="AD26" i="3"/>
  <c r="AB27" i="3"/>
  <c r="AD27" i="3"/>
  <c r="X28" i="3"/>
  <c r="Y28" i="3"/>
  <c r="Z28" i="3"/>
  <c r="AB28" i="3"/>
  <c r="AD28" i="3"/>
  <c r="AB29" i="3"/>
  <c r="AD29" i="3"/>
  <c r="AB30" i="3"/>
  <c r="AD30" i="3"/>
  <c r="AB31" i="3"/>
  <c r="AD31" i="3"/>
  <c r="AB32" i="3"/>
  <c r="AD32" i="3"/>
  <c r="AB33" i="3"/>
  <c r="AD33" i="3"/>
  <c r="AB34" i="3"/>
  <c r="AD34" i="3"/>
  <c r="AB35" i="3"/>
  <c r="AD35" i="3"/>
  <c r="AB36" i="3"/>
  <c r="AD36" i="3"/>
  <c r="AB37" i="3"/>
  <c r="AD37" i="3"/>
  <c r="AB38" i="3"/>
  <c r="AD38" i="3"/>
  <c r="AB39" i="3"/>
  <c r="AD39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B45" i="3"/>
  <c r="AD45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D52" i="3"/>
  <c r="A53" i="3"/>
  <c r="AD53" i="3"/>
  <c r="U11" i="1"/>
  <c r="AB11" i="1"/>
  <c r="AC11" i="1"/>
  <c r="AD11" i="1"/>
  <c r="AB12" i="1"/>
  <c r="AD12" i="1"/>
  <c r="AB13" i="1"/>
  <c r="AD13" i="1"/>
  <c r="AB14" i="1"/>
  <c r="AD14" i="1"/>
  <c r="AB15" i="1"/>
  <c r="AC15" i="1"/>
  <c r="AD15" i="1"/>
  <c r="V16" i="1"/>
  <c r="AB16" i="1"/>
  <c r="AD16" i="1"/>
  <c r="AB17" i="1"/>
  <c r="AD17" i="1"/>
  <c r="AB18" i="1"/>
  <c r="AD18" i="1"/>
  <c r="AB19" i="1"/>
  <c r="AD19" i="1"/>
  <c r="AB20" i="1"/>
  <c r="AD20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B25" i="1"/>
  <c r="AD25" i="1"/>
  <c r="AB26" i="1"/>
  <c r="AD26" i="1"/>
  <c r="AB27" i="1"/>
  <c r="AD27" i="1"/>
  <c r="U28" i="1"/>
  <c r="AB28" i="1"/>
  <c r="AD28" i="1"/>
  <c r="AB29" i="1"/>
  <c r="AD29" i="1"/>
  <c r="AB30" i="1"/>
  <c r="AD30" i="1"/>
  <c r="AA31" i="1"/>
  <c r="AB31" i="1"/>
  <c r="AD31" i="1"/>
  <c r="AB32" i="1"/>
  <c r="AD32" i="1"/>
  <c r="U33" i="1"/>
  <c r="AB33" i="1"/>
  <c r="AD33" i="1"/>
  <c r="AB34" i="1"/>
  <c r="AD34" i="1"/>
  <c r="AB35" i="1"/>
  <c r="AD35" i="1"/>
  <c r="AB36" i="1"/>
  <c r="AD36" i="1"/>
  <c r="Z37" i="1"/>
  <c r="AB37" i="1"/>
  <c r="AD37" i="1"/>
  <c r="AB38" i="1"/>
  <c r="AD38" i="1"/>
  <c r="AB39" i="1"/>
  <c r="AD39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B45" i="1"/>
  <c r="AD45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D52" i="1"/>
  <c r="A53" i="1"/>
  <c r="AD53" i="1"/>
  <c r="M11" i="13"/>
  <c r="P11" i="13"/>
  <c r="V11" i="13"/>
  <c r="W11" i="13"/>
  <c r="X11" i="13"/>
  <c r="AB11" i="13"/>
  <c r="AC11" i="13"/>
  <c r="AD11" i="13"/>
  <c r="AB12" i="13"/>
  <c r="AC12" i="13"/>
  <c r="AD12" i="13"/>
  <c r="AB13" i="13"/>
  <c r="AD13" i="13"/>
  <c r="AB14" i="13"/>
  <c r="AD14" i="13"/>
  <c r="AB15" i="13"/>
  <c r="AD15" i="13"/>
  <c r="AB16" i="13"/>
  <c r="AD16" i="13"/>
  <c r="AB17" i="13"/>
  <c r="AD17" i="13"/>
  <c r="AB18" i="13"/>
  <c r="AD18" i="13"/>
  <c r="AB19" i="13"/>
  <c r="AD19" i="13"/>
  <c r="AB20" i="13"/>
  <c r="AD20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B25" i="13"/>
  <c r="AD25" i="13"/>
  <c r="AB26" i="13"/>
  <c r="AD26" i="13"/>
  <c r="AB27" i="13"/>
  <c r="AD27" i="13"/>
  <c r="V28" i="13"/>
  <c r="W28" i="13"/>
  <c r="X28" i="13"/>
  <c r="AB28" i="13"/>
  <c r="AD28" i="13"/>
  <c r="AB29" i="13"/>
  <c r="AD29" i="13"/>
  <c r="AB30" i="13"/>
  <c r="AD30" i="13"/>
  <c r="AB31" i="13"/>
  <c r="AD31" i="13"/>
  <c r="AB32" i="13"/>
  <c r="AD32" i="13"/>
  <c r="AB33" i="13"/>
  <c r="AD33" i="13"/>
  <c r="AB34" i="13"/>
  <c r="AD34" i="13"/>
  <c r="AB35" i="13"/>
  <c r="AD35" i="13"/>
  <c r="AB36" i="13"/>
  <c r="AD36" i="13"/>
  <c r="AB37" i="13"/>
  <c r="AD37" i="13"/>
  <c r="AB38" i="13"/>
  <c r="AD38" i="13"/>
  <c r="AB39" i="13"/>
  <c r="AD39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D57" i="13"/>
  <c r="A58" i="13"/>
  <c r="AD58" i="13"/>
  <c r="I11" i="11"/>
  <c r="N11" i="11"/>
  <c r="O11" i="11"/>
  <c r="W11" i="11"/>
  <c r="X11" i="11"/>
  <c r="Z11" i="11"/>
  <c r="AB11" i="11"/>
  <c r="AC11" i="11"/>
  <c r="AD11" i="11"/>
  <c r="AB12" i="11"/>
  <c r="AC12" i="11"/>
  <c r="AD12" i="11"/>
  <c r="AB13" i="11"/>
  <c r="AD13" i="11"/>
  <c r="AB14" i="11"/>
  <c r="AC14" i="11"/>
  <c r="AD14" i="11"/>
  <c r="AB15" i="11"/>
  <c r="AD15" i="11"/>
  <c r="AB16" i="11"/>
  <c r="AD16" i="11"/>
  <c r="AB17" i="11"/>
  <c r="AD17" i="11"/>
  <c r="AB18" i="11"/>
  <c r="AD18" i="11"/>
  <c r="AB19" i="11"/>
  <c r="AD19" i="11"/>
  <c r="AB20" i="11"/>
  <c r="AD20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B25" i="11"/>
  <c r="AD25" i="11"/>
  <c r="AB26" i="11"/>
  <c r="AC26" i="11"/>
  <c r="AD26" i="11"/>
  <c r="AB27" i="11"/>
  <c r="AD27" i="11"/>
  <c r="I28" i="11"/>
  <c r="W28" i="11"/>
  <c r="X28" i="11"/>
  <c r="Z28" i="11"/>
  <c r="AB28" i="11"/>
  <c r="AD28" i="11"/>
  <c r="AB29" i="11"/>
  <c r="AD29" i="11"/>
  <c r="AB30" i="11"/>
  <c r="AD30" i="11"/>
  <c r="AB31" i="11"/>
  <c r="AD31" i="11"/>
  <c r="AB32" i="11"/>
  <c r="AD32" i="11"/>
  <c r="AB33" i="11"/>
  <c r="AD33" i="11"/>
  <c r="AB34" i="11"/>
  <c r="AD34" i="11"/>
  <c r="AB35" i="11"/>
  <c r="AD35" i="11"/>
  <c r="AB36" i="11"/>
  <c r="AD36" i="11"/>
  <c r="AB37" i="11"/>
  <c r="AD37" i="11"/>
  <c r="AB38" i="11"/>
  <c r="AD38" i="11"/>
  <c r="AB39" i="11"/>
  <c r="AD39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B45" i="11"/>
  <c r="AD45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D52" i="11"/>
  <c r="A53" i="11"/>
  <c r="AD53" i="11"/>
  <c r="J11" i="5"/>
  <c r="M11" i="5"/>
  <c r="N11" i="5"/>
  <c r="U11" i="5"/>
  <c r="V11" i="5"/>
  <c r="W11" i="5"/>
  <c r="Z11" i="5"/>
  <c r="AA11" i="5"/>
  <c r="AB11" i="5"/>
  <c r="AC11" i="5"/>
  <c r="AD11" i="5"/>
  <c r="AB12" i="5"/>
  <c r="AC12" i="5"/>
  <c r="AD12" i="5"/>
  <c r="AB13" i="5"/>
  <c r="AD13" i="5"/>
  <c r="AB14" i="5"/>
  <c r="AD14" i="5"/>
  <c r="AB15" i="5"/>
  <c r="AD15" i="5"/>
  <c r="AB16" i="5"/>
  <c r="AD16" i="5"/>
  <c r="AB17" i="5"/>
  <c r="AD17" i="5"/>
  <c r="AB18" i="5"/>
  <c r="AD18" i="5"/>
  <c r="AB19" i="5"/>
  <c r="AD19" i="5"/>
  <c r="AB20" i="5"/>
  <c r="AD20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B25" i="5"/>
  <c r="AD25" i="5"/>
  <c r="AB26" i="5"/>
  <c r="AD26" i="5"/>
  <c r="AB27" i="5"/>
  <c r="AD27" i="5"/>
  <c r="M28" i="5"/>
  <c r="N28" i="5"/>
  <c r="U28" i="5"/>
  <c r="V28" i="5"/>
  <c r="W28" i="5"/>
  <c r="Z28" i="5"/>
  <c r="AA28" i="5"/>
  <c r="AB28" i="5"/>
  <c r="AD28" i="5"/>
  <c r="AB29" i="5"/>
  <c r="AD29" i="5"/>
  <c r="AB30" i="5"/>
  <c r="AD30" i="5"/>
  <c r="AB31" i="5"/>
  <c r="AD31" i="5"/>
  <c r="AB32" i="5"/>
  <c r="AD32" i="5"/>
  <c r="AB33" i="5"/>
  <c r="AD33" i="5"/>
  <c r="AB34" i="5"/>
  <c r="AD34" i="5"/>
  <c r="AB35" i="5"/>
  <c r="AD35" i="5"/>
  <c r="AB36" i="5"/>
  <c r="AD36" i="5"/>
  <c r="AB37" i="5"/>
  <c r="AD37" i="5"/>
  <c r="AB38" i="5"/>
  <c r="AD38" i="5"/>
  <c r="AB39" i="5"/>
  <c r="AD39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B45" i="5"/>
  <c r="AD45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D52" i="5"/>
  <c r="A53" i="5"/>
  <c r="AD53" i="5"/>
  <c r="N11" i="9"/>
  <c r="S11" i="9"/>
  <c r="T11" i="9"/>
  <c r="V11" i="9"/>
  <c r="AB11" i="9"/>
  <c r="AC11" i="9"/>
  <c r="AD11" i="9"/>
  <c r="AB12" i="9"/>
  <c r="AC12" i="9"/>
  <c r="AD12" i="9"/>
  <c r="AB13" i="9"/>
  <c r="AD13" i="9"/>
  <c r="AB14" i="9"/>
  <c r="AC14" i="9"/>
  <c r="AD14" i="9"/>
  <c r="AB15" i="9"/>
  <c r="AD15" i="9"/>
  <c r="AB16" i="9"/>
  <c r="AD16" i="9"/>
  <c r="AB17" i="9"/>
  <c r="AD17" i="9"/>
  <c r="AB18" i="9"/>
  <c r="AD18" i="9"/>
  <c r="T19" i="9"/>
  <c r="AB19" i="9"/>
  <c r="AD19" i="9"/>
  <c r="AB20" i="9"/>
  <c r="AD20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B25" i="9"/>
  <c r="AD25" i="9"/>
  <c r="AB26" i="9"/>
  <c r="AC26" i="9"/>
  <c r="AD26" i="9"/>
  <c r="AB27" i="9"/>
  <c r="AD27" i="9"/>
  <c r="N28" i="9"/>
  <c r="S28" i="9"/>
  <c r="T28" i="9"/>
  <c r="V28" i="9"/>
  <c r="X28" i="9"/>
  <c r="AB28" i="9"/>
  <c r="AD28" i="9"/>
  <c r="AB29" i="9"/>
  <c r="AD29" i="9"/>
  <c r="AB30" i="9"/>
  <c r="AD30" i="9"/>
  <c r="AB31" i="9"/>
  <c r="AD31" i="9"/>
  <c r="AB32" i="9"/>
  <c r="AD32" i="9"/>
  <c r="AB33" i="9"/>
  <c r="AD33" i="9"/>
  <c r="AB34" i="9"/>
  <c r="AD34" i="9"/>
  <c r="AB35" i="9"/>
  <c r="AD35" i="9"/>
  <c r="AB36" i="9"/>
  <c r="AD36" i="9"/>
  <c r="AB37" i="9"/>
  <c r="AD37" i="9"/>
  <c r="AB38" i="9"/>
  <c r="AD38" i="9"/>
  <c r="AB39" i="9"/>
  <c r="AD39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B45" i="9"/>
  <c r="AD45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D52" i="9"/>
  <c r="A53" i="9"/>
  <c r="AD53" i="9"/>
  <c r="AB11" i="21"/>
  <c r="AC11" i="21"/>
  <c r="AD11" i="21"/>
  <c r="AB12" i="21"/>
  <c r="AD12" i="21"/>
  <c r="AB13" i="21"/>
  <c r="AD13" i="21"/>
  <c r="AB14" i="21"/>
  <c r="AD14" i="21"/>
  <c r="AB15" i="21"/>
  <c r="AD15" i="21"/>
  <c r="AB16" i="21"/>
  <c r="AD16" i="21"/>
  <c r="AB17" i="21"/>
  <c r="AD17" i="21"/>
  <c r="AB18" i="21"/>
  <c r="AD18" i="21"/>
  <c r="AB19" i="21"/>
  <c r="AD19" i="21"/>
  <c r="AB20" i="21"/>
  <c r="AD20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S25" i="21"/>
  <c r="AB25" i="21"/>
  <c r="AC25" i="21"/>
  <c r="AD25" i="21"/>
  <c r="AB26" i="21"/>
  <c r="AD26" i="21"/>
  <c r="AB27" i="21"/>
  <c r="AD27" i="21"/>
  <c r="AB28" i="21"/>
  <c r="AD28" i="21"/>
  <c r="AB29" i="21"/>
  <c r="AD29" i="21"/>
  <c r="AB30" i="21"/>
  <c r="AD30" i="21"/>
  <c r="AB31" i="21"/>
  <c r="AD31" i="21"/>
  <c r="AB32" i="21"/>
  <c r="AD32" i="21"/>
  <c r="AB33" i="21"/>
  <c r="AC33" i="21"/>
  <c r="AD33" i="21"/>
  <c r="AB34" i="21"/>
  <c r="AD34" i="21"/>
  <c r="AB35" i="21"/>
  <c r="AD35" i="21"/>
  <c r="AB36" i="21"/>
  <c r="AD36" i="21"/>
  <c r="AB37" i="21"/>
  <c r="AD37" i="21"/>
  <c r="AB38" i="21"/>
  <c r="AD38" i="21"/>
  <c r="AB39" i="21"/>
  <c r="AD39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D57" i="21"/>
  <c r="A58" i="21"/>
  <c r="AD58" i="21"/>
  <c r="F11" i="19"/>
  <c r="J11" i="19"/>
  <c r="N11" i="19"/>
  <c r="U11" i="19"/>
  <c r="X11" i="19"/>
  <c r="AA11" i="19"/>
  <c r="AB11" i="19"/>
  <c r="AC11" i="19"/>
  <c r="AD11" i="19"/>
  <c r="AB12" i="19"/>
  <c r="AD12" i="19"/>
  <c r="AB13" i="19"/>
  <c r="AD13" i="19"/>
  <c r="AB14" i="19"/>
  <c r="AD14" i="19"/>
  <c r="AB15" i="19"/>
  <c r="AD15" i="19"/>
  <c r="AB16" i="19"/>
  <c r="AD16" i="19"/>
  <c r="AB17" i="19"/>
  <c r="AD17" i="19"/>
  <c r="AB18" i="19"/>
  <c r="AD18" i="19"/>
  <c r="AB19" i="19"/>
  <c r="AD19" i="19"/>
  <c r="AB20" i="19"/>
  <c r="AD20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B25" i="19"/>
  <c r="AD25" i="19"/>
  <c r="AB26" i="19"/>
  <c r="AC26" i="19"/>
  <c r="AD26" i="19"/>
  <c r="AB27" i="19"/>
  <c r="AD27" i="19"/>
  <c r="J28" i="19"/>
  <c r="U28" i="19"/>
  <c r="AA28" i="19"/>
  <c r="AB28" i="19"/>
  <c r="AD28" i="19"/>
  <c r="AB29" i="19"/>
  <c r="AD29" i="19"/>
  <c r="F30" i="19"/>
  <c r="AB30" i="19"/>
  <c r="AD30" i="19"/>
  <c r="AB31" i="19"/>
  <c r="AD31" i="19"/>
  <c r="AB32" i="19"/>
  <c r="AD32" i="19"/>
  <c r="AB33" i="19"/>
  <c r="AC33" i="19"/>
  <c r="AD33" i="19"/>
  <c r="AB34" i="19"/>
  <c r="AD34" i="19"/>
  <c r="AB35" i="19"/>
  <c r="AD35" i="19"/>
  <c r="AB36" i="19"/>
  <c r="AD36" i="19"/>
  <c r="AB37" i="19"/>
  <c r="AD37" i="19"/>
  <c r="AB38" i="19"/>
  <c r="AD38" i="19"/>
  <c r="AB39" i="19"/>
  <c r="AD39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D57" i="19"/>
  <c r="A58" i="19"/>
  <c r="AD58" i="19"/>
  <c r="X11" i="17"/>
  <c r="AB11" i="17"/>
  <c r="AC11" i="17"/>
  <c r="AD11" i="17"/>
  <c r="AB12" i="17"/>
  <c r="AC12" i="17"/>
  <c r="AD12" i="17"/>
  <c r="AB13" i="17"/>
  <c r="AD13" i="17"/>
  <c r="AB14" i="17"/>
  <c r="AD14" i="17"/>
  <c r="AB15" i="17"/>
  <c r="AD15" i="17"/>
  <c r="AB16" i="17"/>
  <c r="AD16" i="17"/>
  <c r="AB17" i="17"/>
  <c r="AD17" i="17"/>
  <c r="AB18" i="17"/>
  <c r="AD18" i="17"/>
  <c r="AB19" i="17"/>
  <c r="AD19" i="17"/>
  <c r="AB20" i="17"/>
  <c r="AD20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B25" i="17"/>
  <c r="AD25" i="17"/>
  <c r="AB26" i="17"/>
  <c r="AC26" i="17"/>
  <c r="AD26" i="17"/>
  <c r="AB27" i="17"/>
  <c r="AD27" i="17"/>
  <c r="X28" i="17"/>
  <c r="AB28" i="17"/>
  <c r="AD28" i="17"/>
  <c r="AB29" i="17"/>
  <c r="AD29" i="17"/>
  <c r="AB30" i="17"/>
  <c r="AD30" i="17"/>
  <c r="AB31" i="17"/>
  <c r="AD31" i="17"/>
  <c r="AB32" i="17"/>
  <c r="AD32" i="17"/>
  <c r="AB33" i="17"/>
  <c r="AD33" i="17"/>
  <c r="AB34" i="17"/>
  <c r="AD34" i="17"/>
  <c r="AB35" i="17"/>
  <c r="AD35" i="17"/>
  <c r="AB36" i="17"/>
  <c r="AD36" i="17"/>
  <c r="AB37" i="17"/>
  <c r="AD37" i="17"/>
  <c r="AB38" i="17"/>
  <c r="AD38" i="17"/>
  <c r="AB39" i="17"/>
  <c r="AD39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D57" i="17"/>
  <c r="A58" i="17"/>
  <c r="AD58" i="17"/>
  <c r="A2" i="16"/>
  <c r="A3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D7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B11" i="16"/>
  <c r="AC11" i="16"/>
  <c r="AD11" i="16"/>
  <c r="AB12" i="16"/>
  <c r="AD12" i="16"/>
  <c r="AB13" i="16"/>
  <c r="AD13" i="16"/>
  <c r="AB14" i="16"/>
  <c r="AD14" i="16"/>
  <c r="AB15" i="16"/>
  <c r="AD15" i="16"/>
  <c r="AB16" i="16"/>
  <c r="AD16" i="16"/>
  <c r="AB17" i="16"/>
  <c r="AD17" i="16"/>
  <c r="AB18" i="16"/>
  <c r="AD18" i="16"/>
  <c r="AB19" i="16"/>
  <c r="AD19" i="16"/>
  <c r="AB20" i="16"/>
  <c r="AD20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B25" i="16"/>
  <c r="AD25" i="16"/>
  <c r="AB26" i="16"/>
  <c r="AD26" i="16"/>
  <c r="AB27" i="16"/>
  <c r="AD27" i="16"/>
  <c r="AB28" i="16"/>
  <c r="AD28" i="16"/>
  <c r="AB29" i="16"/>
  <c r="AD29" i="16"/>
  <c r="AB30" i="16"/>
  <c r="AD30" i="16"/>
  <c r="AB31" i="16"/>
  <c r="AC31" i="16"/>
  <c r="AD31" i="16"/>
  <c r="AB32" i="16"/>
  <c r="AD32" i="16"/>
  <c r="AB33" i="16"/>
  <c r="AD33" i="16"/>
  <c r="AB34" i="16"/>
  <c r="AD34" i="16"/>
  <c r="AB35" i="16"/>
  <c r="AD35" i="16"/>
  <c r="AB36" i="16"/>
  <c r="AD36" i="16"/>
  <c r="AB37" i="16"/>
  <c r="AD37" i="16"/>
  <c r="AB38" i="16"/>
  <c r="AD38" i="16"/>
  <c r="AB39" i="16"/>
  <c r="AD39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C52" i="16"/>
  <c r="AD52" i="16"/>
  <c r="AD57" i="16"/>
  <c r="A58" i="16"/>
  <c r="AD58" i="16"/>
  <c r="A2" i="24"/>
  <c r="A3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D7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B11" i="24"/>
  <c r="AD11" i="24"/>
  <c r="AB12" i="24"/>
  <c r="AD12" i="24"/>
  <c r="AB13" i="24"/>
  <c r="AD13" i="24"/>
  <c r="AB14" i="24"/>
  <c r="AD14" i="24"/>
  <c r="AB15" i="24"/>
  <c r="AD15" i="24"/>
  <c r="AB16" i="24"/>
  <c r="AD16" i="24"/>
  <c r="AB17" i="24"/>
  <c r="AD17" i="24"/>
  <c r="AB18" i="24"/>
  <c r="AD18" i="24"/>
  <c r="AB19" i="24"/>
  <c r="AD19" i="24"/>
  <c r="AB20" i="24"/>
  <c r="AD20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B25" i="24"/>
  <c r="AD25" i="24"/>
  <c r="AB26" i="24"/>
  <c r="AD26" i="24"/>
  <c r="AB27" i="24"/>
  <c r="AD27" i="24"/>
  <c r="AB28" i="24"/>
  <c r="AD28" i="24"/>
  <c r="AB29" i="24"/>
  <c r="AD29" i="24"/>
  <c r="AB30" i="24"/>
  <c r="AD30" i="24"/>
  <c r="AB31" i="24"/>
  <c r="AD31" i="24"/>
  <c r="AB32" i="24"/>
  <c r="AD32" i="24"/>
  <c r="AB33" i="24"/>
  <c r="AD33" i="24"/>
  <c r="AB34" i="24"/>
  <c r="AD34" i="24"/>
  <c r="AB35" i="24"/>
  <c r="AD35" i="24"/>
  <c r="AB36" i="24"/>
  <c r="AD36" i="24"/>
  <c r="AB37" i="24"/>
  <c r="AD37" i="24"/>
  <c r="AB38" i="24"/>
  <c r="AD38" i="24"/>
  <c r="AB39" i="24"/>
  <c r="AD39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AC52" i="24"/>
  <c r="AD52" i="24"/>
  <c r="AD57" i="24"/>
  <c r="A58" i="24"/>
  <c r="AD58" i="24"/>
  <c r="A2" i="14"/>
  <c r="A3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D7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B11" i="14"/>
  <c r="AC11" i="14"/>
  <c r="AD11" i="14"/>
  <c r="AB12" i="14"/>
  <c r="AD12" i="14"/>
  <c r="AB13" i="14"/>
  <c r="AD13" i="14"/>
  <c r="AB14" i="14"/>
  <c r="AD14" i="14"/>
  <c r="AB15" i="14"/>
  <c r="AD15" i="14"/>
  <c r="AB16" i="14"/>
  <c r="AD16" i="14"/>
  <c r="AB17" i="14"/>
  <c r="AD17" i="14"/>
  <c r="AB18" i="14"/>
  <c r="AD18" i="14"/>
  <c r="AB19" i="14"/>
  <c r="AD19" i="14"/>
  <c r="AB20" i="14"/>
  <c r="AD20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B25" i="14"/>
  <c r="AD25" i="14"/>
  <c r="AB26" i="14"/>
  <c r="AD26" i="14"/>
  <c r="AB27" i="14"/>
  <c r="AD27" i="14"/>
  <c r="AB28" i="14"/>
  <c r="AD28" i="14"/>
  <c r="AB29" i="14"/>
  <c r="AD29" i="14"/>
  <c r="AB30" i="14"/>
  <c r="AC30" i="14"/>
  <c r="AD30" i="14"/>
  <c r="AB31" i="14"/>
  <c r="AC31" i="14"/>
  <c r="AD31" i="14"/>
  <c r="AB32" i="14"/>
  <c r="AD32" i="14"/>
  <c r="AB33" i="14"/>
  <c r="AD33" i="14"/>
  <c r="AB34" i="14"/>
  <c r="AD34" i="14"/>
  <c r="AB35" i="14"/>
  <c r="AD35" i="14"/>
  <c r="AB36" i="14"/>
  <c r="AD36" i="14"/>
  <c r="AB37" i="14"/>
  <c r="AC37" i="14"/>
  <c r="AD37" i="14"/>
  <c r="AB38" i="14"/>
  <c r="AD38" i="14"/>
  <c r="AB39" i="14"/>
  <c r="AD39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C52" i="14"/>
  <c r="AD52" i="14"/>
  <c r="AD57" i="14"/>
  <c r="A58" i="14"/>
  <c r="AD58" i="14"/>
  <c r="A2" i="22"/>
  <c r="A3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D7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B11" i="22"/>
  <c r="AD11" i="22"/>
  <c r="AB12" i="22"/>
  <c r="AD12" i="22"/>
  <c r="AB13" i="22"/>
  <c r="AD13" i="22"/>
  <c r="AB14" i="22"/>
  <c r="AD14" i="22"/>
  <c r="AB15" i="22"/>
  <c r="AD15" i="22"/>
  <c r="AB16" i="22"/>
  <c r="AD16" i="22"/>
  <c r="AB17" i="22"/>
  <c r="AD17" i="22"/>
  <c r="AB18" i="22"/>
  <c r="AD18" i="22"/>
  <c r="AB19" i="22"/>
  <c r="AD19" i="22"/>
  <c r="AB20" i="22"/>
  <c r="AD20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B25" i="22"/>
  <c r="AD25" i="22"/>
  <c r="AB26" i="22"/>
  <c r="AD26" i="22"/>
  <c r="AB27" i="22"/>
  <c r="AD27" i="22"/>
  <c r="AB28" i="22"/>
  <c r="AD28" i="22"/>
  <c r="AB29" i="22"/>
  <c r="AD29" i="22"/>
  <c r="AB30" i="22"/>
  <c r="AD30" i="22"/>
  <c r="AB31" i="22"/>
  <c r="AC31" i="22"/>
  <c r="AD31" i="22"/>
  <c r="AB32" i="22"/>
  <c r="AD32" i="22"/>
  <c r="AB33" i="22"/>
  <c r="AC33" i="22"/>
  <c r="AD33" i="22"/>
  <c r="AB34" i="22"/>
  <c r="AD34" i="22"/>
  <c r="AB35" i="22"/>
  <c r="AD35" i="22"/>
  <c r="AB36" i="22"/>
  <c r="AC36" i="22"/>
  <c r="AD36" i="22"/>
  <c r="AB37" i="22"/>
  <c r="AD37" i="22"/>
  <c r="AB38" i="22"/>
  <c r="AD38" i="22"/>
  <c r="AB39" i="22"/>
  <c r="AD39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AD48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AD50" i="22"/>
  <c r="AC52" i="22"/>
  <c r="AD52" i="22"/>
  <c r="AD57" i="22"/>
  <c r="A58" i="22"/>
  <c r="AD58" i="22"/>
  <c r="A2" i="20"/>
  <c r="A3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D7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B11" i="20"/>
  <c r="AC11" i="20"/>
  <c r="AD11" i="20"/>
  <c r="AB12" i="20"/>
  <c r="AD12" i="20"/>
  <c r="AB13" i="20"/>
  <c r="AD13" i="20"/>
  <c r="AB14" i="20"/>
  <c r="AD14" i="20"/>
  <c r="AB15" i="20"/>
  <c r="AD15" i="20"/>
  <c r="AB16" i="20"/>
  <c r="AD16" i="20"/>
  <c r="AB17" i="20"/>
  <c r="AD17" i="20"/>
  <c r="AB18" i="20"/>
  <c r="AD18" i="20"/>
  <c r="AB19" i="20"/>
  <c r="AD19" i="20"/>
  <c r="AB20" i="20"/>
  <c r="AD20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B25" i="20"/>
  <c r="AD25" i="20"/>
  <c r="AB26" i="20"/>
  <c r="AC26" i="20"/>
  <c r="AD26" i="20"/>
  <c r="AB27" i="20"/>
  <c r="AD27" i="20"/>
  <c r="AB28" i="20"/>
  <c r="AD28" i="20"/>
  <c r="AB29" i="20"/>
  <c r="AD29" i="20"/>
  <c r="AB30" i="20"/>
  <c r="AC30" i="20"/>
  <c r="AD30" i="20"/>
  <c r="AB31" i="20"/>
  <c r="AC31" i="20"/>
  <c r="AD31" i="20"/>
  <c r="AB32" i="20"/>
  <c r="AD32" i="20"/>
  <c r="AB33" i="20"/>
  <c r="AC33" i="20"/>
  <c r="AD33" i="20"/>
  <c r="AB34" i="20"/>
  <c r="AC34" i="20"/>
  <c r="AD34" i="20"/>
  <c r="AB35" i="20"/>
  <c r="AD35" i="20"/>
  <c r="AB36" i="20"/>
  <c r="AD36" i="20"/>
  <c r="AB37" i="20"/>
  <c r="AD37" i="20"/>
  <c r="AB38" i="20"/>
  <c r="AD38" i="20"/>
  <c r="AB39" i="20"/>
  <c r="AD39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AB48" i="20"/>
  <c r="AC48" i="20"/>
  <c r="AD48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C52" i="20"/>
  <c r="AD52" i="20"/>
  <c r="AD57" i="20"/>
  <c r="A58" i="20"/>
  <c r="AD58" i="20"/>
  <c r="A2" i="18"/>
  <c r="A3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D7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B11" i="18"/>
  <c r="AC11" i="18"/>
  <c r="AD11" i="18"/>
  <c r="AB12" i="18"/>
  <c r="AD12" i="18"/>
  <c r="AB13" i="18"/>
  <c r="AD13" i="18"/>
  <c r="AB14" i="18"/>
  <c r="AD14" i="18"/>
  <c r="AB15" i="18"/>
  <c r="AD15" i="18"/>
  <c r="AB16" i="18"/>
  <c r="AD16" i="18"/>
  <c r="AB17" i="18"/>
  <c r="AD17" i="18"/>
  <c r="AB18" i="18"/>
  <c r="AD18" i="18"/>
  <c r="AB19" i="18"/>
  <c r="AD19" i="18"/>
  <c r="AB20" i="18"/>
  <c r="AD20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B25" i="18"/>
  <c r="AD25" i="18"/>
  <c r="AB26" i="18"/>
  <c r="AC26" i="18"/>
  <c r="AD26" i="18"/>
  <c r="AB27" i="18"/>
  <c r="AD27" i="18"/>
  <c r="AB28" i="18"/>
  <c r="AD28" i="18"/>
  <c r="AB29" i="18"/>
  <c r="AD29" i="18"/>
  <c r="AB30" i="18"/>
  <c r="AD30" i="18"/>
  <c r="AB31" i="18"/>
  <c r="AD31" i="18"/>
  <c r="AB32" i="18"/>
  <c r="AD32" i="18"/>
  <c r="AB33" i="18"/>
  <c r="AD33" i="18"/>
  <c r="AB34" i="18"/>
  <c r="AD34" i="18"/>
  <c r="AB35" i="18"/>
  <c r="AD35" i="18"/>
  <c r="AB36" i="18"/>
  <c r="AD36" i="18"/>
  <c r="AB37" i="18"/>
  <c r="AD37" i="18"/>
  <c r="AB38" i="18"/>
  <c r="AD38" i="18"/>
  <c r="AB39" i="18"/>
  <c r="AD39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C52" i="18"/>
  <c r="AD52" i="18"/>
  <c r="AD57" i="18"/>
  <c r="A58" i="18"/>
  <c r="AD58" i="18"/>
  <c r="A2" i="8"/>
  <c r="A3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D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B11" i="8"/>
  <c r="AC11" i="8"/>
  <c r="AD11" i="8"/>
  <c r="AB12" i="8"/>
  <c r="AD12" i="8"/>
  <c r="AB13" i="8"/>
  <c r="AD13" i="8"/>
  <c r="AB14" i="8"/>
  <c r="AD14" i="8"/>
  <c r="AB15" i="8"/>
  <c r="AD15" i="8"/>
  <c r="AB16" i="8"/>
  <c r="AD16" i="8"/>
  <c r="AB17" i="8"/>
  <c r="AD17" i="8"/>
  <c r="AB18" i="8"/>
  <c r="AD18" i="8"/>
  <c r="AB19" i="8"/>
  <c r="AD19" i="8"/>
  <c r="AB20" i="8"/>
  <c r="AD20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B25" i="8"/>
  <c r="AD25" i="8"/>
  <c r="AB26" i="8"/>
  <c r="AD26" i="8"/>
  <c r="AB27" i="8"/>
  <c r="AD27" i="8"/>
  <c r="AB28" i="8"/>
  <c r="AD28" i="8"/>
  <c r="AB29" i="8"/>
  <c r="AD29" i="8"/>
  <c r="AB30" i="8"/>
  <c r="AD30" i="8"/>
  <c r="AB31" i="8"/>
  <c r="AD31" i="8"/>
  <c r="AB32" i="8"/>
  <c r="AD32" i="8"/>
  <c r="AB33" i="8"/>
  <c r="AD33" i="8"/>
  <c r="AB34" i="8"/>
  <c r="AD34" i="8"/>
  <c r="AB35" i="8"/>
  <c r="AD35" i="8"/>
  <c r="AB36" i="8"/>
  <c r="AD36" i="8"/>
  <c r="AB37" i="8"/>
  <c r="AD37" i="8"/>
  <c r="AB38" i="8"/>
  <c r="AD38" i="8"/>
  <c r="AB39" i="8"/>
  <c r="AD39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B45" i="8"/>
  <c r="AD45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D52" i="8"/>
  <c r="A53" i="8"/>
  <c r="AD53" i="8"/>
  <c r="A2" i="4"/>
  <c r="A3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D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B11" i="4"/>
  <c r="AC11" i="4"/>
  <c r="AD11" i="4"/>
  <c r="AB12" i="4"/>
  <c r="AD12" i="4"/>
  <c r="AB13" i="4"/>
  <c r="AD13" i="4"/>
  <c r="AB14" i="4"/>
  <c r="AD14" i="4"/>
  <c r="AB15" i="4"/>
  <c r="AD15" i="4"/>
  <c r="AB16" i="4"/>
  <c r="AD16" i="4"/>
  <c r="AB17" i="4"/>
  <c r="AD17" i="4"/>
  <c r="AB18" i="4"/>
  <c r="AD18" i="4"/>
  <c r="AB19" i="4"/>
  <c r="AD19" i="4"/>
  <c r="AB20" i="4"/>
  <c r="AD20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B25" i="4"/>
  <c r="AD25" i="4"/>
  <c r="AB26" i="4"/>
  <c r="AD26" i="4"/>
  <c r="AB27" i="4"/>
  <c r="AD27" i="4"/>
  <c r="AB28" i="4"/>
  <c r="AD28" i="4"/>
  <c r="AB29" i="4"/>
  <c r="AD29" i="4"/>
  <c r="AB30" i="4"/>
  <c r="AD30" i="4"/>
  <c r="AB31" i="4"/>
  <c r="AD31" i="4"/>
  <c r="AB32" i="4"/>
  <c r="AD32" i="4"/>
  <c r="AB33" i="4"/>
  <c r="AC33" i="4"/>
  <c r="AD33" i="4"/>
  <c r="AB34" i="4"/>
  <c r="AD34" i="4"/>
  <c r="AB35" i="4"/>
  <c r="AD35" i="4"/>
  <c r="AB36" i="4"/>
  <c r="AD36" i="4"/>
  <c r="AB37" i="4"/>
  <c r="AC37" i="4"/>
  <c r="AD37" i="4"/>
  <c r="AB38" i="4"/>
  <c r="AD38" i="4"/>
  <c r="AB39" i="4"/>
  <c r="AD39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B45" i="4"/>
  <c r="AD45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D52" i="4"/>
  <c r="A53" i="4"/>
  <c r="AD53" i="4"/>
  <c r="A2" i="2"/>
  <c r="A3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D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B11" i="2"/>
  <c r="AC11" i="2"/>
  <c r="AD11" i="2"/>
  <c r="AB12" i="2"/>
  <c r="AD12" i="2"/>
  <c r="AB13" i="2"/>
  <c r="AD13" i="2"/>
  <c r="AB14" i="2"/>
  <c r="AD14" i="2"/>
  <c r="AB15" i="2"/>
  <c r="AD15" i="2"/>
  <c r="AB16" i="2"/>
  <c r="AD16" i="2"/>
  <c r="AB17" i="2"/>
  <c r="AD17" i="2"/>
  <c r="AB18" i="2"/>
  <c r="AD18" i="2"/>
  <c r="AA19" i="2"/>
  <c r="AB19" i="2"/>
  <c r="AD19" i="2"/>
  <c r="AB20" i="2"/>
  <c r="AD20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B25" i="2"/>
  <c r="AD25" i="2"/>
  <c r="T26" i="2"/>
  <c r="AB26" i="2"/>
  <c r="AD26" i="2"/>
  <c r="AB27" i="2"/>
  <c r="AD27" i="2"/>
  <c r="AB28" i="2"/>
  <c r="AD28" i="2"/>
  <c r="AB29" i="2"/>
  <c r="AD29" i="2"/>
  <c r="AB30" i="2"/>
  <c r="AD30" i="2"/>
  <c r="AB31" i="2"/>
  <c r="AD31" i="2"/>
  <c r="AB32" i="2"/>
  <c r="AD32" i="2"/>
  <c r="AB33" i="2"/>
  <c r="AD33" i="2"/>
  <c r="AB34" i="2"/>
  <c r="AD34" i="2"/>
  <c r="AB35" i="2"/>
  <c r="AD35" i="2"/>
  <c r="AB36" i="2"/>
  <c r="AD36" i="2"/>
  <c r="AB37" i="2"/>
  <c r="AD37" i="2"/>
  <c r="AB38" i="2"/>
  <c r="AD38" i="2"/>
  <c r="AB39" i="2"/>
  <c r="AD39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B45" i="2"/>
  <c r="AD45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D52" i="2"/>
  <c r="A53" i="2"/>
  <c r="AD53" i="2"/>
  <c r="A2" i="12"/>
  <c r="A3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Q11" i="12"/>
  <c r="U11" i="12"/>
  <c r="AB11" i="12"/>
  <c r="AC11" i="12"/>
  <c r="AD11" i="12"/>
  <c r="AB12" i="12"/>
  <c r="AD12" i="12"/>
  <c r="AB13" i="12"/>
  <c r="AD13" i="12"/>
  <c r="AB14" i="12"/>
  <c r="AD14" i="12"/>
  <c r="AB15" i="12"/>
  <c r="AD15" i="12"/>
  <c r="AB16" i="12"/>
  <c r="AD16" i="12"/>
  <c r="AB17" i="12"/>
  <c r="AD17" i="12"/>
  <c r="AB18" i="12"/>
  <c r="AD18" i="12"/>
  <c r="AB19" i="12"/>
  <c r="AD19" i="12"/>
  <c r="AB20" i="12"/>
  <c r="AD20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B25" i="12"/>
  <c r="AD25" i="12"/>
  <c r="AB26" i="12"/>
  <c r="AC26" i="12"/>
  <c r="AD26" i="12"/>
  <c r="AB27" i="12"/>
  <c r="AD27" i="12"/>
  <c r="AB28" i="12"/>
  <c r="AD28" i="12"/>
  <c r="AB29" i="12"/>
  <c r="AD29" i="12"/>
  <c r="AB30" i="12"/>
  <c r="AD30" i="12"/>
  <c r="AB31" i="12"/>
  <c r="AD31" i="12"/>
  <c r="AB32" i="12"/>
  <c r="AD32" i="12"/>
  <c r="AB33" i="12"/>
  <c r="AC33" i="12"/>
  <c r="AD33" i="12"/>
  <c r="AB34" i="12"/>
  <c r="AD34" i="12"/>
  <c r="AB35" i="12"/>
  <c r="AD35" i="12"/>
  <c r="AB36" i="12"/>
  <c r="AD36" i="12"/>
  <c r="AA37" i="12"/>
  <c r="AB37" i="12"/>
  <c r="AC37" i="12"/>
  <c r="AD37" i="12"/>
  <c r="AB38" i="12"/>
  <c r="AD38" i="12"/>
  <c r="AB39" i="12"/>
  <c r="AD39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B45" i="12"/>
  <c r="AD45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D52" i="12"/>
  <c r="A53" i="12"/>
  <c r="AD53" i="12"/>
  <c r="A2" i="6"/>
  <c r="A3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D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B11" i="6"/>
  <c r="AC11" i="6"/>
  <c r="AD11" i="6"/>
  <c r="AB12" i="6"/>
  <c r="AD12" i="6"/>
  <c r="AB13" i="6"/>
  <c r="AD13" i="6"/>
  <c r="AB14" i="6"/>
  <c r="AD14" i="6"/>
  <c r="AB15" i="6"/>
  <c r="AD15" i="6"/>
  <c r="AB16" i="6"/>
  <c r="AD16" i="6"/>
  <c r="AB17" i="6"/>
  <c r="AD17" i="6"/>
  <c r="AB18" i="6"/>
  <c r="AD18" i="6"/>
  <c r="AB19" i="6"/>
  <c r="AD19" i="6"/>
  <c r="AB20" i="6"/>
  <c r="AD20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B25" i="6"/>
  <c r="AD25" i="6"/>
  <c r="AB26" i="6"/>
  <c r="AD26" i="6"/>
  <c r="AB27" i="6"/>
  <c r="AD27" i="6"/>
  <c r="AB28" i="6"/>
  <c r="AD28" i="6"/>
  <c r="AB29" i="6"/>
  <c r="AD29" i="6"/>
  <c r="AB30" i="6"/>
  <c r="AD30" i="6"/>
  <c r="AB31" i="6"/>
  <c r="AD31" i="6"/>
  <c r="AB32" i="6"/>
  <c r="AD32" i="6"/>
  <c r="AB33" i="6"/>
  <c r="AD33" i="6"/>
  <c r="AB34" i="6"/>
  <c r="AD34" i="6"/>
  <c r="AB35" i="6"/>
  <c r="AD35" i="6"/>
  <c r="AB36" i="6"/>
  <c r="AD36" i="6"/>
  <c r="AB37" i="6"/>
  <c r="AC37" i="6"/>
  <c r="AD37" i="6"/>
  <c r="AB38" i="6"/>
  <c r="AD38" i="6"/>
  <c r="AB39" i="6"/>
  <c r="AD39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B45" i="6"/>
  <c r="AD45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D52" i="6"/>
  <c r="A53" i="6"/>
  <c r="AD53" i="6"/>
  <c r="A2" i="10"/>
  <c r="A3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B11" i="10"/>
  <c r="AC11" i="10"/>
  <c r="AD11" i="10"/>
  <c r="AB12" i="10"/>
  <c r="AD12" i="10"/>
  <c r="AB13" i="10"/>
  <c r="AD13" i="10"/>
  <c r="AB14" i="10"/>
  <c r="AD14" i="10"/>
  <c r="AB15" i="10"/>
  <c r="AD15" i="10"/>
  <c r="AB16" i="10"/>
  <c r="AD16" i="10"/>
  <c r="AB17" i="10"/>
  <c r="AD17" i="10"/>
  <c r="AB18" i="10"/>
  <c r="AD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Z19" i="10"/>
  <c r="AA19" i="10"/>
  <c r="AB19" i="10"/>
  <c r="AD19" i="10"/>
  <c r="AB20" i="10"/>
  <c r="AD20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B25" i="10"/>
  <c r="AD25" i="10"/>
  <c r="AB26" i="10"/>
  <c r="AC26" i="10"/>
  <c r="AD26" i="10"/>
  <c r="AB27" i="10"/>
  <c r="AD27" i="10"/>
  <c r="AB28" i="10"/>
  <c r="AD28" i="10"/>
  <c r="AB29" i="10"/>
  <c r="AD29" i="10"/>
  <c r="AB30" i="10"/>
  <c r="AD30" i="10"/>
  <c r="AB31" i="10"/>
  <c r="AD31" i="10"/>
  <c r="AB32" i="10"/>
  <c r="AD32" i="10"/>
  <c r="AB33" i="10"/>
  <c r="AD33" i="10"/>
  <c r="AB34" i="10"/>
  <c r="AD34" i="10"/>
  <c r="F35" i="10"/>
  <c r="AB35" i="10"/>
  <c r="AD35" i="10"/>
  <c r="L36" i="10"/>
  <c r="AB36" i="10"/>
  <c r="AC36" i="10"/>
  <c r="AD36" i="10"/>
  <c r="AB37" i="10"/>
  <c r="AD37" i="10"/>
  <c r="AB38" i="10"/>
  <c r="AD38" i="10"/>
  <c r="AB39" i="10"/>
  <c r="AD39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B45" i="10"/>
  <c r="AD45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D52" i="10"/>
  <c r="A53" i="10"/>
  <c r="AD53" i="10"/>
</calcChain>
</file>

<file path=xl/sharedStrings.xml><?xml version="1.0" encoding="utf-8"?>
<sst xmlns="http://schemas.openxmlformats.org/spreadsheetml/2006/main" count="2898" uniqueCount="407">
  <si>
    <t>NORTHERN NATURAL GAS GROUP</t>
  </si>
  <si>
    <t>JANUARY, 2001 CASH FLOW - DIRECT METHOD</t>
  </si>
  <si>
    <t>(Millions of Dollars)</t>
  </si>
  <si>
    <t>B.C.</t>
  </si>
  <si>
    <t>Act</t>
  </si>
  <si>
    <t>ACT.</t>
  </si>
  <si>
    <t>Mon</t>
  </si>
  <si>
    <t>Tue</t>
  </si>
  <si>
    <t>Wed</t>
  </si>
  <si>
    <t>Thu</t>
  </si>
  <si>
    <t>Fri</t>
  </si>
  <si>
    <t>JAN.</t>
  </si>
  <si>
    <t>1/1 Thru</t>
  </si>
  <si>
    <t>1/1</t>
  </si>
  <si>
    <t>1/2</t>
  </si>
  <si>
    <t>1/3</t>
  </si>
  <si>
    <t>1/4</t>
  </si>
  <si>
    <t>1/5</t>
  </si>
  <si>
    <t>1/8</t>
  </si>
  <si>
    <t>1/9</t>
  </si>
  <si>
    <t>1/10</t>
  </si>
  <si>
    <t>1/11</t>
  </si>
  <si>
    <t>1/12</t>
  </si>
  <si>
    <t>1/15</t>
  </si>
  <si>
    <t>1/16</t>
  </si>
  <si>
    <t>1/17</t>
  </si>
  <si>
    <t>1/18</t>
  </si>
  <si>
    <t>1/19</t>
  </si>
  <si>
    <t>1/22</t>
  </si>
  <si>
    <t>1/23</t>
  </si>
  <si>
    <t>1/24</t>
  </si>
  <si>
    <t>1/25</t>
  </si>
  <si>
    <t>1/26</t>
  </si>
  <si>
    <t>1/29</t>
  </si>
  <si>
    <t>1/30</t>
  </si>
  <si>
    <t>1/31</t>
  </si>
  <si>
    <t>TOTAL</t>
  </si>
  <si>
    <t>CASH IN:</t>
  </si>
  <si>
    <t xml:space="preserve"> </t>
  </si>
  <si>
    <t>Transport / Other Revenue</t>
  </si>
  <si>
    <t>-</t>
  </si>
  <si>
    <t>Other Revenue (Condensate / Fuel Sale)</t>
  </si>
  <si>
    <t xml:space="preserve">Misc. Imbalance Cash Ins </t>
  </si>
  <si>
    <t>Partnership Distributions</t>
  </si>
  <si>
    <t xml:space="preserve">Gross Proceeds from Asset Sales </t>
  </si>
  <si>
    <t>Earnest Money on Future Asset Sales</t>
  </si>
  <si>
    <t>CAPEX Reimbursement Refund</t>
  </si>
  <si>
    <t>Kansas Ad Valorem Tax Issue</t>
  </si>
  <si>
    <t xml:space="preserve">Non-Trade Lockbox Activity </t>
  </si>
  <si>
    <t>Misc. (Florida Gas 2000 O&amp;M Allocation)</t>
  </si>
  <si>
    <t>TOTAL CASH RECEIPTS</t>
  </si>
  <si>
    <t>CASH OUT:</t>
  </si>
  <si>
    <t>TC&amp;S Expenses (858 &amp; SBA Payments Only)</t>
  </si>
  <si>
    <t>GRI Payment</t>
  </si>
  <si>
    <t>Reverse Auctions 1 &amp; 2</t>
  </si>
  <si>
    <t xml:space="preserve">Misc. Imbalance Cash Outs </t>
  </si>
  <si>
    <t>Storage Gas Purchase Costs</t>
  </si>
  <si>
    <t xml:space="preserve">Capital Expenditures </t>
  </si>
  <si>
    <t>Other Capital Expenditures</t>
  </si>
  <si>
    <t>2000 Carryover (All Accounts &amp; Accruals)</t>
  </si>
  <si>
    <t>Other Taxes (Ad Valorem / Franchise &amp; Misc.)</t>
  </si>
  <si>
    <t>Direct NNG O&amp;m</t>
  </si>
  <si>
    <t xml:space="preserve">Interest on Long Term Debt </t>
  </si>
  <si>
    <t>Mobil Annual Settlement Payment</t>
  </si>
  <si>
    <t xml:space="preserve">Other </t>
  </si>
  <si>
    <t>Miscellaneous</t>
  </si>
  <si>
    <t>TOTAL CASH DISBURSEMENTS</t>
  </si>
  <si>
    <t>NET CHECKBOOK CASH (Co. 179 &amp; 183)</t>
  </si>
  <si>
    <t>Quarterly Settlement (Intercompany)</t>
  </si>
  <si>
    <t>NET CHECKBOOK CASH IMPACT</t>
  </si>
  <si>
    <t>TRANSWESTERN PIPELINE COMPANY</t>
  </si>
  <si>
    <t>PG&amp;E Prepayment for February Production</t>
  </si>
  <si>
    <t>Fuel Sales</t>
  </si>
  <si>
    <t>Gross Proceeds from Asset Sales</t>
  </si>
  <si>
    <t>Other</t>
  </si>
  <si>
    <t>CAPEX Reimbursement (Citizens 2000 W.O. Issue)</t>
  </si>
  <si>
    <t>Non-Trade Lockbox Activity</t>
  </si>
  <si>
    <t xml:space="preserve">TC&amp;S Expenses </t>
  </si>
  <si>
    <t>GRI Payments</t>
  </si>
  <si>
    <t xml:space="preserve">Direct TW O&amp;M </t>
  </si>
  <si>
    <t>ENA Swap Settlements (Interco. Trade Item)</t>
  </si>
  <si>
    <t>NET CHECKBOOK CASH (Co. 060)</t>
  </si>
  <si>
    <t>FEBRUARY, 2001 CASH FLOW - DIRECT METHOD</t>
  </si>
  <si>
    <t>Day</t>
  </si>
  <si>
    <t>FEB.</t>
  </si>
  <si>
    <t>2/1 Thru</t>
  </si>
  <si>
    <t>0/0</t>
  </si>
  <si>
    <t>2/1</t>
  </si>
  <si>
    <t>2/2</t>
  </si>
  <si>
    <t>2/5</t>
  </si>
  <si>
    <t>2/6</t>
  </si>
  <si>
    <t>2/7</t>
  </si>
  <si>
    <t>2/8</t>
  </si>
  <si>
    <t>2/9</t>
  </si>
  <si>
    <t>2/12</t>
  </si>
  <si>
    <t>2/13</t>
  </si>
  <si>
    <t>2/14</t>
  </si>
  <si>
    <t>2/15</t>
  </si>
  <si>
    <t>2/16</t>
  </si>
  <si>
    <t>2/19</t>
  </si>
  <si>
    <t>2/20</t>
  </si>
  <si>
    <t>2/21</t>
  </si>
  <si>
    <t>2/22</t>
  </si>
  <si>
    <t>2/23</t>
  </si>
  <si>
    <t>2/26</t>
  </si>
  <si>
    <t>2/27</t>
  </si>
  <si>
    <t>2/28</t>
  </si>
  <si>
    <t>Other Revenue (Condensate / Storage Sale)</t>
  </si>
  <si>
    <t>CAPEX Reimbursement</t>
  </si>
  <si>
    <t xml:space="preserve">Direct NNG O&amp;M </t>
  </si>
  <si>
    <t>PG&amp;E Prepayment for March Production</t>
  </si>
  <si>
    <t>MARCH, 2001 CASH FLOW - DIRECT METHOD</t>
  </si>
  <si>
    <t>MARCH</t>
  </si>
  <si>
    <t>3/1 Thru</t>
  </si>
  <si>
    <t>3/1</t>
  </si>
  <si>
    <t>3/2</t>
  </si>
  <si>
    <t>3/5</t>
  </si>
  <si>
    <t>3/6</t>
  </si>
  <si>
    <t>3/7</t>
  </si>
  <si>
    <t>3/8</t>
  </si>
  <si>
    <t>3/9</t>
  </si>
  <si>
    <t>3/12</t>
  </si>
  <si>
    <t>3/13</t>
  </si>
  <si>
    <t>3/14</t>
  </si>
  <si>
    <t>3/15</t>
  </si>
  <si>
    <t>3/16</t>
  </si>
  <si>
    <t>3/19</t>
  </si>
  <si>
    <t>3/20</t>
  </si>
  <si>
    <t>3/21</t>
  </si>
  <si>
    <t>3/22</t>
  </si>
  <si>
    <t>3/23</t>
  </si>
  <si>
    <t>3/26</t>
  </si>
  <si>
    <t>3/27</t>
  </si>
  <si>
    <t>3/28</t>
  </si>
  <si>
    <t>3/29</t>
  </si>
  <si>
    <t>3/30</t>
  </si>
  <si>
    <t>Special</t>
  </si>
  <si>
    <t>Direct NNG O&amp;M</t>
  </si>
  <si>
    <t xml:space="preserve">Other   </t>
  </si>
  <si>
    <t>PG&amp;E Prepayment for April Production</t>
  </si>
  <si>
    <t>APRIL, 2001 CASH FLOW - DIRECT METHOD</t>
  </si>
  <si>
    <t>APRIL</t>
  </si>
  <si>
    <t>4/1 Thru</t>
  </si>
  <si>
    <t>4/1</t>
  </si>
  <si>
    <t>4/2</t>
  </si>
  <si>
    <t>4/3</t>
  </si>
  <si>
    <t>4/4</t>
  </si>
  <si>
    <t>4/5</t>
  </si>
  <si>
    <t>4/6</t>
  </si>
  <si>
    <t>4/9</t>
  </si>
  <si>
    <t>4/10</t>
  </si>
  <si>
    <t>4/11</t>
  </si>
  <si>
    <t>4/12</t>
  </si>
  <si>
    <t>4/13</t>
  </si>
  <si>
    <t>4/16</t>
  </si>
  <si>
    <t>4/17</t>
  </si>
  <si>
    <t>4/18</t>
  </si>
  <si>
    <t>4/19</t>
  </si>
  <si>
    <t>4/20</t>
  </si>
  <si>
    <t>4/23</t>
  </si>
  <si>
    <t>4/24</t>
  </si>
  <si>
    <t>4/25</t>
  </si>
  <si>
    <t>4/26</t>
  </si>
  <si>
    <t>4/27</t>
  </si>
  <si>
    <t>4/30</t>
  </si>
  <si>
    <t>Kimball Bankruptcy Installment</t>
  </si>
  <si>
    <t xml:space="preserve">Misc. </t>
  </si>
  <si>
    <t>PG&amp;E Prepayment for May Production</t>
  </si>
  <si>
    <t>MAY, 2001 CASH FLOW - DIRECT METHOD</t>
  </si>
  <si>
    <t>MAY</t>
  </si>
  <si>
    <t>5/1 Thru</t>
  </si>
  <si>
    <t>5/1</t>
  </si>
  <si>
    <t>5/2</t>
  </si>
  <si>
    <t>5/3</t>
  </si>
  <si>
    <t>5/4</t>
  </si>
  <si>
    <t>5/7</t>
  </si>
  <si>
    <t>5/8</t>
  </si>
  <si>
    <t>5/9</t>
  </si>
  <si>
    <t>5/10</t>
  </si>
  <si>
    <t>5/11</t>
  </si>
  <si>
    <t>5/14</t>
  </si>
  <si>
    <t>5/15</t>
  </si>
  <si>
    <t>5/16</t>
  </si>
  <si>
    <t>5/17</t>
  </si>
  <si>
    <t>5/18</t>
  </si>
  <si>
    <t>5/21</t>
  </si>
  <si>
    <t>5/22</t>
  </si>
  <si>
    <t>5/23</t>
  </si>
  <si>
    <t>5/24</t>
  </si>
  <si>
    <t>5/25</t>
  </si>
  <si>
    <t>5/28</t>
  </si>
  <si>
    <t>5/29</t>
  </si>
  <si>
    <t>5/30</t>
  </si>
  <si>
    <t>5/31</t>
  </si>
  <si>
    <t xml:space="preserve">PG&amp;E Prepayment for June Production </t>
  </si>
  <si>
    <t>Navajo ROW Settlement</t>
  </si>
  <si>
    <t>JUNE, 2001 CASH FLOW - DIRECT METHOD</t>
  </si>
  <si>
    <t>JUNE</t>
  </si>
  <si>
    <t>6/1 Thru</t>
  </si>
  <si>
    <t>6/1</t>
  </si>
  <si>
    <t>6/4</t>
  </si>
  <si>
    <t>6/5</t>
  </si>
  <si>
    <t>6/6</t>
  </si>
  <si>
    <t>6/7</t>
  </si>
  <si>
    <t>6/8</t>
  </si>
  <si>
    <t>6/11</t>
  </si>
  <si>
    <t>6/12</t>
  </si>
  <si>
    <t>6/13</t>
  </si>
  <si>
    <t>6/14</t>
  </si>
  <si>
    <t>6/15</t>
  </si>
  <si>
    <t>6/18</t>
  </si>
  <si>
    <t>6/19</t>
  </si>
  <si>
    <t>6/20</t>
  </si>
  <si>
    <t>6/21</t>
  </si>
  <si>
    <t>6/22</t>
  </si>
  <si>
    <t>6/25</t>
  </si>
  <si>
    <t>6/26</t>
  </si>
  <si>
    <t>6/27</t>
  </si>
  <si>
    <t>6/28</t>
  </si>
  <si>
    <t>6/29</t>
  </si>
  <si>
    <t xml:space="preserve">   GRI Payments</t>
  </si>
  <si>
    <t xml:space="preserve">   2000 Carryover (All Accounts &amp; Accruals)</t>
  </si>
  <si>
    <t>Carlton Refund</t>
  </si>
  <si>
    <t xml:space="preserve">PG&amp;E Prepayment for July Production </t>
  </si>
  <si>
    <t>Capacity Release Proceeds</t>
  </si>
  <si>
    <t>Capacity Release Reimbursement to PG&amp;E</t>
  </si>
  <si>
    <t>JULY, 2001 CASH FLOW - DIRECT METHOD</t>
  </si>
  <si>
    <t>JULY</t>
  </si>
  <si>
    <t>7/1 Thru</t>
  </si>
  <si>
    <t>7/2</t>
  </si>
  <si>
    <t>7/3</t>
  </si>
  <si>
    <t>7/4</t>
  </si>
  <si>
    <t>7/5</t>
  </si>
  <si>
    <t>7/6</t>
  </si>
  <si>
    <t>7/9</t>
  </si>
  <si>
    <t>7/10</t>
  </si>
  <si>
    <t>7/11</t>
  </si>
  <si>
    <t>7/12</t>
  </si>
  <si>
    <t>7/13</t>
  </si>
  <si>
    <t>7/16</t>
  </si>
  <si>
    <t>7/17</t>
  </si>
  <si>
    <t>7/18</t>
  </si>
  <si>
    <t>7/19</t>
  </si>
  <si>
    <t>7/20</t>
  </si>
  <si>
    <t>7/23</t>
  </si>
  <si>
    <t>7/24</t>
  </si>
  <si>
    <t>7/25</t>
  </si>
  <si>
    <t>7/26</t>
  </si>
  <si>
    <t>7/27</t>
  </si>
  <si>
    <t>7/30</t>
  </si>
  <si>
    <t>7/31</t>
  </si>
  <si>
    <t>PG&amp;E Prepayment for August Production</t>
  </si>
  <si>
    <t>Other Capital Expenditures (Red Rock)</t>
  </si>
  <si>
    <t>Capacity Release Reimbursement to PGE</t>
  </si>
  <si>
    <t>ETS DIRECT CASH FLOW SUMMARY</t>
  </si>
  <si>
    <t>Northern Natural Gas Group (Co. 179 &amp; 183)</t>
  </si>
  <si>
    <t>Transwestern Pipeline Company (Co. 060)</t>
  </si>
  <si>
    <t>Other ETS Companies (w/o PGE)</t>
  </si>
  <si>
    <t xml:space="preserve">TOTAL ETS DIRECT CASH FLOW </t>
  </si>
  <si>
    <t>AUGUST, 2001 CASH FLOW - DIRECT METHOD</t>
  </si>
  <si>
    <t>Line</t>
  </si>
  <si>
    <t>AUG.</t>
  </si>
  <si>
    <t>8/1 Thru</t>
  </si>
  <si>
    <t>Item #</t>
  </si>
  <si>
    <t>8/1</t>
  </si>
  <si>
    <t>8/2</t>
  </si>
  <si>
    <t>8/3</t>
  </si>
  <si>
    <t>8/6</t>
  </si>
  <si>
    <t>8/7</t>
  </si>
  <si>
    <t>8/8</t>
  </si>
  <si>
    <t>8/9</t>
  </si>
  <si>
    <t>8/10</t>
  </si>
  <si>
    <t>8/13</t>
  </si>
  <si>
    <t>8/14</t>
  </si>
  <si>
    <t>8/15</t>
  </si>
  <si>
    <t>8/16</t>
  </si>
  <si>
    <t>8/17</t>
  </si>
  <si>
    <t>8/20</t>
  </si>
  <si>
    <t>8/21</t>
  </si>
  <si>
    <t>8/22</t>
  </si>
  <si>
    <t>8/23</t>
  </si>
  <si>
    <t>8/24</t>
  </si>
  <si>
    <t>8/27</t>
  </si>
  <si>
    <t>8/28</t>
  </si>
  <si>
    <t>8/29</t>
  </si>
  <si>
    <t>8/30</t>
  </si>
  <si>
    <t>8/31</t>
  </si>
  <si>
    <t>Other Rev. (Condensate / Storage Sale)</t>
  </si>
  <si>
    <t>TC&amp;S Expenses (858 &amp; SBA Payments)</t>
  </si>
  <si>
    <t>Other Taxes (Ad Valorem / Franchise)</t>
  </si>
  <si>
    <t>PG&amp;E Prepayment for Sept. Production</t>
  </si>
  <si>
    <t>Special (Red Rock)</t>
  </si>
  <si>
    <t>SEPTEMBER, 2001 CASH FLOW - DIRECT METHOD</t>
  </si>
  <si>
    <t>SEPT.</t>
  </si>
  <si>
    <t>9/1 Thru</t>
  </si>
  <si>
    <t>9/3</t>
  </si>
  <si>
    <t>9/4</t>
  </si>
  <si>
    <t>9/5</t>
  </si>
  <si>
    <t>9/6</t>
  </si>
  <si>
    <t>9/7</t>
  </si>
  <si>
    <t>9/10</t>
  </si>
  <si>
    <t>9/11</t>
  </si>
  <si>
    <t>9/12</t>
  </si>
  <si>
    <t>9/13</t>
  </si>
  <si>
    <t>9/14</t>
  </si>
  <si>
    <t>9/17</t>
  </si>
  <si>
    <t>9/18</t>
  </si>
  <si>
    <t>9/19</t>
  </si>
  <si>
    <t>9/20</t>
  </si>
  <si>
    <t>9/21</t>
  </si>
  <si>
    <t>9/24</t>
  </si>
  <si>
    <t>9/25</t>
  </si>
  <si>
    <t>9/26</t>
  </si>
  <si>
    <t>9/27</t>
  </si>
  <si>
    <t>9/28</t>
  </si>
  <si>
    <t>GRI Payment &amp; Annual ACA Payment</t>
  </si>
  <si>
    <t>PG&amp;E Prepayment for Oct. Production</t>
  </si>
  <si>
    <t>Laguna ROW Settlement</t>
  </si>
  <si>
    <t>ENA Swap Settlement (Interco. Trade Item)</t>
  </si>
  <si>
    <t>OCTOBER, 2001 CASH FLOW - DIRECT METHOD</t>
  </si>
  <si>
    <t>OCT.</t>
  </si>
  <si>
    <t>10/1 Thru</t>
  </si>
  <si>
    <t>10/1</t>
  </si>
  <si>
    <t>10/2</t>
  </si>
  <si>
    <t>10/3</t>
  </si>
  <si>
    <t>10/4</t>
  </si>
  <si>
    <t>10/5</t>
  </si>
  <si>
    <t>10/8</t>
  </si>
  <si>
    <t>10/9</t>
  </si>
  <si>
    <t>10/10</t>
  </si>
  <si>
    <t>10/11</t>
  </si>
  <si>
    <t>10/12</t>
  </si>
  <si>
    <t>10/15</t>
  </si>
  <si>
    <t>10/16</t>
  </si>
  <si>
    <t>10/17</t>
  </si>
  <si>
    <t>10/18</t>
  </si>
  <si>
    <t>10/19</t>
  </si>
  <si>
    <t>10/22</t>
  </si>
  <si>
    <t>10/23</t>
  </si>
  <si>
    <t>10/24</t>
  </si>
  <si>
    <t>10/25</t>
  </si>
  <si>
    <t>10/26</t>
  </si>
  <si>
    <t>10/29</t>
  </si>
  <si>
    <t>10/30</t>
  </si>
  <si>
    <t>10/31</t>
  </si>
  <si>
    <t>PG&amp;E Prepayment for November Production</t>
  </si>
  <si>
    <t>Laguna ROW Settlement (Check Cut 8/31?? )</t>
  </si>
  <si>
    <t>Direct TW O&amp;M</t>
  </si>
  <si>
    <t>NOVEMBER, 2001 CASH FLOW - DIRECT METHOD</t>
  </si>
  <si>
    <t>NOV.</t>
  </si>
  <si>
    <t>11/1 Thru</t>
  </si>
  <si>
    <t>11/1</t>
  </si>
  <si>
    <t>11/2</t>
  </si>
  <si>
    <t>11/5</t>
  </si>
  <si>
    <t>11/6</t>
  </si>
  <si>
    <t>11/7</t>
  </si>
  <si>
    <t>11/8</t>
  </si>
  <si>
    <t>11/9</t>
  </si>
  <si>
    <t>11/12</t>
  </si>
  <si>
    <t>11/13</t>
  </si>
  <si>
    <t>11/14</t>
  </si>
  <si>
    <t>11/15</t>
  </si>
  <si>
    <t>11/16</t>
  </si>
  <si>
    <t>11/19</t>
  </si>
  <si>
    <t>11/20</t>
  </si>
  <si>
    <t>11/21</t>
  </si>
  <si>
    <t>11/22</t>
  </si>
  <si>
    <t>11/23</t>
  </si>
  <si>
    <t>11/26</t>
  </si>
  <si>
    <t>11/27</t>
  </si>
  <si>
    <t>11/28</t>
  </si>
  <si>
    <t>11/29</t>
  </si>
  <si>
    <t>11/30</t>
  </si>
  <si>
    <t>Preferred Stock Issued to Dynegy</t>
  </si>
  <si>
    <t>PG&amp;E Prepayment for December Production</t>
  </si>
  <si>
    <t>Short Term (364 Days) Debt Proceeds from Citibank</t>
  </si>
  <si>
    <t>New Short Term Debt Fees</t>
  </si>
  <si>
    <t>Debt Retirement ($15.45 MM Note) &amp; Fees ($1.5 MM)</t>
  </si>
  <si>
    <t>DECEMBER, 2001 CASH FLOW - DIRECT METHOD</t>
  </si>
  <si>
    <t>DEC.</t>
  </si>
  <si>
    <t>12/1 Thru</t>
  </si>
  <si>
    <t>12/3</t>
  </si>
  <si>
    <t>12/4</t>
  </si>
  <si>
    <t>12/5</t>
  </si>
  <si>
    <t>12/6</t>
  </si>
  <si>
    <t>12/7</t>
  </si>
  <si>
    <t>12/10</t>
  </si>
  <si>
    <t>12/11</t>
  </si>
  <si>
    <t>12/12</t>
  </si>
  <si>
    <t>12/13</t>
  </si>
  <si>
    <t>12/14</t>
  </si>
  <si>
    <t>12/17</t>
  </si>
  <si>
    <t>12/18</t>
  </si>
  <si>
    <t>12/19</t>
  </si>
  <si>
    <t>12/20</t>
  </si>
  <si>
    <t>12/21</t>
  </si>
  <si>
    <t>12/24</t>
  </si>
  <si>
    <t>12/25</t>
  </si>
  <si>
    <t>12/26</t>
  </si>
  <si>
    <t>12/27</t>
  </si>
  <si>
    <t>12/28</t>
  </si>
  <si>
    <t>12/31</t>
  </si>
  <si>
    <t>Partnership Distributions (Incl TBPL Def. Tax $.1)</t>
  </si>
  <si>
    <t>Cooper Inventory Issue</t>
  </si>
  <si>
    <t>Mobil Annual Settlement Payment (Accts. 1860)</t>
  </si>
  <si>
    <t>Utilicorp Settlement</t>
  </si>
  <si>
    <t>PG&amp;E Prepayment for January, 2002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</si>
</sst>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\ AM/PM_)"/>
    <numFmt numFmtId="165" formatCode="dd\-mmm\-yy_)"/>
    <numFmt numFmtId="166" formatCode="#,##0.0_);\(#,##0.0\)"/>
    <numFmt numFmtId="167" formatCode="General_)"/>
  </numFmts>
  <fonts count="31" x14ac:knownFonts="1">
    <font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b/>
      <u val="double"/>
      <sz val="10"/>
      <name val="Arial"/>
      <family val="2"/>
    </font>
    <font>
      <sz val="8"/>
      <color indexed="12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Helv"/>
    </font>
    <font>
      <sz val="10"/>
      <color indexed="10"/>
      <name val="Arial"/>
      <family val="2"/>
    </font>
    <font>
      <u/>
      <sz val="10"/>
      <color indexed="8"/>
      <name val="Arial"/>
      <family val="2"/>
    </font>
    <font>
      <u/>
      <sz val="10"/>
      <color indexed="10"/>
      <name val="Arial"/>
      <family val="2"/>
    </font>
    <font>
      <sz val="6"/>
      <name val="Arial"/>
      <family val="2"/>
    </font>
    <font>
      <b/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</font>
    <font>
      <b/>
      <u/>
      <sz val="10"/>
      <color indexed="10"/>
      <name val="Arial"/>
      <family val="2"/>
    </font>
    <font>
      <b/>
      <sz val="10"/>
      <color indexed="12"/>
      <name val="Arial"/>
    </font>
    <font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  <font>
      <sz val="10"/>
      <color indexed="16"/>
      <name val="Arial"/>
      <family val="2"/>
    </font>
    <font>
      <b/>
      <u val="double"/>
      <sz val="10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167" fontId="0" fillId="0" borderId="0"/>
  </cellStyleXfs>
  <cellXfs count="84">
    <xf numFmtId="167" fontId="0" fillId="0" borderId="0" xfId="0"/>
    <xf numFmtId="166" fontId="0" fillId="0" borderId="0" xfId="0" applyNumberFormat="1" applyProtection="1"/>
    <xf numFmtId="167" fontId="0" fillId="0" borderId="0" xfId="0" applyAlignment="1">
      <alignment horizontal="left"/>
    </xf>
    <xf numFmtId="167" fontId="2" fillId="0" borderId="0" xfId="0" applyFont="1"/>
    <xf numFmtId="167" fontId="3" fillId="0" borderId="0" xfId="0" applyFont="1"/>
    <xf numFmtId="167" fontId="3" fillId="0" borderId="0" xfId="0" applyFont="1" applyProtection="1">
      <protection locked="0"/>
    </xf>
    <xf numFmtId="167" fontId="2" fillId="0" borderId="0" xfId="0" applyFont="1" applyAlignment="1">
      <alignment horizontal="left"/>
    </xf>
    <xf numFmtId="167" fontId="4" fillId="0" borderId="0" xfId="0" applyFont="1"/>
    <xf numFmtId="166" fontId="2" fillId="0" borderId="0" xfId="0" applyNumberFormat="1" applyFont="1" applyProtection="1"/>
    <xf numFmtId="166" fontId="2" fillId="0" borderId="0" xfId="0" applyNumberFormat="1" applyFont="1" applyAlignment="1" applyProtection="1">
      <alignment horizontal="left"/>
    </xf>
    <xf numFmtId="166" fontId="5" fillId="0" borderId="0" xfId="0" applyNumberFormat="1" applyFont="1" applyProtection="1">
      <protection locked="0"/>
    </xf>
    <xf numFmtId="166" fontId="6" fillId="0" borderId="0" xfId="0" applyNumberFormat="1" applyFont="1" applyProtection="1"/>
    <xf numFmtId="167" fontId="6" fillId="0" borderId="0" xfId="0" applyFont="1"/>
    <xf numFmtId="167" fontId="5" fillId="0" borderId="0" xfId="0" applyFont="1" applyAlignment="1">
      <alignment horizontal="centerContinuous"/>
    </xf>
    <xf numFmtId="166" fontId="10" fillId="0" borderId="0" xfId="0" applyNumberFormat="1" applyFont="1" applyProtection="1">
      <protection locked="0"/>
    </xf>
    <xf numFmtId="167" fontId="9" fillId="0" borderId="0" xfId="0" applyFont="1" applyAlignment="1" applyProtection="1">
      <alignment horizontal="center"/>
      <protection locked="0"/>
    </xf>
    <xf numFmtId="167" fontId="11" fillId="0" borderId="0" xfId="0" applyFont="1" applyAlignment="1">
      <alignment horizontal="center"/>
    </xf>
    <xf numFmtId="167" fontId="5" fillId="0" borderId="0" xfId="0" applyFont="1" applyAlignment="1">
      <alignment horizontal="left"/>
    </xf>
    <xf numFmtId="167" fontId="9" fillId="0" borderId="0" xfId="0" applyFont="1" applyAlignment="1">
      <alignment horizontal="left"/>
    </xf>
    <xf numFmtId="167" fontId="5" fillId="0" borderId="0" xfId="0" applyFont="1"/>
    <xf numFmtId="167" fontId="2" fillId="0" borderId="0" xfId="0" applyFont="1" applyAlignment="1">
      <alignment horizontal="centerContinuous"/>
    </xf>
    <xf numFmtId="167" fontId="5" fillId="0" borderId="0" xfId="0" quotePrefix="1" applyFont="1" applyAlignment="1">
      <alignment horizontal="left"/>
    </xf>
    <xf numFmtId="167" fontId="9" fillId="0" borderId="0" xfId="0" quotePrefix="1" applyFont="1" applyAlignment="1">
      <alignment horizontal="left"/>
    </xf>
    <xf numFmtId="167" fontId="3" fillId="0" borderId="0" xfId="0" applyFont="1" applyAlignment="1" applyProtection="1">
      <alignment horizontal="center"/>
      <protection locked="0"/>
    </xf>
    <xf numFmtId="167" fontId="9" fillId="0" borderId="0" xfId="0" quotePrefix="1" applyFont="1" applyAlignment="1" applyProtection="1">
      <alignment horizontal="left"/>
      <protection locked="0"/>
    </xf>
    <xf numFmtId="167" fontId="8" fillId="0" borderId="0" xfId="0" quotePrefix="1" applyFont="1" applyAlignment="1" applyProtection="1">
      <alignment horizontal="left"/>
      <protection locked="0"/>
    </xf>
    <xf numFmtId="166" fontId="12" fillId="0" borderId="0" xfId="0" applyNumberFormat="1" applyFont="1" applyProtection="1">
      <protection locked="0"/>
    </xf>
    <xf numFmtId="167" fontId="13" fillId="0" borderId="0" xfId="0" applyFont="1" applyAlignment="1">
      <alignment horizontal="center"/>
    </xf>
    <xf numFmtId="167" fontId="0" fillId="0" borderId="0" xfId="0" quotePrefix="1" applyAlignment="1">
      <alignment horizontal="center"/>
    </xf>
    <xf numFmtId="166" fontId="10" fillId="0" borderId="0" xfId="0" applyNumberFormat="1" applyFont="1" applyProtection="1"/>
    <xf numFmtId="49" fontId="9" fillId="0" borderId="0" xfId="0" applyNumberFormat="1" applyFont="1" applyAlignment="1" applyProtection="1">
      <alignment horizontal="center"/>
      <protection locked="0"/>
    </xf>
    <xf numFmtId="49" fontId="9" fillId="0" borderId="0" xfId="0" quotePrefix="1" applyNumberFormat="1" applyFont="1" applyAlignment="1" applyProtection="1">
      <alignment horizontal="center"/>
      <protection locked="0"/>
    </xf>
    <xf numFmtId="167" fontId="9" fillId="0" borderId="0" xfId="0" applyFont="1" applyFill="1" applyAlignment="1">
      <alignment horizontal="left"/>
    </xf>
    <xf numFmtId="167" fontId="5" fillId="0" borderId="0" xfId="0" applyFont="1" applyFill="1"/>
    <xf numFmtId="167" fontId="2" fillId="0" borderId="0" xfId="0" applyFont="1" applyFill="1"/>
    <xf numFmtId="166" fontId="7" fillId="0" borderId="0" xfId="0" applyNumberFormat="1" applyFont="1" applyFill="1" applyProtection="1"/>
    <xf numFmtId="166" fontId="14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6" fontId="16" fillId="0" borderId="0" xfId="0" applyNumberFormat="1" applyFont="1" applyProtection="1"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164" fontId="17" fillId="0" borderId="0" xfId="0" applyNumberFormat="1" applyFont="1" applyProtection="1"/>
    <xf numFmtId="165" fontId="17" fillId="0" borderId="0" xfId="0" applyNumberFormat="1" applyFont="1" applyProtection="1"/>
    <xf numFmtId="167" fontId="18" fillId="0" borderId="0" xfId="0" applyFont="1" applyAlignment="1" applyProtection="1">
      <alignment horizontal="centerContinuous"/>
      <protection locked="0"/>
    </xf>
    <xf numFmtId="49" fontId="18" fillId="0" borderId="0" xfId="0" applyNumberFormat="1" applyFont="1" applyAlignment="1" applyProtection="1">
      <alignment horizontal="centerContinuous"/>
      <protection locked="0"/>
    </xf>
    <xf numFmtId="167" fontId="1" fillId="0" borderId="0" xfId="0" applyFont="1" applyAlignment="1">
      <alignment horizontal="centerContinuous"/>
    </xf>
    <xf numFmtId="167" fontId="0" fillId="0" borderId="0" xfId="0" applyAlignment="1">
      <alignment horizontal="centerContinuous"/>
    </xf>
    <xf numFmtId="167" fontId="9" fillId="0" borderId="0" xfId="0" quotePrefix="1" applyFont="1" applyFill="1" applyAlignment="1">
      <alignment horizontal="left"/>
    </xf>
    <xf numFmtId="49" fontId="5" fillId="0" borderId="0" xfId="0" applyNumberFormat="1" applyFont="1" applyAlignment="1" applyProtection="1">
      <alignment horizontal="centerContinuous"/>
      <protection locked="0"/>
    </xf>
    <xf numFmtId="167" fontId="19" fillId="0" borderId="0" xfId="0" applyFont="1" applyAlignment="1" applyProtection="1">
      <alignment horizontal="center"/>
      <protection locked="0"/>
    </xf>
    <xf numFmtId="167" fontId="20" fillId="0" borderId="0" xfId="0" applyFont="1" applyAlignment="1" applyProtection="1">
      <alignment horizontal="center"/>
      <protection locked="0"/>
    </xf>
    <xf numFmtId="167" fontId="21" fillId="0" borderId="0" xfId="0" applyFont="1" applyAlignment="1" applyProtection="1">
      <alignment horizontal="centerContinuous"/>
      <protection locked="0"/>
    </xf>
    <xf numFmtId="167" fontId="22" fillId="0" borderId="0" xfId="0" applyFont="1" applyAlignment="1" applyProtection="1">
      <alignment horizontal="centerContinuous"/>
      <protection locked="0"/>
    </xf>
    <xf numFmtId="49" fontId="23" fillId="0" borderId="0" xfId="0" quotePrefix="1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167" fontId="24" fillId="0" borderId="0" xfId="0" quotePrefix="1" applyFont="1" applyAlignment="1">
      <alignment horizontal="center"/>
    </xf>
    <xf numFmtId="166" fontId="5" fillId="0" borderId="0" xfId="0" applyNumberFormat="1" applyFont="1" applyAlignment="1" applyProtection="1">
      <alignment horizontal="center"/>
      <protection locked="0"/>
    </xf>
    <xf numFmtId="166" fontId="10" fillId="0" borderId="0" xfId="0" applyNumberFormat="1" applyFont="1" applyAlignment="1" applyProtection="1">
      <alignment horizontal="center"/>
      <protection locked="0"/>
    </xf>
    <xf numFmtId="49" fontId="11" fillId="0" borderId="0" xfId="0" quotePrefix="1" applyNumberFormat="1" applyFont="1" applyAlignment="1">
      <alignment horizontal="center"/>
    </xf>
    <xf numFmtId="166" fontId="14" fillId="0" borderId="0" xfId="0" applyNumberFormat="1" applyFont="1" applyFill="1" applyBorder="1" applyProtection="1">
      <protection locked="0"/>
    </xf>
    <xf numFmtId="166" fontId="16" fillId="0" borderId="0" xfId="0" applyNumberFormat="1" applyFont="1" applyFill="1" applyBorder="1" applyProtection="1">
      <protection locked="0"/>
    </xf>
    <xf numFmtId="166" fontId="25" fillId="0" borderId="0" xfId="0" applyNumberFormat="1" applyFont="1" applyProtection="1">
      <protection locked="0"/>
    </xf>
    <xf numFmtId="167" fontId="9" fillId="0" borderId="0" xfId="0" quotePrefix="1" applyFont="1" applyAlignment="1" applyProtection="1">
      <alignment horizontal="center"/>
      <protection locked="0"/>
    </xf>
    <xf numFmtId="166" fontId="26" fillId="0" borderId="0" xfId="0" applyNumberFormat="1" applyFont="1" applyProtection="1">
      <protection locked="0"/>
    </xf>
    <xf numFmtId="167" fontId="24" fillId="0" borderId="0" xfId="0" applyFont="1" applyAlignment="1">
      <alignment horizontal="center"/>
    </xf>
    <xf numFmtId="167" fontId="5" fillId="0" borderId="0" xfId="0" quotePrefix="1" applyFont="1" applyAlignment="1">
      <alignment horizontal="fill"/>
    </xf>
    <xf numFmtId="167" fontId="27" fillId="0" borderId="0" xfId="0" applyFont="1" applyAlignment="1">
      <alignment horizontal="left"/>
    </xf>
    <xf numFmtId="166" fontId="27" fillId="0" borderId="0" xfId="0" applyNumberFormat="1" applyFont="1" applyProtection="1">
      <protection locked="0"/>
    </xf>
    <xf numFmtId="166" fontId="28" fillId="0" borderId="0" xfId="0" applyNumberFormat="1" applyFont="1" applyProtection="1">
      <protection locked="0"/>
    </xf>
    <xf numFmtId="167" fontId="9" fillId="2" borderId="0" xfId="0" applyFont="1" applyFill="1" applyAlignment="1">
      <alignment horizontal="left"/>
    </xf>
    <xf numFmtId="167" fontId="9" fillId="2" borderId="0" xfId="0" quotePrefix="1" applyFont="1" applyFill="1" applyAlignment="1">
      <alignment horizontal="left"/>
    </xf>
    <xf numFmtId="167" fontId="2" fillId="2" borderId="0" xfId="0" applyFont="1" applyFill="1"/>
    <xf numFmtId="166" fontId="10" fillId="2" borderId="0" xfId="0" applyNumberFormat="1" applyFont="1" applyFill="1" applyAlignment="1" applyProtection="1">
      <alignment horizontal="center"/>
      <protection locked="0"/>
    </xf>
    <xf numFmtId="166" fontId="10" fillId="2" borderId="0" xfId="0" applyNumberFormat="1" applyFont="1" applyFill="1" applyProtection="1">
      <protection locked="0"/>
    </xf>
    <xf numFmtId="166" fontId="15" fillId="2" borderId="0" xfId="0" applyNumberFormat="1" applyFont="1" applyFill="1" applyProtection="1">
      <protection locked="0"/>
    </xf>
    <xf numFmtId="166" fontId="16" fillId="2" borderId="0" xfId="0" applyNumberFormat="1" applyFont="1" applyFill="1" applyBorder="1" applyProtection="1">
      <protection locked="0"/>
    </xf>
    <xf numFmtId="166" fontId="3" fillId="0" borderId="0" xfId="0" applyNumberFormat="1" applyFont="1" applyFill="1" applyProtection="1"/>
    <xf numFmtId="166" fontId="29" fillId="0" borderId="0" xfId="0" applyNumberFormat="1" applyFont="1" applyProtection="1"/>
    <xf numFmtId="166" fontId="23" fillId="0" borderId="0" xfId="0" applyNumberFormat="1" applyFont="1" applyProtection="1"/>
    <xf numFmtId="166" fontId="23" fillId="0" borderId="0" xfId="0" applyNumberFormat="1" applyFont="1" applyProtection="1">
      <protection locked="0"/>
    </xf>
    <xf numFmtId="166" fontId="7" fillId="0" borderId="0" xfId="0" applyNumberFormat="1" applyFont="1" applyProtection="1"/>
    <xf numFmtId="166" fontId="4" fillId="0" borderId="0" xfId="0" applyNumberFormat="1" applyFont="1" applyProtection="1"/>
    <xf numFmtId="167" fontId="9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6" fontId="30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1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 t="s">
        <v>3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3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6</v>
      </c>
      <c r="G8" s="15" t="s">
        <v>7</v>
      </c>
      <c r="H8" s="15" t="s">
        <v>8</v>
      </c>
      <c r="I8" s="15" t="s">
        <v>9</v>
      </c>
      <c r="J8" s="15" t="s">
        <v>10</v>
      </c>
      <c r="K8" s="15" t="s">
        <v>6</v>
      </c>
      <c r="L8" s="15" t="s">
        <v>7</v>
      </c>
      <c r="M8" s="15" t="s">
        <v>8</v>
      </c>
      <c r="N8" s="15" t="s">
        <v>9</v>
      </c>
      <c r="O8" s="15" t="s">
        <v>10</v>
      </c>
      <c r="P8" s="15" t="s">
        <v>6</v>
      </c>
      <c r="Q8" s="15" t="s">
        <v>7</v>
      </c>
      <c r="R8" s="15" t="s">
        <v>8</v>
      </c>
      <c r="S8" s="15" t="s">
        <v>9</v>
      </c>
      <c r="T8" s="15" t="s">
        <v>10</v>
      </c>
      <c r="U8" s="15" t="s">
        <v>6</v>
      </c>
      <c r="V8" s="15" t="s">
        <v>7</v>
      </c>
      <c r="W8" s="15" t="s">
        <v>8</v>
      </c>
      <c r="X8" s="15" t="s">
        <v>9</v>
      </c>
      <c r="Y8" s="15" t="s">
        <v>10</v>
      </c>
      <c r="Z8" s="15" t="s">
        <v>6</v>
      </c>
      <c r="AA8" s="15" t="s">
        <v>7</v>
      </c>
      <c r="AB8" s="15" t="s">
        <v>8</v>
      </c>
      <c r="AC8" s="30" t="s">
        <v>11</v>
      </c>
      <c r="AD8" s="31" t="s">
        <v>12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13</v>
      </c>
      <c r="G9" s="53" t="s">
        <v>14</v>
      </c>
      <c r="H9" s="53" t="s">
        <v>15</v>
      </c>
      <c r="I9" s="53" t="s">
        <v>16</v>
      </c>
      <c r="J9" s="53" t="s">
        <v>17</v>
      </c>
      <c r="K9" s="53" t="s">
        <v>18</v>
      </c>
      <c r="L9" s="57" t="s">
        <v>19</v>
      </c>
      <c r="M9" s="53" t="s">
        <v>20</v>
      </c>
      <c r="N9" s="53" t="s">
        <v>21</v>
      </c>
      <c r="O9" s="53" t="s">
        <v>22</v>
      </c>
      <c r="P9" s="57" t="s">
        <v>23</v>
      </c>
      <c r="Q9" s="57" t="s">
        <v>24</v>
      </c>
      <c r="R9" s="53" t="s">
        <v>25</v>
      </c>
      <c r="S9" s="53" t="s">
        <v>26</v>
      </c>
      <c r="T9" s="53" t="s">
        <v>27</v>
      </c>
      <c r="U9" s="57" t="s">
        <v>28</v>
      </c>
      <c r="V9" s="57" t="s">
        <v>29</v>
      </c>
      <c r="W9" s="53" t="s">
        <v>30</v>
      </c>
      <c r="X9" s="53" t="s">
        <v>31</v>
      </c>
      <c r="Y9" s="53" t="s">
        <v>32</v>
      </c>
      <c r="Z9" s="57" t="s">
        <v>33</v>
      </c>
      <c r="AA9" s="57" t="s">
        <v>34</v>
      </c>
      <c r="AB9" s="57" t="s">
        <v>35</v>
      </c>
      <c r="AC9" s="16" t="s">
        <v>36</v>
      </c>
      <c r="AD9" s="52" t="s">
        <v>34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0.1</v>
      </c>
      <c r="I11" s="10">
        <v>0</v>
      </c>
      <c r="J11" s="10">
        <v>0</v>
      </c>
      <c r="K11" s="10">
        <v>0.1</v>
      </c>
      <c r="L11" s="10">
        <v>0.1</v>
      </c>
      <c r="M11" s="10">
        <v>0</v>
      </c>
      <c r="N11" s="10">
        <v>2.6</v>
      </c>
      <c r="O11" s="10">
        <v>43.7</v>
      </c>
      <c r="P11" s="55" t="s">
        <v>40</v>
      </c>
      <c r="Q11" s="10">
        <v>0.5</v>
      </c>
      <c r="R11" s="10">
        <v>0.8</v>
      </c>
      <c r="S11" s="10">
        <v>0.3</v>
      </c>
      <c r="T11" s="10">
        <v>0.1</v>
      </c>
      <c r="U11" s="62">
        <f>5.2+0.4</f>
        <v>5.6000000000000005</v>
      </c>
      <c r="V11" s="10">
        <v>0.4</v>
      </c>
      <c r="W11" s="10">
        <v>0.5</v>
      </c>
      <c r="X11" s="10">
        <v>0.8</v>
      </c>
      <c r="Y11" s="10">
        <v>0.2</v>
      </c>
      <c r="Z11" s="10">
        <v>0</v>
      </c>
      <c r="AA11" s="10">
        <v>0</v>
      </c>
      <c r="AB11" s="26">
        <f>AC11-SUM(F11:AA11)</f>
        <v>0.5</v>
      </c>
      <c r="AC11" s="60">
        <f>54+2.3</f>
        <v>56.3</v>
      </c>
      <c r="AD11" s="36">
        <f>SUM(F11:AA11)</f>
        <v>55.8</v>
      </c>
      <c r="AE11" s="3"/>
    </row>
    <row r="12" spans="1:31" ht="15" customHeight="1" x14ac:dyDescent="0.2">
      <c r="A12" s="19"/>
      <c r="B12" s="21"/>
      <c r="C12" s="21" t="s">
        <v>41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55" t="s">
        <v>40</v>
      </c>
      <c r="Q12" s="10">
        <v>0</v>
      </c>
      <c r="R12" s="10">
        <v>0</v>
      </c>
      <c r="S12" s="10">
        <v>0</v>
      </c>
      <c r="T12" s="10">
        <v>0</v>
      </c>
      <c r="U12" s="10">
        <v>0.9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>AC12-SUM(F12:AA12)</f>
        <v>0</v>
      </c>
      <c r="AC12" s="10">
        <v>0.9</v>
      </c>
      <c r="AD12" s="36">
        <f t="shared" ref="AD12:AD20" si="0">SUM(F12:AA12)</f>
        <v>0.9</v>
      </c>
      <c r="AE12" s="3"/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10">
        <v>0.2</v>
      </c>
      <c r="H13" s="10">
        <v>0</v>
      </c>
      <c r="I13" s="10">
        <v>0.1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55" t="s">
        <v>40</v>
      </c>
      <c r="Q13" s="10">
        <v>0</v>
      </c>
      <c r="R13" s="10">
        <v>0</v>
      </c>
      <c r="S13" s="10">
        <v>0.3</v>
      </c>
      <c r="T13" s="10">
        <v>0</v>
      </c>
      <c r="U13" s="10">
        <v>18.2</v>
      </c>
      <c r="V13" s="10">
        <v>0.2</v>
      </c>
      <c r="W13" s="10">
        <v>0.4</v>
      </c>
      <c r="X13" s="10">
        <v>0</v>
      </c>
      <c r="Y13" s="10">
        <v>0.1</v>
      </c>
      <c r="Z13" s="10">
        <v>0</v>
      </c>
      <c r="AA13" s="10">
        <v>0</v>
      </c>
      <c r="AB13" s="26">
        <f t="shared" ref="AB13:AB20" si="1">AC13-SUM(F13:AA13)</f>
        <v>0.10000000000000142</v>
      </c>
      <c r="AC13" s="10">
        <v>19.600000000000001</v>
      </c>
      <c r="AD13" s="36">
        <f t="shared" si="0"/>
        <v>19.5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5" t="s">
        <v>40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1"/>
        <v>0</v>
      </c>
      <c r="AC14" s="10">
        <v>0</v>
      </c>
      <c r="AD14" s="36">
        <f t="shared" si="0"/>
        <v>0</v>
      </c>
      <c r="AE14" s="3"/>
    </row>
    <row r="15" spans="1:31" ht="15" customHeight="1" x14ac:dyDescent="0.2">
      <c r="A15" s="19"/>
      <c r="B15" s="21" t="s">
        <v>44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55" t="s">
        <v>40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1"/>
        <v>0</v>
      </c>
      <c r="AC15" s="10">
        <f>0.6-0.6</f>
        <v>0</v>
      </c>
      <c r="AD15" s="36">
        <f t="shared" si="0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55" t="s">
        <v>40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f>0</f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1"/>
        <v>0</v>
      </c>
      <c r="AC16" s="10">
        <v>0</v>
      </c>
      <c r="AD16" s="36">
        <f t="shared" si="0"/>
        <v>0</v>
      </c>
      <c r="AE16" s="3"/>
    </row>
    <row r="17" spans="1:31" ht="15" customHeight="1" x14ac:dyDescent="0.2">
      <c r="A17" s="19"/>
      <c r="B17" s="21" t="s">
        <v>46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55" t="s">
        <v>40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1"/>
        <v>0</v>
      </c>
      <c r="AC17" s="10">
        <v>0</v>
      </c>
      <c r="AD17" s="36">
        <f t="shared" si="0"/>
        <v>0</v>
      </c>
      <c r="AE17" s="3"/>
    </row>
    <row r="18" spans="1:31" ht="15" customHeight="1" x14ac:dyDescent="0.2">
      <c r="A18" s="19"/>
      <c r="B18" s="65" t="s">
        <v>47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66">
        <v>1.1000000000000001</v>
      </c>
      <c r="N18" s="66">
        <v>7.5</v>
      </c>
      <c r="O18" s="10">
        <v>0</v>
      </c>
      <c r="P18" s="55" t="s">
        <v>40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1"/>
        <v>0</v>
      </c>
      <c r="AC18" s="66">
        <v>8.6</v>
      </c>
      <c r="AD18" s="36">
        <f t="shared" si="0"/>
        <v>8.6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0.1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55" t="s">
        <v>40</v>
      </c>
      <c r="Q19" s="10">
        <v>0.1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0.1</v>
      </c>
      <c r="AA19" s="10">
        <v>0</v>
      </c>
      <c r="AB19" s="26">
        <f t="shared" si="1"/>
        <v>0</v>
      </c>
      <c r="AC19" s="10">
        <v>0.3</v>
      </c>
      <c r="AD19" s="36">
        <f t="shared" si="0"/>
        <v>0.30000000000000004</v>
      </c>
      <c r="AE19" s="3"/>
    </row>
    <row r="20" spans="1:31" ht="15" customHeight="1" x14ac:dyDescent="0.2">
      <c r="A20" s="19"/>
      <c r="B20" s="21" t="s">
        <v>49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56" t="s">
        <v>40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1"/>
        <v>0.6</v>
      </c>
      <c r="AC20" s="14">
        <v>0.6</v>
      </c>
      <c r="AD20" s="38">
        <f t="shared" si="0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P22" si="2">SUM(F11:F20)</f>
        <v>0</v>
      </c>
      <c r="G22" s="11">
        <f>SUM(G11:G20)</f>
        <v>0.2</v>
      </c>
      <c r="H22" s="11">
        <f t="shared" si="2"/>
        <v>0.1</v>
      </c>
      <c r="I22" s="11">
        <f t="shared" si="2"/>
        <v>0.2</v>
      </c>
      <c r="J22" s="11">
        <f t="shared" si="2"/>
        <v>0</v>
      </c>
      <c r="K22" s="11">
        <f t="shared" si="2"/>
        <v>0.1</v>
      </c>
      <c r="L22" s="11">
        <f t="shared" si="2"/>
        <v>0.1</v>
      </c>
      <c r="M22" s="11">
        <f t="shared" si="2"/>
        <v>1.1000000000000001</v>
      </c>
      <c r="N22" s="11">
        <f t="shared" si="2"/>
        <v>10.1</v>
      </c>
      <c r="O22" s="11">
        <f t="shared" si="2"/>
        <v>43.7</v>
      </c>
      <c r="P22" s="11">
        <f t="shared" si="2"/>
        <v>0</v>
      </c>
      <c r="Q22" s="11">
        <f>SUM(Q11:Q20)</f>
        <v>0.6</v>
      </c>
      <c r="R22" s="11">
        <f>SUM(R11:R20)</f>
        <v>0.8</v>
      </c>
      <c r="S22" s="11">
        <f t="shared" ref="S22:AD22" si="3">SUM(S11:S20)</f>
        <v>0.6</v>
      </c>
      <c r="T22" s="11">
        <f t="shared" si="3"/>
        <v>0.1</v>
      </c>
      <c r="U22" s="11">
        <f t="shared" si="3"/>
        <v>24.7</v>
      </c>
      <c r="V22" s="11">
        <f t="shared" si="3"/>
        <v>0.60000000000000009</v>
      </c>
      <c r="W22" s="11">
        <f t="shared" si="3"/>
        <v>0.9</v>
      </c>
      <c r="X22" s="11">
        <f t="shared" si="3"/>
        <v>0.8</v>
      </c>
      <c r="Y22" s="11">
        <f t="shared" si="3"/>
        <v>0.30000000000000004</v>
      </c>
      <c r="Z22" s="11">
        <f t="shared" si="3"/>
        <v>0.1</v>
      </c>
      <c r="AA22" s="11">
        <f t="shared" si="3"/>
        <v>0</v>
      </c>
      <c r="AB22" s="11">
        <f t="shared" si="3"/>
        <v>1.2000000000000015</v>
      </c>
      <c r="AC22" s="11">
        <f t="shared" si="3"/>
        <v>86.299999999999983</v>
      </c>
      <c r="AD22" s="11">
        <f t="shared" si="3"/>
        <v>85.09999999999998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10">
        <v>0.2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55" t="s">
        <v>40</v>
      </c>
      <c r="Q25" s="10">
        <v>0</v>
      </c>
      <c r="R25" s="10">
        <v>0</v>
      </c>
      <c r="S25" s="10">
        <v>0</v>
      </c>
      <c r="T25" s="10">
        <v>0</v>
      </c>
      <c r="U25" s="10">
        <v>2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2.2000000000000002</v>
      </c>
      <c r="AD25" s="36">
        <f t="shared" ref="AD25:AD39" si="5">SUM(F25:AA25)</f>
        <v>2.2000000000000002</v>
      </c>
      <c r="AE25" s="3"/>
    </row>
    <row r="26" spans="1:31" ht="15" customHeight="1" x14ac:dyDescent="0.2">
      <c r="A26" s="19"/>
      <c r="B26" s="64"/>
      <c r="C26" s="21" t="s">
        <v>53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55" t="s">
        <v>40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0.8</v>
      </c>
      <c r="AC26" s="10">
        <v>0.8</v>
      </c>
      <c r="AD26" s="36">
        <f t="shared" si="5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55" t="s">
        <v>40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36">
        <f t="shared" si="5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10">
        <v>0.1</v>
      </c>
      <c r="J28" s="10">
        <v>0.2</v>
      </c>
      <c r="K28" s="10">
        <v>0</v>
      </c>
      <c r="L28" s="10">
        <v>0.2</v>
      </c>
      <c r="M28" s="10">
        <v>0</v>
      </c>
      <c r="N28" s="10">
        <v>0</v>
      </c>
      <c r="O28" s="10">
        <v>0</v>
      </c>
      <c r="P28" s="55" t="s">
        <v>40</v>
      </c>
      <c r="Q28" s="10">
        <v>0</v>
      </c>
      <c r="R28" s="10">
        <v>0</v>
      </c>
      <c r="S28" s="10">
        <v>0</v>
      </c>
      <c r="T28" s="10">
        <v>1</v>
      </c>
      <c r="U28" s="62">
        <f>0.1+(0.4)</f>
        <v>0.5</v>
      </c>
      <c r="V28" s="10">
        <v>0.1</v>
      </c>
      <c r="W28" s="10">
        <v>0</v>
      </c>
      <c r="X28" s="10">
        <v>0</v>
      </c>
      <c r="Y28" s="10">
        <v>0.2</v>
      </c>
      <c r="Z28" s="10">
        <v>0.6</v>
      </c>
      <c r="AA28" s="10">
        <v>0</v>
      </c>
      <c r="AB28" s="26">
        <f t="shared" si="4"/>
        <v>9.9999999999999645E-2</v>
      </c>
      <c r="AC28" s="10">
        <v>3</v>
      </c>
      <c r="AD28" s="36">
        <f t="shared" si="5"/>
        <v>2.9000000000000004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55" t="s">
        <v>40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18.8</v>
      </c>
      <c r="Y29" s="10">
        <v>0</v>
      </c>
      <c r="Z29" s="10">
        <v>0</v>
      </c>
      <c r="AA29" s="10">
        <v>0</v>
      </c>
      <c r="AB29" s="26">
        <f t="shared" si="4"/>
        <v>0</v>
      </c>
      <c r="AC29" s="10">
        <v>18.8</v>
      </c>
      <c r="AD29" s="36">
        <f t="shared" si="5"/>
        <v>18.8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0.1</v>
      </c>
      <c r="M30" s="10">
        <v>0</v>
      </c>
      <c r="N30" s="10">
        <v>0.1</v>
      </c>
      <c r="O30" s="10">
        <v>0.1</v>
      </c>
      <c r="P30" s="55" t="s">
        <v>40</v>
      </c>
      <c r="Q30" s="10">
        <v>0</v>
      </c>
      <c r="R30" s="10">
        <v>0.1</v>
      </c>
      <c r="S30" s="10">
        <v>0.2</v>
      </c>
      <c r="T30" s="10">
        <v>0.1</v>
      </c>
      <c r="U30" s="10">
        <v>0</v>
      </c>
      <c r="V30" s="10">
        <v>0.1</v>
      </c>
      <c r="W30" s="10">
        <v>0.3</v>
      </c>
      <c r="X30" s="10">
        <v>0.2</v>
      </c>
      <c r="Y30" s="10">
        <v>0.2</v>
      </c>
      <c r="Z30" s="10">
        <v>0</v>
      </c>
      <c r="AA30" s="10">
        <v>0.1</v>
      </c>
      <c r="AB30" s="26">
        <f t="shared" si="4"/>
        <v>0.19999999999999996</v>
      </c>
      <c r="AC30" s="10">
        <v>1.8</v>
      </c>
      <c r="AD30" s="36">
        <f t="shared" si="5"/>
        <v>1.6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55" t="s">
        <v>40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f>0</f>
        <v>0</v>
      </c>
      <c r="AB31" s="26">
        <f t="shared" si="4"/>
        <v>0</v>
      </c>
      <c r="AC31" s="10">
        <v>0</v>
      </c>
      <c r="AD31" s="36">
        <f t="shared" si="5"/>
        <v>0</v>
      </c>
      <c r="AE31" s="3"/>
    </row>
    <row r="32" spans="1:31" ht="15" customHeight="1" x14ac:dyDescent="0.2">
      <c r="A32" s="19"/>
      <c r="B32" s="21"/>
      <c r="C32" s="21" t="s">
        <v>59</v>
      </c>
      <c r="D32" s="3"/>
      <c r="E32" s="3"/>
      <c r="F32" s="55" t="s">
        <v>40</v>
      </c>
      <c r="G32" s="10">
        <v>0.1</v>
      </c>
      <c r="H32" s="10">
        <v>0.4</v>
      </c>
      <c r="I32" s="10">
        <v>0</v>
      </c>
      <c r="J32" s="10">
        <v>0.1</v>
      </c>
      <c r="K32" s="10">
        <v>0.1</v>
      </c>
      <c r="L32" s="10">
        <v>0.1</v>
      </c>
      <c r="M32" s="10">
        <v>0.3</v>
      </c>
      <c r="N32" s="10">
        <v>0.1</v>
      </c>
      <c r="O32" s="10">
        <v>0.4</v>
      </c>
      <c r="P32" s="55" t="s">
        <v>40</v>
      </c>
      <c r="Q32" s="10">
        <v>0.1</v>
      </c>
      <c r="R32" s="10">
        <v>0.2</v>
      </c>
      <c r="S32" s="10">
        <v>0</v>
      </c>
      <c r="T32" s="10">
        <v>0</v>
      </c>
      <c r="U32" s="10">
        <v>0.1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2</v>
      </c>
      <c r="AD32" s="36">
        <f t="shared" si="5"/>
        <v>2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55" t="s">
        <v>40</v>
      </c>
      <c r="Q33" s="10">
        <v>1.3</v>
      </c>
      <c r="R33" s="10">
        <v>0</v>
      </c>
      <c r="S33" s="10">
        <v>0</v>
      </c>
      <c r="T33" s="10">
        <v>0</v>
      </c>
      <c r="U33" s="10">
        <f>0</f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4"/>
        <v>0</v>
      </c>
      <c r="AC33" s="10">
        <v>1.3</v>
      </c>
      <c r="AD33" s="36">
        <f t="shared" si="5"/>
        <v>1.3</v>
      </c>
      <c r="AE33" s="3"/>
    </row>
    <row r="34" spans="1:31" ht="15" customHeight="1" x14ac:dyDescent="0.2">
      <c r="A34" s="19"/>
      <c r="B34" s="21" t="s">
        <v>61</v>
      </c>
      <c r="C34" s="3"/>
      <c r="D34" s="3"/>
      <c r="E34" s="3"/>
      <c r="F34" s="55" t="s">
        <v>40</v>
      </c>
      <c r="G34" s="10">
        <v>0.1</v>
      </c>
      <c r="H34" s="10">
        <v>0.3</v>
      </c>
      <c r="I34" s="10">
        <v>0.1</v>
      </c>
      <c r="J34" s="10">
        <v>0.2</v>
      </c>
      <c r="K34" s="10">
        <v>0.1</v>
      </c>
      <c r="L34" s="10">
        <v>0.2</v>
      </c>
      <c r="M34" s="10">
        <v>0.2</v>
      </c>
      <c r="N34" s="10">
        <v>0.2</v>
      </c>
      <c r="O34" s="10">
        <v>1</v>
      </c>
      <c r="P34" s="55" t="s">
        <v>40</v>
      </c>
      <c r="Q34" s="10">
        <v>0.2</v>
      </c>
      <c r="R34" s="10">
        <v>0.3</v>
      </c>
      <c r="S34" s="10">
        <v>0.6</v>
      </c>
      <c r="T34" s="10">
        <v>0</v>
      </c>
      <c r="U34" s="10">
        <v>0</v>
      </c>
      <c r="V34" s="10">
        <v>0.1</v>
      </c>
      <c r="W34" s="10">
        <v>0.6</v>
      </c>
      <c r="X34" s="10">
        <v>0</v>
      </c>
      <c r="Y34" s="10">
        <v>0.1</v>
      </c>
      <c r="Z34" s="10">
        <v>0</v>
      </c>
      <c r="AA34" s="10">
        <v>0.3</v>
      </c>
      <c r="AB34" s="26">
        <f t="shared" si="4"/>
        <v>1.2000000000000002</v>
      </c>
      <c r="AC34" s="10">
        <v>5.8</v>
      </c>
      <c r="AD34" s="36">
        <f t="shared" si="5"/>
        <v>4.5999999999999996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55" t="s">
        <v>40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36">
        <f t="shared" si="5"/>
        <v>0</v>
      </c>
      <c r="AE35" s="3"/>
    </row>
    <row r="36" spans="1:31" ht="15" customHeight="1" x14ac:dyDescent="0.2">
      <c r="A36" s="19"/>
      <c r="B36" s="17" t="s">
        <v>63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55" t="s">
        <v>40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0</v>
      </c>
      <c r="AD36" s="36">
        <f t="shared" si="5"/>
        <v>0</v>
      </c>
      <c r="AE36" s="3"/>
    </row>
    <row r="37" spans="1:31" ht="15" customHeight="1" x14ac:dyDescent="0.2">
      <c r="A37" s="19"/>
      <c r="B37" s="21" t="s">
        <v>64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55" t="s">
        <v>40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f>0</f>
        <v>0</v>
      </c>
      <c r="AA37" s="10">
        <v>0</v>
      </c>
      <c r="AB37" s="26">
        <f t="shared" si="4"/>
        <v>0</v>
      </c>
      <c r="AC37" s="10">
        <v>0</v>
      </c>
      <c r="AD37" s="36">
        <f t="shared" si="5"/>
        <v>0</v>
      </c>
      <c r="AE37" s="3"/>
    </row>
    <row r="38" spans="1:31" ht="15" customHeight="1" x14ac:dyDescent="0.2">
      <c r="A38" s="19"/>
      <c r="B38" s="21" t="s">
        <v>64</v>
      </c>
      <c r="C38" s="3"/>
      <c r="D38" s="3"/>
      <c r="E38" s="3"/>
      <c r="F38" s="55" t="s">
        <v>40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55" t="s">
        <v>40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36">
        <f t="shared" si="5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56" t="s">
        <v>40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38">
        <f t="shared" si="5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P41" si="6">SUM(F25:F39)</f>
        <v>0</v>
      </c>
      <c r="G41" s="11">
        <f t="shared" si="6"/>
        <v>0.4</v>
      </c>
      <c r="H41" s="11">
        <f t="shared" si="6"/>
        <v>0.7</v>
      </c>
      <c r="I41" s="11">
        <f t="shared" si="6"/>
        <v>0.2</v>
      </c>
      <c r="J41" s="11">
        <f t="shared" si="6"/>
        <v>0.5</v>
      </c>
      <c r="K41" s="11">
        <f t="shared" si="6"/>
        <v>0.2</v>
      </c>
      <c r="L41" s="11">
        <f t="shared" si="6"/>
        <v>0.60000000000000009</v>
      </c>
      <c r="M41" s="11">
        <f t="shared" si="6"/>
        <v>0.5</v>
      </c>
      <c r="N41" s="11">
        <f t="shared" si="6"/>
        <v>0.4</v>
      </c>
      <c r="O41" s="11">
        <f t="shared" si="6"/>
        <v>1.5</v>
      </c>
      <c r="P41" s="11">
        <f t="shared" si="6"/>
        <v>0</v>
      </c>
      <c r="Q41" s="11">
        <f t="shared" ref="Q41:AD41" si="7">SUM(Q25:Q39)</f>
        <v>1.6</v>
      </c>
      <c r="R41" s="11">
        <f t="shared" si="7"/>
        <v>0.60000000000000009</v>
      </c>
      <c r="S41" s="11">
        <f t="shared" si="7"/>
        <v>0.8</v>
      </c>
      <c r="T41" s="11">
        <f t="shared" si="7"/>
        <v>1.1000000000000001</v>
      </c>
      <c r="U41" s="11">
        <f t="shared" si="7"/>
        <v>2.6</v>
      </c>
      <c r="V41" s="11">
        <f t="shared" si="7"/>
        <v>0.30000000000000004</v>
      </c>
      <c r="W41" s="11">
        <f t="shared" si="7"/>
        <v>0.89999999999999991</v>
      </c>
      <c r="X41" s="11">
        <f t="shared" si="7"/>
        <v>19</v>
      </c>
      <c r="Y41" s="11">
        <f t="shared" si="7"/>
        <v>0.5</v>
      </c>
      <c r="Z41" s="11">
        <f t="shared" si="7"/>
        <v>0.6</v>
      </c>
      <c r="AA41" s="11">
        <f t="shared" si="7"/>
        <v>0.4</v>
      </c>
      <c r="AB41" s="11">
        <f t="shared" si="7"/>
        <v>2.2999999999999998</v>
      </c>
      <c r="AC41" s="11">
        <f t="shared" si="7"/>
        <v>35.700000000000003</v>
      </c>
      <c r="AD41" s="11">
        <f t="shared" si="7"/>
        <v>33.400000000000006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P43" si="8">F22-F41</f>
        <v>0</v>
      </c>
      <c r="G43" s="35">
        <f t="shared" si="8"/>
        <v>-0.2</v>
      </c>
      <c r="H43" s="35">
        <f t="shared" si="8"/>
        <v>-0.6</v>
      </c>
      <c r="I43" s="35">
        <f t="shared" si="8"/>
        <v>0</v>
      </c>
      <c r="J43" s="35">
        <f t="shared" si="8"/>
        <v>-0.5</v>
      </c>
      <c r="K43" s="35">
        <f t="shared" si="8"/>
        <v>-0.1</v>
      </c>
      <c r="L43" s="35">
        <f t="shared" si="8"/>
        <v>-0.50000000000000011</v>
      </c>
      <c r="M43" s="35">
        <f t="shared" si="8"/>
        <v>0.60000000000000009</v>
      </c>
      <c r="N43" s="35">
        <f t="shared" si="8"/>
        <v>9.6999999999999993</v>
      </c>
      <c r="O43" s="35">
        <f t="shared" si="8"/>
        <v>42.2</v>
      </c>
      <c r="P43" s="35">
        <f t="shared" si="8"/>
        <v>0</v>
      </c>
      <c r="Q43" s="35">
        <f t="shared" ref="Q43:AD43" si="9">Q22-Q41</f>
        <v>-1</v>
      </c>
      <c r="R43" s="35">
        <f t="shared" si="9"/>
        <v>0.19999999999999996</v>
      </c>
      <c r="S43" s="35">
        <f t="shared" si="9"/>
        <v>-0.20000000000000007</v>
      </c>
      <c r="T43" s="35">
        <f t="shared" si="9"/>
        <v>-1</v>
      </c>
      <c r="U43" s="35">
        <f t="shared" si="9"/>
        <v>22.099999999999998</v>
      </c>
      <c r="V43" s="35">
        <f t="shared" si="9"/>
        <v>0.30000000000000004</v>
      </c>
      <c r="W43" s="35">
        <f t="shared" si="9"/>
        <v>0</v>
      </c>
      <c r="X43" s="35">
        <f t="shared" si="9"/>
        <v>-18.2</v>
      </c>
      <c r="Y43" s="35">
        <f t="shared" si="9"/>
        <v>-0.19999999999999996</v>
      </c>
      <c r="Z43" s="35">
        <f t="shared" si="9"/>
        <v>-0.5</v>
      </c>
      <c r="AA43" s="35">
        <f t="shared" si="9"/>
        <v>-0.4</v>
      </c>
      <c r="AB43" s="35">
        <f t="shared" si="9"/>
        <v>-1.0999999999999983</v>
      </c>
      <c r="AC43" s="35">
        <f t="shared" si="9"/>
        <v>50.59999999999998</v>
      </c>
      <c r="AD43" s="35">
        <f t="shared" si="9"/>
        <v>51.699999999999974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-0.2</v>
      </c>
      <c r="H47" s="35">
        <f t="shared" si="10"/>
        <v>-0.6</v>
      </c>
      <c r="I47" s="35">
        <f t="shared" si="10"/>
        <v>0</v>
      </c>
      <c r="J47" s="35">
        <f t="shared" si="10"/>
        <v>-0.5</v>
      </c>
      <c r="K47" s="35">
        <f t="shared" si="10"/>
        <v>-0.1</v>
      </c>
      <c r="L47" s="35">
        <f t="shared" si="10"/>
        <v>-0.50000000000000011</v>
      </c>
      <c r="M47" s="35">
        <f t="shared" si="10"/>
        <v>0.60000000000000009</v>
      </c>
      <c r="N47" s="35">
        <f t="shared" si="10"/>
        <v>9.6999999999999993</v>
      </c>
      <c r="O47" s="35">
        <f t="shared" si="10"/>
        <v>42.2</v>
      </c>
      <c r="P47" s="35">
        <f t="shared" si="10"/>
        <v>0</v>
      </c>
      <c r="Q47" s="35">
        <f t="shared" si="10"/>
        <v>-1</v>
      </c>
      <c r="R47" s="35">
        <f t="shared" si="10"/>
        <v>0.19999999999999996</v>
      </c>
      <c r="S47" s="35">
        <f t="shared" si="10"/>
        <v>-0.20000000000000007</v>
      </c>
      <c r="T47" s="35">
        <f t="shared" si="10"/>
        <v>-1</v>
      </c>
      <c r="U47" s="35">
        <f t="shared" si="10"/>
        <v>22.099999999999998</v>
      </c>
      <c r="V47" s="35">
        <f t="shared" si="10"/>
        <v>0.30000000000000004</v>
      </c>
      <c r="W47" s="35">
        <f t="shared" si="10"/>
        <v>0</v>
      </c>
      <c r="X47" s="35">
        <f t="shared" si="10"/>
        <v>-18.2</v>
      </c>
      <c r="Y47" s="35">
        <f t="shared" si="10"/>
        <v>-0.19999999999999996</v>
      </c>
      <c r="Z47" s="35">
        <f t="shared" si="10"/>
        <v>-0.5</v>
      </c>
      <c r="AA47" s="35">
        <f t="shared" si="10"/>
        <v>-0.4</v>
      </c>
      <c r="AB47" s="35">
        <f t="shared" si="10"/>
        <v>-1.0999999999999983</v>
      </c>
      <c r="AC47" s="35">
        <f t="shared" si="10"/>
        <v>50.59999999999998</v>
      </c>
      <c r="AD47" s="35">
        <f t="shared" si="10"/>
        <v>51.699999999999974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'NNG-May'!A2</f>
        <v>MAY,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'NNG-May'!A3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 t="str">
        <f>'NNG-May'!F7</f>
        <v>Act</v>
      </c>
      <c r="G7" s="48" t="str">
        <f>'NNG-May'!G7</f>
        <v>Act</v>
      </c>
      <c r="H7" s="48" t="str">
        <f>'NNG-May'!H7</f>
        <v>Act</v>
      </c>
      <c r="I7" s="48" t="str">
        <f>'NNG-May'!I7</f>
        <v>Act</v>
      </c>
      <c r="J7" s="48" t="str">
        <f>'NNG-May'!J7</f>
        <v>Act</v>
      </c>
      <c r="K7" s="48" t="str">
        <f>'NNG-May'!K7</f>
        <v>Act</v>
      </c>
      <c r="L7" s="48" t="str">
        <f>'NNG-May'!L7</f>
        <v>Act</v>
      </c>
      <c r="M7" s="48" t="str">
        <f>'NNG-May'!M7</f>
        <v>Act</v>
      </c>
      <c r="N7" s="48" t="str">
        <f>'NNG-May'!N7</f>
        <v>Act</v>
      </c>
      <c r="O7" s="48" t="str">
        <f>'NNG-May'!O7</f>
        <v>Act</v>
      </c>
      <c r="P7" s="48" t="str">
        <f>'NNG-May'!P7</f>
        <v>Act</v>
      </c>
      <c r="Q7" s="48" t="str">
        <f>'NNG-May'!Q7</f>
        <v>Act</v>
      </c>
      <c r="R7" s="48" t="str">
        <f>'NNG-May'!R7</f>
        <v>Act</v>
      </c>
      <c r="S7" s="48" t="str">
        <f>'NNG-May'!S7</f>
        <v>Act</v>
      </c>
      <c r="T7" s="48" t="str">
        <f>'NNG-May'!T7</f>
        <v>Act</v>
      </c>
      <c r="U7" s="48" t="str">
        <f>'NNG-May'!U7</f>
        <v>Act</v>
      </c>
      <c r="V7" s="48" t="str">
        <f>'NNG-May'!V7</f>
        <v>Act</v>
      </c>
      <c r="W7" s="48" t="str">
        <f>'NNG-May'!W7</f>
        <v>Act</v>
      </c>
      <c r="X7" s="48" t="str">
        <f>'NNG-May'!X7</f>
        <v>Act</v>
      </c>
      <c r="Y7" s="48" t="str">
        <f>'NNG-May'!Y7</f>
        <v>B.C.</v>
      </c>
      <c r="Z7" s="48" t="str">
        <f>'NNG-May'!Z7</f>
        <v>Act</v>
      </c>
      <c r="AA7" s="48" t="str">
        <f>'NNG-May'!AA7</f>
        <v>Act</v>
      </c>
      <c r="AB7" s="48" t="str">
        <f>'NNG-May'!AB7</f>
        <v>Act</v>
      </c>
      <c r="AC7" s="48"/>
      <c r="AD7" s="48" t="str">
        <f>'NNG-May'!AD7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'NNG-May'!F8</f>
        <v>Tue</v>
      </c>
      <c r="G8" s="48" t="str">
        <f>'NNG-May'!G8</f>
        <v>Wed</v>
      </c>
      <c r="H8" s="48" t="str">
        <f>'NNG-May'!H8</f>
        <v>Thu</v>
      </c>
      <c r="I8" s="48" t="str">
        <f>'NNG-May'!I8</f>
        <v>Fri</v>
      </c>
      <c r="J8" s="48" t="str">
        <f>'NNG-May'!J8</f>
        <v>Mon</v>
      </c>
      <c r="K8" s="48" t="str">
        <f>'NNG-May'!K8</f>
        <v>Tue</v>
      </c>
      <c r="L8" s="48" t="str">
        <f>'NNG-May'!L8</f>
        <v>Wed</v>
      </c>
      <c r="M8" s="48" t="str">
        <f>'NNG-May'!M8</f>
        <v>Thu</v>
      </c>
      <c r="N8" s="48" t="str">
        <f>'NNG-May'!N8</f>
        <v>Fri</v>
      </c>
      <c r="O8" s="48" t="str">
        <f>'NNG-May'!O8</f>
        <v>Mon</v>
      </c>
      <c r="P8" s="48" t="str">
        <f>'NNG-May'!P8</f>
        <v>Tue</v>
      </c>
      <c r="Q8" s="48" t="str">
        <f>'NNG-May'!Q8</f>
        <v>Wed</v>
      </c>
      <c r="R8" s="48" t="str">
        <f>'NNG-May'!R8</f>
        <v>Thu</v>
      </c>
      <c r="S8" s="48" t="str">
        <f>'NNG-May'!S8</f>
        <v>Fri</v>
      </c>
      <c r="T8" s="48" t="str">
        <f>'NNG-May'!T8</f>
        <v>Mon</v>
      </c>
      <c r="U8" s="48" t="str">
        <f>'NNG-May'!U8</f>
        <v>Tue</v>
      </c>
      <c r="V8" s="48" t="str">
        <f>'NNG-May'!V8</f>
        <v>Wed</v>
      </c>
      <c r="W8" s="48" t="str">
        <f>'NNG-May'!W8</f>
        <v>Thu</v>
      </c>
      <c r="X8" s="48" t="str">
        <f>'NNG-May'!X8</f>
        <v>Fri</v>
      </c>
      <c r="Y8" s="48" t="str">
        <f>'NNG-May'!Y8</f>
        <v>Mon</v>
      </c>
      <c r="Z8" s="48" t="str">
        <f>'NNG-May'!Z8</f>
        <v>Tue</v>
      </c>
      <c r="AA8" s="48" t="str">
        <f>'NNG-May'!AA8</f>
        <v>Wed</v>
      </c>
      <c r="AB8" s="48" t="str">
        <f>'NNG-May'!AB8</f>
        <v>Thu</v>
      </c>
      <c r="AC8" s="48" t="str">
        <f>'NNG-May'!AC8</f>
        <v>MAY</v>
      </c>
      <c r="AD8" s="48" t="str">
        <f>'NNG-May'!AD8</f>
        <v>5/1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'NNG-May'!F9</f>
        <v>5/1</v>
      </c>
      <c r="G9" s="49" t="str">
        <f>'NNG-May'!G9</f>
        <v>5/2</v>
      </c>
      <c r="H9" s="49" t="str">
        <f>'NNG-May'!H9</f>
        <v>5/3</v>
      </c>
      <c r="I9" s="49" t="str">
        <f>'NNG-May'!I9</f>
        <v>5/4</v>
      </c>
      <c r="J9" s="49" t="str">
        <f>'NNG-May'!J9</f>
        <v>5/7</v>
      </c>
      <c r="K9" s="49" t="str">
        <f>'NNG-May'!K9</f>
        <v>5/8</v>
      </c>
      <c r="L9" s="49" t="str">
        <f>'NNG-May'!L9</f>
        <v>5/9</v>
      </c>
      <c r="M9" s="49" t="str">
        <f>'NNG-May'!M9</f>
        <v>5/10</v>
      </c>
      <c r="N9" s="49" t="str">
        <f>'NNG-May'!N9</f>
        <v>5/11</v>
      </c>
      <c r="O9" s="49" t="str">
        <f>'NNG-May'!O9</f>
        <v>5/14</v>
      </c>
      <c r="P9" s="49" t="str">
        <f>'NNG-May'!P9</f>
        <v>5/15</v>
      </c>
      <c r="Q9" s="49" t="str">
        <f>'NNG-May'!Q9</f>
        <v>5/16</v>
      </c>
      <c r="R9" s="49" t="str">
        <f>'NNG-May'!R9</f>
        <v>5/17</v>
      </c>
      <c r="S9" s="49" t="str">
        <f>'NNG-May'!S9</f>
        <v>5/18</v>
      </c>
      <c r="T9" s="49" t="str">
        <f>'NNG-May'!T9</f>
        <v>5/21</v>
      </c>
      <c r="U9" s="49" t="str">
        <f>'NNG-May'!U9</f>
        <v>5/22</v>
      </c>
      <c r="V9" s="49" t="str">
        <f>'NNG-May'!V9</f>
        <v>5/23</v>
      </c>
      <c r="W9" s="49" t="str">
        <f>'NNG-May'!W9</f>
        <v>5/24</v>
      </c>
      <c r="X9" s="49" t="str">
        <f>'NNG-May'!X9</f>
        <v>5/25</v>
      </c>
      <c r="Y9" s="49" t="str">
        <f>'NNG-May'!Y9</f>
        <v>5/28</v>
      </c>
      <c r="Z9" s="49" t="str">
        <f>'NNG-May'!Z9</f>
        <v>5/29</v>
      </c>
      <c r="AA9" s="49" t="str">
        <f>'NNG-May'!AA9</f>
        <v>5/30</v>
      </c>
      <c r="AB9" s="49" t="str">
        <f>'NNG-May'!AB9</f>
        <v>5/31</v>
      </c>
      <c r="AC9" s="49" t="str">
        <f>'NNG-May'!AC9</f>
        <v>TOTAL</v>
      </c>
      <c r="AD9" s="49" t="str">
        <f>'NNG-May'!AD9</f>
        <v>5/30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1.5</v>
      </c>
      <c r="O11" s="10">
        <v>8.8000000000000007</v>
      </c>
      <c r="P11" s="10">
        <v>0.7</v>
      </c>
      <c r="Q11" s="10">
        <v>0.2</v>
      </c>
      <c r="R11" s="10">
        <v>0</v>
      </c>
      <c r="S11" s="10">
        <v>0.3</v>
      </c>
      <c r="T11" s="10">
        <v>0</v>
      </c>
      <c r="U11" s="10">
        <v>0.1</v>
      </c>
      <c r="V11" s="10">
        <v>0</v>
      </c>
      <c r="W11" s="10">
        <v>0.8</v>
      </c>
      <c r="X11" s="10">
        <v>0.2</v>
      </c>
      <c r="Y11" s="55" t="s">
        <v>40</v>
      </c>
      <c r="Z11" s="10">
        <v>0</v>
      </c>
      <c r="AA11" s="10">
        <v>0</v>
      </c>
      <c r="AB11" s="26">
        <f t="shared" ref="AB11:AB20" si="0">AC11-SUM(F11:AA11)</f>
        <v>9.9999999999999645E-2</v>
      </c>
      <c r="AC11" s="60">
        <f>13.5-0.8</f>
        <v>12.7</v>
      </c>
      <c r="AD11" s="36">
        <f>SUM(F11:AA11)</f>
        <v>12.6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0.1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55" t="s">
        <v>40</v>
      </c>
      <c r="Z12" s="10">
        <v>0</v>
      </c>
      <c r="AA12" s="10">
        <v>0</v>
      </c>
      <c r="AB12" s="26">
        <f t="shared" si="0"/>
        <v>0</v>
      </c>
      <c r="AC12" s="10">
        <v>0.1</v>
      </c>
      <c r="AD12" s="36">
        <f t="shared" ref="AD12:AD20" si="1">SUM(F12:AA12)</f>
        <v>0.1</v>
      </c>
      <c r="AE12" s="3"/>
    </row>
    <row r="13" spans="1:31" ht="15" customHeight="1" x14ac:dyDescent="0.2">
      <c r="A13" s="19"/>
      <c r="B13" s="21"/>
      <c r="C13" s="21" t="s">
        <v>194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1.5</v>
      </c>
      <c r="Y13" s="55" t="s">
        <v>40</v>
      </c>
      <c r="Z13" s="10">
        <v>0</v>
      </c>
      <c r="AA13" s="10">
        <v>0</v>
      </c>
      <c r="AB13" s="26">
        <f t="shared" si="0"/>
        <v>0</v>
      </c>
      <c r="AC13" s="10">
        <v>1.5</v>
      </c>
      <c r="AD13" s="36">
        <f t="shared" si="1"/>
        <v>1.5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3.4</v>
      </c>
      <c r="Y14" s="55" t="s">
        <v>40</v>
      </c>
      <c r="Z14" s="10">
        <v>0</v>
      </c>
      <c r="AA14" s="10">
        <v>0</v>
      </c>
      <c r="AB14" s="26">
        <f t="shared" si="0"/>
        <v>0</v>
      </c>
      <c r="AC14" s="10">
        <v>3.4</v>
      </c>
      <c r="AD14" s="36">
        <f t="shared" si="1"/>
        <v>3.4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55" t="s">
        <v>40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55" t="s">
        <v>40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17" t="s">
        <v>74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55" t="s">
        <v>40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55" t="s">
        <v>40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10">
        <f>0</f>
        <v>0</v>
      </c>
      <c r="G19" s="10">
        <f>0</f>
        <v>0</v>
      </c>
      <c r="H19" s="10">
        <f>0</f>
        <v>0</v>
      </c>
      <c r="I19" s="10">
        <f>0</f>
        <v>0</v>
      </c>
      <c r="J19" s="10">
        <f>0</f>
        <v>0</v>
      </c>
      <c r="K19" s="10">
        <f>0</f>
        <v>0</v>
      </c>
      <c r="L19" s="10">
        <f>0</f>
        <v>0</v>
      </c>
      <c r="M19" s="10">
        <f>0</f>
        <v>0</v>
      </c>
      <c r="N19" s="10">
        <f>0</f>
        <v>0</v>
      </c>
      <c r="O19" s="10">
        <f>0</f>
        <v>0</v>
      </c>
      <c r="P19" s="10">
        <f>0</f>
        <v>0</v>
      </c>
      <c r="Q19" s="10">
        <f>0</f>
        <v>0</v>
      </c>
      <c r="R19" s="10">
        <f>0</f>
        <v>0</v>
      </c>
      <c r="S19" s="10">
        <f>0</f>
        <v>0</v>
      </c>
      <c r="T19" s="10">
        <f>0</f>
        <v>0</v>
      </c>
      <c r="U19" s="10">
        <f>0</f>
        <v>0</v>
      </c>
      <c r="V19" s="10">
        <f>0</f>
        <v>0</v>
      </c>
      <c r="W19" s="10">
        <f>0</f>
        <v>0</v>
      </c>
      <c r="X19" s="10">
        <f>0</f>
        <v>0</v>
      </c>
      <c r="Y19" s="55" t="s">
        <v>40</v>
      </c>
      <c r="Z19" s="10">
        <f>0</f>
        <v>0</v>
      </c>
      <c r="AA19" s="10">
        <f>0</f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56" t="s">
        <v>40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1.5</v>
      </c>
      <c r="O22" s="11">
        <f t="shared" si="2"/>
        <v>8.8000000000000007</v>
      </c>
      <c r="P22" s="11">
        <f t="shared" si="2"/>
        <v>0.7</v>
      </c>
      <c r="Q22" s="11">
        <f t="shared" si="2"/>
        <v>0.2</v>
      </c>
      <c r="R22" s="11">
        <f t="shared" si="2"/>
        <v>0</v>
      </c>
      <c r="S22" s="11">
        <f t="shared" si="2"/>
        <v>0.4</v>
      </c>
      <c r="T22" s="11">
        <f t="shared" si="2"/>
        <v>0</v>
      </c>
      <c r="U22" s="11">
        <f t="shared" si="2"/>
        <v>0.1</v>
      </c>
      <c r="V22" s="11">
        <f t="shared" si="2"/>
        <v>0</v>
      </c>
      <c r="W22" s="11">
        <f t="shared" si="2"/>
        <v>0.8</v>
      </c>
      <c r="X22" s="11">
        <f t="shared" si="2"/>
        <v>5.0999999999999996</v>
      </c>
      <c r="Y22" s="11">
        <f t="shared" si="2"/>
        <v>0</v>
      </c>
      <c r="Z22" s="11">
        <f t="shared" si="2"/>
        <v>0</v>
      </c>
      <c r="AA22" s="11">
        <f t="shared" si="2"/>
        <v>0</v>
      </c>
      <c r="AB22" s="11">
        <f t="shared" si="2"/>
        <v>9.9999999999999645E-2</v>
      </c>
      <c r="AC22" s="11">
        <f t="shared" si="2"/>
        <v>17.7</v>
      </c>
      <c r="AD22" s="11">
        <f t="shared" si="2"/>
        <v>17.599999999999998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55" t="s">
        <v>40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55" t="s">
        <v>40</v>
      </c>
      <c r="Z26" s="10">
        <v>0</v>
      </c>
      <c r="AA26" s="10">
        <v>0</v>
      </c>
      <c r="AB26" s="26">
        <f t="shared" si="3"/>
        <v>0</v>
      </c>
      <c r="AC26" s="60">
        <f>0.2-0.2</f>
        <v>0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55" t="s">
        <v>40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55" t="s">
        <v>40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55" t="s">
        <v>40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10">
        <v>0.1</v>
      </c>
      <c r="G30" s="10">
        <v>0</v>
      </c>
      <c r="H30" s="10">
        <v>0.1</v>
      </c>
      <c r="I30" s="10">
        <v>0.5</v>
      </c>
      <c r="J30" s="10">
        <v>0</v>
      </c>
      <c r="K30" s="10">
        <v>0.2</v>
      </c>
      <c r="L30" s="10">
        <v>0.2</v>
      </c>
      <c r="M30" s="10">
        <v>0</v>
      </c>
      <c r="N30" s="10">
        <v>0.1</v>
      </c>
      <c r="O30" s="10">
        <v>0.5</v>
      </c>
      <c r="P30" s="10">
        <v>0</v>
      </c>
      <c r="Q30" s="10">
        <v>0.1</v>
      </c>
      <c r="R30" s="10">
        <v>0.3</v>
      </c>
      <c r="S30" s="10">
        <v>0.2</v>
      </c>
      <c r="T30" s="10">
        <v>0.1</v>
      </c>
      <c r="U30" s="10">
        <v>0</v>
      </c>
      <c r="V30" s="10">
        <v>0.1</v>
      </c>
      <c r="W30" s="10">
        <v>0</v>
      </c>
      <c r="X30" s="10">
        <v>0</v>
      </c>
      <c r="Y30" s="55" t="s">
        <v>40</v>
      </c>
      <c r="Z30" s="10">
        <v>0.1</v>
      </c>
      <c r="AA30" s="10">
        <v>0</v>
      </c>
      <c r="AB30" s="26">
        <f t="shared" si="3"/>
        <v>0</v>
      </c>
      <c r="AC30" s="10">
        <v>2.6</v>
      </c>
      <c r="AD30" s="36">
        <f t="shared" si="4"/>
        <v>2.6000000000000005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55" t="s">
        <v>40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55" t="s">
        <v>40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0.4</v>
      </c>
      <c r="I33" s="10">
        <v>0</v>
      </c>
      <c r="J33" s="10">
        <v>0</v>
      </c>
      <c r="K33" s="10">
        <v>0</v>
      </c>
      <c r="L33" s="10">
        <v>0.5</v>
      </c>
      <c r="M33" s="10">
        <v>0.2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55" t="s">
        <v>40</v>
      </c>
      <c r="Z33" s="10">
        <v>0</v>
      </c>
      <c r="AA33" s="10">
        <v>0</v>
      </c>
      <c r="AB33" s="26">
        <f t="shared" si="3"/>
        <v>0</v>
      </c>
      <c r="AC33" s="10">
        <v>1.1000000000000001</v>
      </c>
      <c r="AD33" s="36">
        <f t="shared" si="4"/>
        <v>1.1000000000000001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10">
        <v>0.1</v>
      </c>
      <c r="G34" s="10">
        <v>0</v>
      </c>
      <c r="H34" s="10">
        <v>0</v>
      </c>
      <c r="I34" s="10">
        <v>0</v>
      </c>
      <c r="J34" s="10">
        <v>0</v>
      </c>
      <c r="K34" s="10">
        <v>0.1</v>
      </c>
      <c r="L34" s="10">
        <v>0</v>
      </c>
      <c r="M34" s="10">
        <v>0</v>
      </c>
      <c r="N34" s="10">
        <v>0</v>
      </c>
      <c r="O34" s="10">
        <v>0</v>
      </c>
      <c r="P34" s="10">
        <v>0.3</v>
      </c>
      <c r="Q34" s="10">
        <v>0.1</v>
      </c>
      <c r="R34" s="10">
        <v>0</v>
      </c>
      <c r="S34" s="10">
        <v>0</v>
      </c>
      <c r="T34" s="10">
        <v>0</v>
      </c>
      <c r="U34" s="10">
        <v>0.1</v>
      </c>
      <c r="V34" s="10">
        <v>0</v>
      </c>
      <c r="W34" s="10">
        <v>0.1</v>
      </c>
      <c r="X34" s="10">
        <v>0</v>
      </c>
      <c r="Y34" s="55" t="s">
        <v>40</v>
      </c>
      <c r="Z34" s="10">
        <v>0.1</v>
      </c>
      <c r="AA34" s="10">
        <v>0.1</v>
      </c>
      <c r="AB34" s="26">
        <f t="shared" si="3"/>
        <v>0.20000000000000007</v>
      </c>
      <c r="AC34" s="10">
        <v>1.2</v>
      </c>
      <c r="AD34" s="36">
        <f t="shared" si="4"/>
        <v>0.99999999999999989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36">
        <f>0.7-0.7</f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36">
        <v>0.7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55" t="s">
        <v>40</v>
      </c>
      <c r="Z35" s="10">
        <v>0</v>
      </c>
      <c r="AA35" s="10">
        <v>0</v>
      </c>
      <c r="AB35" s="26">
        <f t="shared" si="3"/>
        <v>0</v>
      </c>
      <c r="AC35" s="10">
        <v>0.7</v>
      </c>
      <c r="AD35" s="36">
        <f t="shared" si="4"/>
        <v>0.7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6">
        <f>1.1-1.1</f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55" t="s">
        <v>40</v>
      </c>
      <c r="Z36" s="10">
        <v>0</v>
      </c>
      <c r="AA36" s="10">
        <v>0</v>
      </c>
      <c r="AB36" s="36">
        <f t="shared" si="3"/>
        <v>1.1000000000000001</v>
      </c>
      <c r="AC36" s="60">
        <f>1.1</f>
        <v>1.1000000000000001</v>
      </c>
      <c r="AD36" s="36">
        <f t="shared" si="4"/>
        <v>0</v>
      </c>
      <c r="AE36" s="3"/>
    </row>
    <row r="37" spans="1:31" ht="15" customHeight="1" x14ac:dyDescent="0.2">
      <c r="A37" s="19"/>
      <c r="B37" s="21" t="s">
        <v>195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15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55" t="s">
        <v>40</v>
      </c>
      <c r="Z37" s="10">
        <v>0</v>
      </c>
      <c r="AA37" s="10">
        <v>0</v>
      </c>
      <c r="AB37" s="26">
        <f t="shared" si="3"/>
        <v>0</v>
      </c>
      <c r="AC37" s="10">
        <v>15</v>
      </c>
      <c r="AD37" s="36">
        <f t="shared" si="4"/>
        <v>15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55" t="s">
        <v>40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56" t="s">
        <v>40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6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0.2</v>
      </c>
      <c r="G41" s="11">
        <f t="shared" si="5"/>
        <v>0</v>
      </c>
      <c r="H41" s="11">
        <f t="shared" si="5"/>
        <v>0.5</v>
      </c>
      <c r="I41" s="11">
        <f t="shared" si="5"/>
        <v>0.5</v>
      </c>
      <c r="J41" s="11">
        <f t="shared" si="5"/>
        <v>0</v>
      </c>
      <c r="K41" s="11">
        <f t="shared" si="5"/>
        <v>0.30000000000000004</v>
      </c>
      <c r="L41" s="11">
        <f t="shared" si="5"/>
        <v>0.7</v>
      </c>
      <c r="M41" s="11">
        <f t="shared" si="5"/>
        <v>0.2</v>
      </c>
      <c r="N41" s="11">
        <f t="shared" si="5"/>
        <v>0.1</v>
      </c>
      <c r="O41" s="11">
        <f t="shared" si="5"/>
        <v>0.5</v>
      </c>
      <c r="P41" s="11">
        <f t="shared" si="5"/>
        <v>1</v>
      </c>
      <c r="Q41" s="11">
        <f t="shared" si="5"/>
        <v>0.2</v>
      </c>
      <c r="R41" s="11">
        <f t="shared" si="5"/>
        <v>0.3</v>
      </c>
      <c r="S41" s="11">
        <f t="shared" si="5"/>
        <v>15.2</v>
      </c>
      <c r="T41" s="11">
        <f t="shared" si="5"/>
        <v>0.1</v>
      </c>
      <c r="U41" s="11">
        <f t="shared" si="5"/>
        <v>0.1</v>
      </c>
      <c r="V41" s="11">
        <f t="shared" si="5"/>
        <v>0.1</v>
      </c>
      <c r="W41" s="11">
        <f t="shared" si="5"/>
        <v>0.1</v>
      </c>
      <c r="X41" s="11">
        <f t="shared" si="5"/>
        <v>0</v>
      </c>
      <c r="Y41" s="11">
        <f t="shared" si="5"/>
        <v>0</v>
      </c>
      <c r="Z41" s="11">
        <f t="shared" si="5"/>
        <v>0.2</v>
      </c>
      <c r="AA41" s="11">
        <f t="shared" si="5"/>
        <v>0.1</v>
      </c>
      <c r="AB41" s="11">
        <f t="shared" si="5"/>
        <v>1.3000000000000003</v>
      </c>
      <c r="AC41" s="11">
        <f t="shared" si="5"/>
        <v>21.700000000000003</v>
      </c>
      <c r="AD41" s="11">
        <f t="shared" si="5"/>
        <v>20.399999999999999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-0.2</v>
      </c>
      <c r="G43" s="35">
        <f t="shared" si="6"/>
        <v>0</v>
      </c>
      <c r="H43" s="35">
        <f t="shared" si="6"/>
        <v>-0.5</v>
      </c>
      <c r="I43" s="35">
        <f t="shared" si="6"/>
        <v>-0.5</v>
      </c>
      <c r="J43" s="35">
        <f t="shared" si="6"/>
        <v>0</v>
      </c>
      <c r="K43" s="35">
        <f t="shared" si="6"/>
        <v>-0.30000000000000004</v>
      </c>
      <c r="L43" s="35">
        <f t="shared" si="6"/>
        <v>-0.7</v>
      </c>
      <c r="M43" s="35">
        <f t="shared" si="6"/>
        <v>-0.2</v>
      </c>
      <c r="N43" s="35">
        <f t="shared" si="6"/>
        <v>1.4</v>
      </c>
      <c r="O43" s="35">
        <f t="shared" si="6"/>
        <v>8.3000000000000007</v>
      </c>
      <c r="P43" s="35">
        <f t="shared" si="6"/>
        <v>-0.30000000000000004</v>
      </c>
      <c r="Q43" s="35">
        <f t="shared" si="6"/>
        <v>0</v>
      </c>
      <c r="R43" s="35">
        <f t="shared" si="6"/>
        <v>-0.3</v>
      </c>
      <c r="S43" s="35">
        <f t="shared" si="6"/>
        <v>-14.799999999999999</v>
      </c>
      <c r="T43" s="35">
        <f t="shared" si="6"/>
        <v>-0.1</v>
      </c>
      <c r="U43" s="35">
        <f t="shared" si="6"/>
        <v>0</v>
      </c>
      <c r="V43" s="35">
        <f t="shared" si="6"/>
        <v>-0.1</v>
      </c>
      <c r="W43" s="35">
        <f t="shared" si="6"/>
        <v>0.70000000000000007</v>
      </c>
      <c r="X43" s="35">
        <f t="shared" si="6"/>
        <v>5.0999999999999996</v>
      </c>
      <c r="Y43" s="35">
        <f t="shared" si="6"/>
        <v>0</v>
      </c>
      <c r="Z43" s="35">
        <f t="shared" si="6"/>
        <v>-0.2</v>
      </c>
      <c r="AA43" s="35">
        <f t="shared" si="6"/>
        <v>-0.1</v>
      </c>
      <c r="AB43" s="35">
        <f t="shared" si="6"/>
        <v>-1.2000000000000006</v>
      </c>
      <c r="AC43" s="35">
        <f t="shared" si="6"/>
        <v>-4.0000000000000036</v>
      </c>
      <c r="AD43" s="35">
        <f t="shared" si="6"/>
        <v>-2.8000000000000007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-0.2</v>
      </c>
      <c r="G47" s="35">
        <f t="shared" si="7"/>
        <v>0</v>
      </c>
      <c r="H47" s="35">
        <f t="shared" si="7"/>
        <v>-0.5</v>
      </c>
      <c r="I47" s="35">
        <f t="shared" si="7"/>
        <v>-0.5</v>
      </c>
      <c r="J47" s="35">
        <f t="shared" si="7"/>
        <v>0</v>
      </c>
      <c r="K47" s="35">
        <f t="shared" si="7"/>
        <v>-0.30000000000000004</v>
      </c>
      <c r="L47" s="35">
        <f t="shared" si="7"/>
        <v>-0.7</v>
      </c>
      <c r="M47" s="35">
        <f t="shared" si="7"/>
        <v>-0.2</v>
      </c>
      <c r="N47" s="35">
        <f t="shared" si="7"/>
        <v>1.4</v>
      </c>
      <c r="O47" s="35">
        <f t="shared" si="7"/>
        <v>8.3000000000000007</v>
      </c>
      <c r="P47" s="35">
        <f t="shared" si="7"/>
        <v>-0.30000000000000004</v>
      </c>
      <c r="Q47" s="35">
        <f t="shared" si="7"/>
        <v>0</v>
      </c>
      <c r="R47" s="35">
        <f t="shared" si="7"/>
        <v>-0.3</v>
      </c>
      <c r="S47" s="35">
        <f t="shared" si="7"/>
        <v>-14.799999999999999</v>
      </c>
      <c r="T47" s="35">
        <f t="shared" si="7"/>
        <v>-0.1</v>
      </c>
      <c r="U47" s="35">
        <f t="shared" si="7"/>
        <v>0</v>
      </c>
      <c r="V47" s="35">
        <f t="shared" si="7"/>
        <v>-0.1</v>
      </c>
      <c r="W47" s="35">
        <f t="shared" si="7"/>
        <v>0.70000000000000007</v>
      </c>
      <c r="X47" s="35">
        <f t="shared" si="7"/>
        <v>5.0999999999999996</v>
      </c>
      <c r="Y47" s="35">
        <f t="shared" si="7"/>
        <v>0</v>
      </c>
      <c r="Z47" s="35">
        <f t="shared" si="7"/>
        <v>-0.2</v>
      </c>
      <c r="AA47" s="35">
        <f t="shared" si="7"/>
        <v>-0.1</v>
      </c>
      <c r="AB47" s="35">
        <f t="shared" si="7"/>
        <v>-1.2000000000000006</v>
      </c>
      <c r="AC47" s="35">
        <f t="shared" si="7"/>
        <v>-4.0000000000000036</v>
      </c>
      <c r="AD47" s="35">
        <f t="shared" si="7"/>
        <v>-2.8000000000000007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196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15"/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197</v>
      </c>
      <c r="AD8" s="31" t="s">
        <v>198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86</v>
      </c>
      <c r="H9" s="57" t="s">
        <v>199</v>
      </c>
      <c r="I9" s="53" t="s">
        <v>200</v>
      </c>
      <c r="J9" s="57" t="s">
        <v>201</v>
      </c>
      <c r="K9" s="57" t="s">
        <v>202</v>
      </c>
      <c r="L9" s="57" t="s">
        <v>203</v>
      </c>
      <c r="M9" s="57" t="s">
        <v>204</v>
      </c>
      <c r="N9" s="53" t="s">
        <v>205</v>
      </c>
      <c r="O9" s="53" t="s">
        <v>206</v>
      </c>
      <c r="P9" s="57" t="s">
        <v>207</v>
      </c>
      <c r="Q9" s="57" t="s">
        <v>208</v>
      </c>
      <c r="R9" s="57" t="s">
        <v>209</v>
      </c>
      <c r="S9" s="57" t="s">
        <v>210</v>
      </c>
      <c r="T9" s="57" t="s">
        <v>211</v>
      </c>
      <c r="U9" s="57" t="s">
        <v>212</v>
      </c>
      <c r="V9" s="57" t="s">
        <v>213</v>
      </c>
      <c r="W9" s="53" t="s">
        <v>214</v>
      </c>
      <c r="X9" s="57" t="s">
        <v>215</v>
      </c>
      <c r="Y9" s="57" t="s">
        <v>216</v>
      </c>
      <c r="Z9" s="57" t="s">
        <v>217</v>
      </c>
      <c r="AA9" s="53" t="s">
        <v>218</v>
      </c>
      <c r="AB9" s="53" t="s">
        <v>219</v>
      </c>
      <c r="AC9" s="16" t="s">
        <v>36</v>
      </c>
      <c r="AD9" s="52" t="s">
        <v>218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0.1</v>
      </c>
      <c r="I11" s="62">
        <f>0+0.3</f>
        <v>0.3</v>
      </c>
      <c r="J11" s="10">
        <v>0.3</v>
      </c>
      <c r="K11" s="10">
        <v>0.3</v>
      </c>
      <c r="L11" s="10">
        <v>0.1</v>
      </c>
      <c r="M11" s="10">
        <v>0.6</v>
      </c>
      <c r="N11" s="60">
        <f>9.8+2.5</f>
        <v>12.3</v>
      </c>
      <c r="O11" s="60">
        <f>2.4+0.4</f>
        <v>2.8</v>
      </c>
      <c r="P11" s="10">
        <v>0.1</v>
      </c>
      <c r="Q11" s="10">
        <v>0.7</v>
      </c>
      <c r="R11" s="10">
        <v>0</v>
      </c>
      <c r="S11" s="10">
        <v>0</v>
      </c>
      <c r="T11" s="10">
        <v>0.7</v>
      </c>
      <c r="U11" s="10">
        <v>0.2</v>
      </c>
      <c r="V11" s="10">
        <v>0.3</v>
      </c>
      <c r="W11" s="62">
        <f>3.2+0.6</f>
        <v>3.8000000000000003</v>
      </c>
      <c r="X11" s="62">
        <f>0.7+0.2</f>
        <v>0.89999999999999991</v>
      </c>
      <c r="Y11" s="10">
        <v>0.2</v>
      </c>
      <c r="Z11" s="62">
        <f>0.1+0.1</f>
        <v>0.2</v>
      </c>
      <c r="AA11" s="10">
        <v>0.1</v>
      </c>
      <c r="AB11" s="26">
        <f t="shared" ref="AB11:AB20" si="0">AC11-SUM(F11:AA11)</f>
        <v>0.10000000000000142</v>
      </c>
      <c r="AC11" s="60">
        <f>23.5+0.6</f>
        <v>24.1</v>
      </c>
      <c r="AD11" s="58">
        <f>SUM(F11:AA11)</f>
        <v>24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10">
        <v>0.8</v>
      </c>
      <c r="I12" s="10">
        <v>0.1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5.3</v>
      </c>
      <c r="Y12" s="10">
        <v>0</v>
      </c>
      <c r="Z12" s="10">
        <v>0</v>
      </c>
      <c r="AA12" s="10">
        <v>1.5</v>
      </c>
      <c r="AB12" s="26">
        <f t="shared" si="0"/>
        <v>2.8999999999999995</v>
      </c>
      <c r="AC12" s="60">
        <f>0.1+9.2+0.8+0.5</f>
        <v>10.6</v>
      </c>
      <c r="AD12" s="58">
        <f t="shared" ref="AD12:AD20" si="1">SUM(F12:AA12)</f>
        <v>7.7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10">
        <v>0</v>
      </c>
      <c r="I13" s="10">
        <v>0.2</v>
      </c>
      <c r="J13" s="10">
        <v>0</v>
      </c>
      <c r="K13" s="10">
        <v>0</v>
      </c>
      <c r="L13" s="10">
        <v>0</v>
      </c>
      <c r="M13" s="10">
        <v>0</v>
      </c>
      <c r="N13" s="10">
        <v>0.2</v>
      </c>
      <c r="O13" s="10">
        <v>0</v>
      </c>
      <c r="P13" s="10">
        <v>0.3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2.7</v>
      </c>
      <c r="X13" s="10">
        <v>0.1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3.5</v>
      </c>
      <c r="AD13" s="58">
        <f t="shared" si="1"/>
        <v>3.5000000000000004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3</v>
      </c>
      <c r="AA14" s="10">
        <v>0</v>
      </c>
      <c r="AB14" s="26">
        <f t="shared" si="0"/>
        <v>0.79999999999999982</v>
      </c>
      <c r="AC14" s="60">
        <f>0.8+3</f>
        <v>3.8</v>
      </c>
      <c r="AD14" s="58">
        <f t="shared" si="1"/>
        <v>3</v>
      </c>
      <c r="AE14" s="3"/>
    </row>
    <row r="15" spans="1:31" ht="15" customHeight="1" x14ac:dyDescent="0.2">
      <c r="A15" s="19"/>
      <c r="B15" s="21" t="s">
        <v>44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2.7</v>
      </c>
      <c r="AB17" s="26">
        <f t="shared" si="0"/>
        <v>0</v>
      </c>
      <c r="AC17" s="10">
        <v>2.7</v>
      </c>
      <c r="AD17" s="58">
        <f t="shared" si="1"/>
        <v>2.7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0.1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0.1</v>
      </c>
      <c r="AD19" s="58">
        <f t="shared" si="1"/>
        <v>0.1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0.9</v>
      </c>
      <c r="I22" s="11">
        <f t="shared" si="2"/>
        <v>0.60000000000000009</v>
      </c>
      <c r="J22" s="11">
        <f t="shared" si="2"/>
        <v>0.3</v>
      </c>
      <c r="K22" s="11">
        <f t="shared" si="2"/>
        <v>0.3</v>
      </c>
      <c r="L22" s="11">
        <f t="shared" si="2"/>
        <v>0.1</v>
      </c>
      <c r="M22" s="11">
        <f t="shared" si="2"/>
        <v>0.6</v>
      </c>
      <c r="N22" s="11">
        <f t="shared" si="2"/>
        <v>12.6</v>
      </c>
      <c r="O22" s="11">
        <f t="shared" si="2"/>
        <v>2.8</v>
      </c>
      <c r="P22" s="11">
        <f t="shared" si="2"/>
        <v>0.4</v>
      </c>
      <c r="Q22" s="11">
        <f t="shared" si="2"/>
        <v>0.7</v>
      </c>
      <c r="R22" s="11">
        <f t="shared" si="2"/>
        <v>0</v>
      </c>
      <c r="S22" s="11">
        <f t="shared" si="2"/>
        <v>0</v>
      </c>
      <c r="T22" s="11">
        <f t="shared" si="2"/>
        <v>0.7</v>
      </c>
      <c r="U22" s="11">
        <f t="shared" si="2"/>
        <v>0.2</v>
      </c>
      <c r="V22" s="11">
        <f t="shared" si="2"/>
        <v>0.3</v>
      </c>
      <c r="W22" s="11">
        <f t="shared" si="2"/>
        <v>6.5</v>
      </c>
      <c r="X22" s="11">
        <f t="shared" si="2"/>
        <v>6.2999999999999989</v>
      </c>
      <c r="Y22" s="11">
        <f t="shared" si="2"/>
        <v>0.2</v>
      </c>
      <c r="Z22" s="11">
        <f t="shared" si="2"/>
        <v>3.2</v>
      </c>
      <c r="AA22" s="11">
        <f t="shared" si="2"/>
        <v>4.3000000000000007</v>
      </c>
      <c r="AB22" s="11">
        <f t="shared" si="2"/>
        <v>3.8000000000000007</v>
      </c>
      <c r="AC22" s="11">
        <f t="shared" si="2"/>
        <v>44.800000000000004</v>
      </c>
      <c r="AD22" s="11">
        <f t="shared" si="2"/>
        <v>41.000000000000007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10">
        <v>0.2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1.4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1.6</v>
      </c>
      <c r="AD25" s="58">
        <f t="shared" ref="AD25:AD39" si="4">SUM(F25:AA25)</f>
        <v>1.5999999999999999</v>
      </c>
      <c r="AE25" s="3"/>
    </row>
    <row r="26" spans="1:31" ht="15" customHeight="1" x14ac:dyDescent="0.2">
      <c r="A26" s="19"/>
      <c r="B26" s="21" t="s">
        <v>220</v>
      </c>
      <c r="C26" s="21" t="s">
        <v>53</v>
      </c>
      <c r="D26" s="3"/>
      <c r="E26" s="3"/>
      <c r="F26" s="55" t="s">
        <v>40</v>
      </c>
      <c r="G26" s="55" t="s">
        <v>40</v>
      </c>
      <c r="H26" s="10">
        <v>0.3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</v>
      </c>
      <c r="AC26" s="60">
        <f>0.3+0.3</f>
        <v>0.6</v>
      </c>
      <c r="AD26" s="58">
        <f t="shared" si="4"/>
        <v>0.3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62">
        <f>0.5+0.3</f>
        <v>0.8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0.1</v>
      </c>
      <c r="T28" s="10">
        <v>0</v>
      </c>
      <c r="U28" s="10">
        <v>0</v>
      </c>
      <c r="V28" s="10">
        <v>0</v>
      </c>
      <c r="W28" s="62">
        <f>0.7+0.6</f>
        <v>1.2999999999999998</v>
      </c>
      <c r="X28" s="62">
        <f>3.5+0.2</f>
        <v>3.7</v>
      </c>
      <c r="Y28" s="10">
        <v>0.2</v>
      </c>
      <c r="Z28" s="62">
        <f>0+0.1</f>
        <v>0.1</v>
      </c>
      <c r="AA28" s="10">
        <v>0</v>
      </c>
      <c r="AB28" s="26">
        <f t="shared" si="3"/>
        <v>0</v>
      </c>
      <c r="AC28" s="10">
        <v>6.2</v>
      </c>
      <c r="AD28" s="58">
        <f t="shared" si="4"/>
        <v>6.2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0.3</v>
      </c>
      <c r="I30" s="10">
        <v>0.3</v>
      </c>
      <c r="J30" s="10">
        <v>0.2</v>
      </c>
      <c r="K30" s="10">
        <v>0.2</v>
      </c>
      <c r="L30" s="10">
        <v>0.2</v>
      </c>
      <c r="M30" s="10">
        <v>0</v>
      </c>
      <c r="N30" s="10">
        <v>0.4</v>
      </c>
      <c r="O30" s="10">
        <v>0.1</v>
      </c>
      <c r="P30" s="10">
        <v>0.2</v>
      </c>
      <c r="Q30" s="10">
        <v>0.1</v>
      </c>
      <c r="R30" s="10">
        <v>0.1</v>
      </c>
      <c r="S30" s="10">
        <v>0.5</v>
      </c>
      <c r="T30" s="10">
        <v>0.2</v>
      </c>
      <c r="U30" s="10">
        <v>0.6</v>
      </c>
      <c r="V30" s="10">
        <v>0.1</v>
      </c>
      <c r="W30" s="10">
        <v>0.2</v>
      </c>
      <c r="X30" s="10">
        <v>0.3</v>
      </c>
      <c r="Y30" s="10">
        <v>0.4</v>
      </c>
      <c r="Z30" s="10">
        <v>0.3</v>
      </c>
      <c r="AA30" s="10">
        <v>0.1</v>
      </c>
      <c r="AB30" s="26">
        <f t="shared" si="3"/>
        <v>9.9999999999999645E-2</v>
      </c>
      <c r="AC30" s="10">
        <v>4.9000000000000004</v>
      </c>
      <c r="AD30" s="58">
        <f t="shared" si="4"/>
        <v>4.8000000000000007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 t="s">
        <v>221</v>
      </c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1.9</v>
      </c>
      <c r="V33" s="10">
        <v>2</v>
      </c>
      <c r="W33" s="10">
        <v>0.3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0.20000000000000018</v>
      </c>
      <c r="AC33" s="10">
        <v>4.4000000000000004</v>
      </c>
      <c r="AD33" s="58">
        <f t="shared" si="4"/>
        <v>4.2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10">
        <v>0.3</v>
      </c>
      <c r="I34" s="10">
        <v>0.2</v>
      </c>
      <c r="J34" s="10">
        <v>0.1</v>
      </c>
      <c r="K34" s="10">
        <v>0.1</v>
      </c>
      <c r="L34" s="10">
        <v>0.1</v>
      </c>
      <c r="M34" s="10">
        <v>0.1</v>
      </c>
      <c r="N34" s="10">
        <v>0.2</v>
      </c>
      <c r="O34" s="10">
        <v>0.1</v>
      </c>
      <c r="P34" s="10">
        <v>0.1</v>
      </c>
      <c r="Q34" s="10">
        <v>0.1</v>
      </c>
      <c r="R34" s="10">
        <v>0.9</v>
      </c>
      <c r="S34" s="10">
        <v>0.2</v>
      </c>
      <c r="T34" s="10">
        <v>0.1</v>
      </c>
      <c r="U34" s="10">
        <v>0.2</v>
      </c>
      <c r="V34" s="10">
        <v>0.1</v>
      </c>
      <c r="W34" s="10">
        <v>0.1</v>
      </c>
      <c r="X34" s="10">
        <v>0.1</v>
      </c>
      <c r="Y34" s="10">
        <v>0.3</v>
      </c>
      <c r="Z34" s="10">
        <v>0.3</v>
      </c>
      <c r="AA34" s="10">
        <v>0.1</v>
      </c>
      <c r="AB34" s="26">
        <f t="shared" si="3"/>
        <v>0.99999999999999911</v>
      </c>
      <c r="AC34" s="10">
        <v>4.8</v>
      </c>
      <c r="AD34" s="58">
        <f t="shared" si="4"/>
        <v>3.8000000000000007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8.8000000000000007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8.8000000000000007</v>
      </c>
      <c r="AD35" s="58">
        <f t="shared" si="4"/>
        <v>8.8000000000000007</v>
      </c>
      <c r="AE35" s="3"/>
    </row>
    <row r="36" spans="1:31" ht="15" customHeight="1" x14ac:dyDescent="0.2">
      <c r="A36" s="19"/>
      <c r="B36" s="17" t="s">
        <v>74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222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60">
        <v>2.5</v>
      </c>
      <c r="O37" s="60">
        <v>0.4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2.9</v>
      </c>
      <c r="AD37" s="58">
        <f t="shared" si="4"/>
        <v>2.9</v>
      </c>
      <c r="AE37" s="3"/>
    </row>
    <row r="38" spans="1:31" ht="15" customHeight="1" x14ac:dyDescent="0.2">
      <c r="A38" s="19"/>
      <c r="B38" s="17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9.9</v>
      </c>
      <c r="I41" s="11">
        <f t="shared" si="5"/>
        <v>1.3</v>
      </c>
      <c r="J41" s="11">
        <f t="shared" si="5"/>
        <v>0.30000000000000004</v>
      </c>
      <c r="K41" s="11">
        <f t="shared" si="5"/>
        <v>0.30000000000000004</v>
      </c>
      <c r="L41" s="11">
        <f t="shared" si="5"/>
        <v>0.30000000000000004</v>
      </c>
      <c r="M41" s="11">
        <f t="shared" si="5"/>
        <v>0.1</v>
      </c>
      <c r="N41" s="11">
        <f t="shared" si="5"/>
        <v>3.1</v>
      </c>
      <c r="O41" s="11">
        <f t="shared" si="5"/>
        <v>0.60000000000000009</v>
      </c>
      <c r="P41" s="11">
        <f t="shared" si="5"/>
        <v>0.30000000000000004</v>
      </c>
      <c r="Q41" s="11">
        <f t="shared" si="5"/>
        <v>0.2</v>
      </c>
      <c r="R41" s="11">
        <f t="shared" si="5"/>
        <v>1</v>
      </c>
      <c r="S41" s="11">
        <f t="shared" si="5"/>
        <v>0.8</v>
      </c>
      <c r="T41" s="11">
        <f t="shared" si="5"/>
        <v>0.30000000000000004</v>
      </c>
      <c r="U41" s="11">
        <f t="shared" si="5"/>
        <v>4.0999999999999996</v>
      </c>
      <c r="V41" s="11">
        <f t="shared" si="5"/>
        <v>2.2000000000000002</v>
      </c>
      <c r="W41" s="11">
        <f t="shared" si="5"/>
        <v>1.9</v>
      </c>
      <c r="X41" s="11">
        <f t="shared" si="5"/>
        <v>4.0999999999999996</v>
      </c>
      <c r="Y41" s="11">
        <f t="shared" si="5"/>
        <v>0.90000000000000013</v>
      </c>
      <c r="Z41" s="11">
        <f t="shared" si="5"/>
        <v>0.7</v>
      </c>
      <c r="AA41" s="11">
        <f t="shared" si="5"/>
        <v>0.2</v>
      </c>
      <c r="AB41" s="11">
        <f t="shared" si="5"/>
        <v>1.599999999999999</v>
      </c>
      <c r="AC41" s="11">
        <f t="shared" si="5"/>
        <v>34.200000000000003</v>
      </c>
      <c r="AD41" s="11">
        <f t="shared" si="5"/>
        <v>32.6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-9</v>
      </c>
      <c r="I43" s="35">
        <f t="shared" si="6"/>
        <v>-0.7</v>
      </c>
      <c r="J43" s="35">
        <f t="shared" si="6"/>
        <v>0</v>
      </c>
      <c r="K43" s="35">
        <f t="shared" si="6"/>
        <v>0</v>
      </c>
      <c r="L43" s="35">
        <f t="shared" si="6"/>
        <v>-0.20000000000000004</v>
      </c>
      <c r="M43" s="35">
        <f t="shared" si="6"/>
        <v>0.5</v>
      </c>
      <c r="N43" s="35">
        <f t="shared" si="6"/>
        <v>9.5</v>
      </c>
      <c r="O43" s="35">
        <f t="shared" si="6"/>
        <v>2.1999999999999997</v>
      </c>
      <c r="P43" s="35">
        <f t="shared" si="6"/>
        <v>9.9999999999999978E-2</v>
      </c>
      <c r="Q43" s="35">
        <f t="shared" si="6"/>
        <v>0.49999999999999994</v>
      </c>
      <c r="R43" s="35">
        <f t="shared" si="6"/>
        <v>-1</v>
      </c>
      <c r="S43" s="35">
        <f t="shared" si="6"/>
        <v>-0.8</v>
      </c>
      <c r="T43" s="35">
        <f t="shared" si="6"/>
        <v>0.39999999999999991</v>
      </c>
      <c r="U43" s="35">
        <f t="shared" si="6"/>
        <v>-3.8999999999999995</v>
      </c>
      <c r="V43" s="35">
        <f t="shared" si="6"/>
        <v>-1.9000000000000001</v>
      </c>
      <c r="W43" s="35">
        <f t="shared" si="6"/>
        <v>4.5999999999999996</v>
      </c>
      <c r="X43" s="35">
        <f t="shared" si="6"/>
        <v>2.1999999999999993</v>
      </c>
      <c r="Y43" s="35">
        <f t="shared" si="6"/>
        <v>-0.70000000000000018</v>
      </c>
      <c r="Z43" s="35">
        <f t="shared" si="6"/>
        <v>2.5</v>
      </c>
      <c r="AA43" s="35">
        <f t="shared" si="6"/>
        <v>4.1000000000000005</v>
      </c>
      <c r="AB43" s="35">
        <f t="shared" si="6"/>
        <v>2.200000000000002</v>
      </c>
      <c r="AC43" s="35">
        <f t="shared" si="6"/>
        <v>10.600000000000001</v>
      </c>
      <c r="AD43" s="35">
        <f t="shared" si="6"/>
        <v>8.4000000000000057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-9</v>
      </c>
      <c r="I47" s="35">
        <f t="shared" si="7"/>
        <v>-0.7</v>
      </c>
      <c r="J47" s="35">
        <f t="shared" si="7"/>
        <v>0</v>
      </c>
      <c r="K47" s="35">
        <f t="shared" si="7"/>
        <v>0</v>
      </c>
      <c r="L47" s="35">
        <f t="shared" si="7"/>
        <v>-0.20000000000000004</v>
      </c>
      <c r="M47" s="35">
        <f t="shared" si="7"/>
        <v>0.5</v>
      </c>
      <c r="N47" s="35">
        <f t="shared" si="7"/>
        <v>9.5</v>
      </c>
      <c r="O47" s="35">
        <f t="shared" si="7"/>
        <v>2.1999999999999997</v>
      </c>
      <c r="P47" s="35">
        <f t="shared" si="7"/>
        <v>9.9999999999999978E-2</v>
      </c>
      <c r="Q47" s="35">
        <f t="shared" si="7"/>
        <v>0.49999999999999994</v>
      </c>
      <c r="R47" s="35">
        <f t="shared" si="7"/>
        <v>-1</v>
      </c>
      <c r="S47" s="35">
        <f t="shared" si="7"/>
        <v>-0.8</v>
      </c>
      <c r="T47" s="35">
        <f t="shared" si="7"/>
        <v>0.39999999999999991</v>
      </c>
      <c r="U47" s="35">
        <f t="shared" si="7"/>
        <v>-3.8999999999999995</v>
      </c>
      <c r="V47" s="35">
        <f t="shared" si="7"/>
        <v>-1.9000000000000001</v>
      </c>
      <c r="W47" s="35">
        <f t="shared" si="7"/>
        <v>4.5999999999999996</v>
      </c>
      <c r="X47" s="35">
        <f t="shared" si="7"/>
        <v>2.1999999999999993</v>
      </c>
      <c r="Y47" s="35">
        <f t="shared" si="7"/>
        <v>-0.70000000000000018</v>
      </c>
      <c r="Z47" s="35">
        <f t="shared" si="7"/>
        <v>2.5</v>
      </c>
      <c r="AA47" s="35">
        <f t="shared" si="7"/>
        <v>4.1000000000000005</v>
      </c>
      <c r="AB47" s="35">
        <f t="shared" si="7"/>
        <v>2.200000000000002</v>
      </c>
      <c r="AC47" s="35">
        <f t="shared" si="7"/>
        <v>10.600000000000001</v>
      </c>
      <c r="AD47" s="35">
        <f t="shared" si="7"/>
        <v>8.4000000000000057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'NNG-Jun'!A2</f>
        <v>JUNE,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'NNG-Jun'!A3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'NNG-Jun'!F7</f>
        <v>0</v>
      </c>
      <c r="G7" s="48">
        <f>'NNG-Jun'!G7</f>
        <v>0</v>
      </c>
      <c r="H7" s="48" t="str">
        <f>'NNG-Jun'!H7</f>
        <v>Act</v>
      </c>
      <c r="I7" s="48" t="str">
        <f>'NNG-Jun'!I7</f>
        <v>Act</v>
      </c>
      <c r="J7" s="48" t="str">
        <f>'NNG-Jun'!J7</f>
        <v>Act</v>
      </c>
      <c r="K7" s="48" t="str">
        <f>'NNG-Jun'!K7</f>
        <v>Act</v>
      </c>
      <c r="L7" s="48" t="str">
        <f>'NNG-Jun'!L7</f>
        <v>Act</v>
      </c>
      <c r="M7" s="48" t="str">
        <f>'NNG-Jun'!M7</f>
        <v>Act</v>
      </c>
      <c r="N7" s="48" t="str">
        <f>'NNG-Jun'!N7</f>
        <v>Act</v>
      </c>
      <c r="O7" s="48" t="str">
        <f>'NNG-Jun'!O7</f>
        <v>Act</v>
      </c>
      <c r="P7" s="48" t="str">
        <f>'NNG-Jun'!P7</f>
        <v>Act</v>
      </c>
      <c r="Q7" s="48" t="str">
        <f>'NNG-Jun'!Q7</f>
        <v>Act</v>
      </c>
      <c r="R7" s="48" t="str">
        <f>'NNG-Jun'!R7</f>
        <v>Act</v>
      </c>
      <c r="S7" s="48" t="str">
        <f>'NNG-Jun'!S7</f>
        <v>Act</v>
      </c>
      <c r="T7" s="48" t="str">
        <f>'NNG-Jun'!T7</f>
        <v>Act</v>
      </c>
      <c r="U7" s="48" t="str">
        <f>'NNG-Jun'!U7</f>
        <v>Act</v>
      </c>
      <c r="V7" s="48" t="str">
        <f>'NNG-Jun'!V7</f>
        <v>Act</v>
      </c>
      <c r="W7" s="48" t="str">
        <f>'NNG-Jun'!W7</f>
        <v>Act</v>
      </c>
      <c r="X7" s="48" t="str">
        <f>'NNG-Jun'!X7</f>
        <v>Act</v>
      </c>
      <c r="Y7" s="48" t="str">
        <f>'NNG-Jun'!Y7</f>
        <v>Act</v>
      </c>
      <c r="Z7" s="48" t="str">
        <f>'NNG-Jun'!Z7</f>
        <v>Act</v>
      </c>
      <c r="AA7" s="48" t="str">
        <f>'NNG-Jun'!AA7</f>
        <v>Act</v>
      </c>
      <c r="AB7" s="48" t="str">
        <f>'NNG-Jun'!AB7</f>
        <v>Act</v>
      </c>
      <c r="AC7" s="48"/>
      <c r="AD7" s="48" t="str">
        <f>'NNG-Jun'!AD7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'NNG-Jun'!F8</f>
        <v>Day</v>
      </c>
      <c r="G8" s="48" t="str">
        <f>'NNG-Jun'!G8</f>
        <v>Day</v>
      </c>
      <c r="H8" s="48" t="str">
        <f>'NNG-Jun'!H8</f>
        <v>Fri</v>
      </c>
      <c r="I8" s="48" t="str">
        <f>'NNG-Jun'!I8</f>
        <v>Mon</v>
      </c>
      <c r="J8" s="48" t="str">
        <f>'NNG-Jun'!J8</f>
        <v>Tue</v>
      </c>
      <c r="K8" s="48" t="str">
        <f>'NNG-Jun'!K8</f>
        <v>Wed</v>
      </c>
      <c r="L8" s="48" t="str">
        <f>'NNG-Jun'!L8</f>
        <v>Thu</v>
      </c>
      <c r="M8" s="48" t="str">
        <f>'NNG-Jun'!M8</f>
        <v>Fri</v>
      </c>
      <c r="N8" s="48" t="str">
        <f>'NNG-Jun'!N8</f>
        <v>Mon</v>
      </c>
      <c r="O8" s="48" t="str">
        <f>'NNG-Jun'!O8</f>
        <v>Tue</v>
      </c>
      <c r="P8" s="48" t="str">
        <f>'NNG-Jun'!P8</f>
        <v>Wed</v>
      </c>
      <c r="Q8" s="48" t="str">
        <f>'NNG-Jun'!Q8</f>
        <v>Thu</v>
      </c>
      <c r="R8" s="48" t="str">
        <f>'NNG-Jun'!R8</f>
        <v>Fri</v>
      </c>
      <c r="S8" s="48" t="str">
        <f>'NNG-Jun'!S8</f>
        <v>Mon</v>
      </c>
      <c r="T8" s="48" t="str">
        <f>'NNG-Jun'!T8</f>
        <v>Tue</v>
      </c>
      <c r="U8" s="48" t="str">
        <f>'NNG-Jun'!U8</f>
        <v>Wed</v>
      </c>
      <c r="V8" s="48" t="str">
        <f>'NNG-Jun'!V8</f>
        <v>Thu</v>
      </c>
      <c r="W8" s="48" t="str">
        <f>'NNG-Jun'!W8</f>
        <v>Fri</v>
      </c>
      <c r="X8" s="48" t="str">
        <f>'NNG-Jun'!X8</f>
        <v>Mon</v>
      </c>
      <c r="Y8" s="48" t="str">
        <f>'NNG-Jun'!Y8</f>
        <v>Tue</v>
      </c>
      <c r="Z8" s="48" t="str">
        <f>'NNG-Jun'!Z8</f>
        <v>Wed</v>
      </c>
      <c r="AA8" s="48" t="str">
        <f>'NNG-Jun'!AA8</f>
        <v>Thu</v>
      </c>
      <c r="AB8" s="48" t="str">
        <f>'NNG-Jun'!AB8</f>
        <v>Fri</v>
      </c>
      <c r="AC8" s="48" t="str">
        <f>'NNG-Jun'!AC8</f>
        <v>JUNE</v>
      </c>
      <c r="AD8" s="48" t="str">
        <f>'NNG-Jun'!AD8</f>
        <v>6/1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'NNG-Jun'!F9</f>
        <v>0/0</v>
      </c>
      <c r="G9" s="49" t="str">
        <f>'NNG-Jun'!G9</f>
        <v>0/0</v>
      </c>
      <c r="H9" s="49" t="str">
        <f>'NNG-Jun'!H9</f>
        <v>6/1</v>
      </c>
      <c r="I9" s="49" t="str">
        <f>'NNG-Jun'!I9</f>
        <v>6/4</v>
      </c>
      <c r="J9" s="49" t="str">
        <f>'NNG-Jun'!J9</f>
        <v>6/5</v>
      </c>
      <c r="K9" s="49" t="str">
        <f>'NNG-Jun'!K9</f>
        <v>6/6</v>
      </c>
      <c r="L9" s="49" t="str">
        <f>'NNG-Jun'!L9</f>
        <v>6/7</v>
      </c>
      <c r="M9" s="49" t="str">
        <f>'NNG-Jun'!M9</f>
        <v>6/8</v>
      </c>
      <c r="N9" s="49" t="str">
        <f>'NNG-Jun'!N9</f>
        <v>6/11</v>
      </c>
      <c r="O9" s="49" t="str">
        <f>'NNG-Jun'!O9</f>
        <v>6/12</v>
      </c>
      <c r="P9" s="49" t="str">
        <f>'NNG-Jun'!P9</f>
        <v>6/13</v>
      </c>
      <c r="Q9" s="49" t="str">
        <f>'NNG-Jun'!Q9</f>
        <v>6/14</v>
      </c>
      <c r="R9" s="49" t="str">
        <f>'NNG-Jun'!R9</f>
        <v>6/15</v>
      </c>
      <c r="S9" s="49" t="str">
        <f>'NNG-Jun'!S9</f>
        <v>6/18</v>
      </c>
      <c r="T9" s="49" t="str">
        <f>'NNG-Jun'!T9</f>
        <v>6/19</v>
      </c>
      <c r="U9" s="49" t="str">
        <f>'NNG-Jun'!U9</f>
        <v>6/20</v>
      </c>
      <c r="V9" s="49" t="str">
        <f>'NNG-Jun'!V9</f>
        <v>6/21</v>
      </c>
      <c r="W9" s="49" t="str">
        <f>'NNG-Jun'!W9</f>
        <v>6/22</v>
      </c>
      <c r="X9" s="49" t="str">
        <f>'NNG-Jun'!X9</f>
        <v>6/25</v>
      </c>
      <c r="Y9" s="49" t="str">
        <f>'NNG-Jun'!Y9</f>
        <v>6/26</v>
      </c>
      <c r="Z9" s="49" t="str">
        <f>'NNG-Jun'!Z9</f>
        <v>6/27</v>
      </c>
      <c r="AA9" s="49" t="str">
        <f>'NNG-Jun'!AA9</f>
        <v>6/28</v>
      </c>
      <c r="AB9" s="49" t="str">
        <f>'NNG-Jun'!AB9</f>
        <v>6/29</v>
      </c>
      <c r="AC9" s="49" t="str">
        <f>'NNG-Jun'!AC9</f>
        <v>TOTAL</v>
      </c>
      <c r="AD9" s="49" t="str">
        <f>'NNG-Jun'!AD9</f>
        <v>6/28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0.1</v>
      </c>
      <c r="I11" s="10">
        <v>0</v>
      </c>
      <c r="J11" s="10">
        <v>0</v>
      </c>
      <c r="K11" s="10">
        <v>0.5</v>
      </c>
      <c r="L11" s="10">
        <v>0</v>
      </c>
      <c r="M11" s="10">
        <v>0</v>
      </c>
      <c r="N11" s="10">
        <v>0</v>
      </c>
      <c r="O11" s="10">
        <v>0</v>
      </c>
      <c r="P11" s="10">
        <v>1</v>
      </c>
      <c r="Q11" s="62">
        <f>20-10.9</f>
        <v>9.1</v>
      </c>
      <c r="R11" s="10">
        <v>0.8</v>
      </c>
      <c r="S11" s="10">
        <v>0.2</v>
      </c>
      <c r="T11" s="10">
        <v>1</v>
      </c>
      <c r="U11" s="62">
        <f>0+0.2</f>
        <v>0.2</v>
      </c>
      <c r="V11" s="10">
        <v>0</v>
      </c>
      <c r="W11" s="10">
        <v>0.1</v>
      </c>
      <c r="X11" s="10">
        <v>1.1000000000000001</v>
      </c>
      <c r="Y11" s="10">
        <v>0.1</v>
      </c>
      <c r="Z11" s="10">
        <v>0</v>
      </c>
      <c r="AA11" s="10">
        <v>0.1</v>
      </c>
      <c r="AB11" s="26">
        <f t="shared" ref="AB11:AB20" si="0">AC11-SUM(F11:AA11)</f>
        <v>0</v>
      </c>
      <c r="AC11" s="60">
        <f>13.2-2+3.1</f>
        <v>14.299999999999999</v>
      </c>
      <c r="AD11" s="36">
        <f>SUM(F11:AA11)</f>
        <v>14.299999999999997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SUM(F12:AA12)</f>
        <v>0</v>
      </c>
      <c r="AE12" s="3"/>
    </row>
    <row r="13" spans="1:31" ht="15" customHeight="1" x14ac:dyDescent="0.2">
      <c r="A13" s="19"/>
      <c r="B13" s="21"/>
      <c r="C13" s="21" t="s">
        <v>223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1.1000000000000001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1.1000000000000001</v>
      </c>
      <c r="AD13" s="36">
        <f t="shared" si="1"/>
        <v>1.1000000000000001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3</v>
      </c>
      <c r="AD14" s="36">
        <f t="shared" si="1"/>
        <v>3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62">
        <v>10.9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62">
        <v>10.9</v>
      </c>
      <c r="AD16" s="36">
        <f t="shared" si="1"/>
        <v>10.9</v>
      </c>
      <c r="AE16" s="3"/>
    </row>
    <row r="17" spans="1:31" ht="15" customHeight="1" x14ac:dyDescent="0.2">
      <c r="A17" s="19"/>
      <c r="B17" s="17" t="s">
        <v>74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0.1</v>
      </c>
      <c r="AC19" s="10">
        <v>0.1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0.1</v>
      </c>
      <c r="I22" s="11">
        <f t="shared" si="2"/>
        <v>0</v>
      </c>
      <c r="J22" s="11">
        <f t="shared" si="2"/>
        <v>0</v>
      </c>
      <c r="K22" s="11">
        <f t="shared" si="2"/>
        <v>0.5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1</v>
      </c>
      <c r="Q22" s="11">
        <f t="shared" si="2"/>
        <v>20</v>
      </c>
      <c r="R22" s="11">
        <f t="shared" si="2"/>
        <v>0.8</v>
      </c>
      <c r="S22" s="11">
        <f t="shared" si="2"/>
        <v>0.2</v>
      </c>
      <c r="T22" s="11">
        <f t="shared" si="2"/>
        <v>1</v>
      </c>
      <c r="U22" s="11">
        <f t="shared" si="2"/>
        <v>0.2</v>
      </c>
      <c r="V22" s="11">
        <f t="shared" si="2"/>
        <v>0</v>
      </c>
      <c r="W22" s="11">
        <f t="shared" si="2"/>
        <v>0.1</v>
      </c>
      <c r="X22" s="11">
        <f t="shared" si="2"/>
        <v>5.2</v>
      </c>
      <c r="Y22" s="11">
        <f t="shared" si="2"/>
        <v>0.1</v>
      </c>
      <c r="Z22" s="11">
        <f t="shared" si="2"/>
        <v>0</v>
      </c>
      <c r="AA22" s="11">
        <f t="shared" si="2"/>
        <v>0.1</v>
      </c>
      <c r="AB22" s="11">
        <f t="shared" si="2"/>
        <v>0.1</v>
      </c>
      <c r="AC22" s="11">
        <f t="shared" si="2"/>
        <v>29.4</v>
      </c>
      <c r="AD22" s="11">
        <f t="shared" si="2"/>
        <v>29.299999999999997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0.2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0.10000000000000003</v>
      </c>
      <c r="AC26" s="60">
        <f>0.2+0.1</f>
        <v>0.30000000000000004</v>
      </c>
      <c r="AD26" s="36">
        <f t="shared" si="4"/>
        <v>0.2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</v>
      </c>
      <c r="I30" s="10">
        <v>0.1</v>
      </c>
      <c r="J30" s="10">
        <v>0.1</v>
      </c>
      <c r="K30" s="10">
        <v>0.1</v>
      </c>
      <c r="L30" s="10">
        <v>0</v>
      </c>
      <c r="M30" s="10">
        <v>0</v>
      </c>
      <c r="N30" s="10">
        <v>0.2</v>
      </c>
      <c r="O30" s="10">
        <v>0.3</v>
      </c>
      <c r="P30" s="10">
        <v>0.1</v>
      </c>
      <c r="Q30" s="10">
        <v>0.2</v>
      </c>
      <c r="R30" s="10">
        <v>0</v>
      </c>
      <c r="S30" s="10">
        <v>0.1</v>
      </c>
      <c r="T30" s="10">
        <v>0</v>
      </c>
      <c r="U30" s="10">
        <v>0.1</v>
      </c>
      <c r="V30" s="10">
        <v>0</v>
      </c>
      <c r="W30" s="10">
        <v>0</v>
      </c>
      <c r="X30" s="10">
        <v>0.1</v>
      </c>
      <c r="Y30" s="10">
        <v>0.1</v>
      </c>
      <c r="Z30" s="10">
        <v>0</v>
      </c>
      <c r="AA30" s="10">
        <v>0.1</v>
      </c>
      <c r="AB30" s="26">
        <f t="shared" si="3"/>
        <v>0</v>
      </c>
      <c r="AC30" s="10">
        <v>1.6</v>
      </c>
      <c r="AD30" s="36">
        <f t="shared" si="4"/>
        <v>1.6000000000000005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0.1</v>
      </c>
      <c r="Q33" s="10">
        <v>0</v>
      </c>
      <c r="R33" s="10">
        <v>0</v>
      </c>
      <c r="S33" s="10">
        <v>0</v>
      </c>
      <c r="T33" s="10">
        <v>0</v>
      </c>
      <c r="U33" s="62">
        <v>0.2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f>0.1+0.2</f>
        <v>0.30000000000000004</v>
      </c>
      <c r="AD33" s="36">
        <f t="shared" si="4"/>
        <v>0.30000000000000004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10">
        <v>0.3</v>
      </c>
      <c r="I34" s="10">
        <v>0.1</v>
      </c>
      <c r="J34" s="10">
        <v>0.1</v>
      </c>
      <c r="K34" s="10">
        <v>0</v>
      </c>
      <c r="L34" s="10">
        <v>0.1</v>
      </c>
      <c r="M34" s="10">
        <v>0</v>
      </c>
      <c r="N34" s="10">
        <v>0.1</v>
      </c>
      <c r="O34" s="10">
        <v>0</v>
      </c>
      <c r="P34" s="10">
        <v>0</v>
      </c>
      <c r="Q34" s="10">
        <v>0</v>
      </c>
      <c r="R34" s="10">
        <v>0.2</v>
      </c>
      <c r="S34" s="10">
        <v>0.1</v>
      </c>
      <c r="T34" s="10">
        <v>0</v>
      </c>
      <c r="U34" s="10">
        <v>0.1</v>
      </c>
      <c r="V34" s="10">
        <v>0.1</v>
      </c>
      <c r="W34" s="10">
        <v>0</v>
      </c>
      <c r="X34" s="10">
        <v>0.1</v>
      </c>
      <c r="Y34" s="10">
        <v>0</v>
      </c>
      <c r="Z34" s="10">
        <v>0</v>
      </c>
      <c r="AA34" s="10">
        <v>0</v>
      </c>
      <c r="AB34" s="26">
        <f t="shared" si="3"/>
        <v>0.5</v>
      </c>
      <c r="AC34" s="10">
        <v>1.8</v>
      </c>
      <c r="AD34" s="36">
        <f t="shared" si="4"/>
        <v>1.3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2</v>
      </c>
      <c r="AC35" s="10">
        <v>2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0.8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0.8</v>
      </c>
      <c r="AD36" s="36">
        <f t="shared" si="4"/>
        <v>0.8</v>
      </c>
      <c r="AE36" s="3"/>
    </row>
    <row r="37" spans="1:31" ht="15" customHeight="1" x14ac:dyDescent="0.2">
      <c r="A37" s="19"/>
      <c r="B37" s="21" t="s">
        <v>225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36">
        <f>10.9-10.9</f>
        <v>0</v>
      </c>
      <c r="AB37" s="26">
        <f t="shared" si="3"/>
        <v>0</v>
      </c>
      <c r="AC37" s="36">
        <f>10.9-10.9</f>
        <v>0</v>
      </c>
      <c r="AD37" s="36">
        <f t="shared" si="4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0.3</v>
      </c>
      <c r="I41" s="11">
        <f t="shared" si="5"/>
        <v>0.2</v>
      </c>
      <c r="J41" s="11">
        <f t="shared" si="5"/>
        <v>0.2</v>
      </c>
      <c r="K41" s="11">
        <f t="shared" si="5"/>
        <v>0.1</v>
      </c>
      <c r="L41" s="11">
        <f t="shared" si="5"/>
        <v>0.1</v>
      </c>
      <c r="M41" s="11">
        <f t="shared" si="5"/>
        <v>0.8</v>
      </c>
      <c r="N41" s="11">
        <f t="shared" si="5"/>
        <v>0.30000000000000004</v>
      </c>
      <c r="O41" s="11">
        <f t="shared" si="5"/>
        <v>0.3</v>
      </c>
      <c r="P41" s="11">
        <f t="shared" si="5"/>
        <v>0.2</v>
      </c>
      <c r="Q41" s="11">
        <f t="shared" si="5"/>
        <v>0.2</v>
      </c>
      <c r="R41" s="11">
        <f t="shared" si="5"/>
        <v>0.2</v>
      </c>
      <c r="S41" s="11">
        <f t="shared" si="5"/>
        <v>0.2</v>
      </c>
      <c r="T41" s="11">
        <f t="shared" si="5"/>
        <v>0.2</v>
      </c>
      <c r="U41" s="11">
        <f t="shared" si="5"/>
        <v>0.4</v>
      </c>
      <c r="V41" s="11">
        <f t="shared" si="5"/>
        <v>0.1</v>
      </c>
      <c r="W41" s="11">
        <f t="shared" si="5"/>
        <v>0</v>
      </c>
      <c r="X41" s="11">
        <f t="shared" si="5"/>
        <v>0.2</v>
      </c>
      <c r="Y41" s="11">
        <f t="shared" si="5"/>
        <v>0.1</v>
      </c>
      <c r="Z41" s="11">
        <f t="shared" si="5"/>
        <v>0</v>
      </c>
      <c r="AA41" s="11">
        <f t="shared" si="5"/>
        <v>0.1</v>
      </c>
      <c r="AB41" s="11">
        <f t="shared" si="5"/>
        <v>2.6</v>
      </c>
      <c r="AC41" s="11">
        <f t="shared" si="5"/>
        <v>6.8</v>
      </c>
      <c r="AD41" s="11">
        <f t="shared" si="5"/>
        <v>4.2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-0.19999999999999998</v>
      </c>
      <c r="I43" s="35">
        <f t="shared" si="6"/>
        <v>-0.2</v>
      </c>
      <c r="J43" s="35">
        <f t="shared" si="6"/>
        <v>-0.2</v>
      </c>
      <c r="K43" s="35">
        <f t="shared" si="6"/>
        <v>0.4</v>
      </c>
      <c r="L43" s="35">
        <f t="shared" si="6"/>
        <v>-0.1</v>
      </c>
      <c r="M43" s="35">
        <f t="shared" si="6"/>
        <v>-0.8</v>
      </c>
      <c r="N43" s="35">
        <f t="shared" si="6"/>
        <v>-0.30000000000000004</v>
      </c>
      <c r="O43" s="35">
        <f t="shared" si="6"/>
        <v>-0.3</v>
      </c>
      <c r="P43" s="35">
        <f t="shared" si="6"/>
        <v>0.8</v>
      </c>
      <c r="Q43" s="35">
        <f t="shared" si="6"/>
        <v>19.8</v>
      </c>
      <c r="R43" s="35">
        <f t="shared" si="6"/>
        <v>0.60000000000000009</v>
      </c>
      <c r="S43" s="35">
        <f t="shared" si="6"/>
        <v>0</v>
      </c>
      <c r="T43" s="35">
        <f t="shared" si="6"/>
        <v>0.8</v>
      </c>
      <c r="U43" s="35">
        <f t="shared" si="6"/>
        <v>-0.2</v>
      </c>
      <c r="V43" s="35">
        <f t="shared" si="6"/>
        <v>-0.1</v>
      </c>
      <c r="W43" s="35">
        <f t="shared" si="6"/>
        <v>0.1</v>
      </c>
      <c r="X43" s="35">
        <f t="shared" si="6"/>
        <v>5</v>
      </c>
      <c r="Y43" s="35">
        <f t="shared" si="6"/>
        <v>0</v>
      </c>
      <c r="Z43" s="35">
        <f t="shared" si="6"/>
        <v>0</v>
      </c>
      <c r="AA43" s="35">
        <f t="shared" si="6"/>
        <v>0</v>
      </c>
      <c r="AB43" s="35">
        <f t="shared" si="6"/>
        <v>-2.5</v>
      </c>
      <c r="AC43" s="35">
        <f t="shared" si="6"/>
        <v>22.599999999999998</v>
      </c>
      <c r="AD43" s="35">
        <f t="shared" si="6"/>
        <v>25.099999999999998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-0.19999999999999998</v>
      </c>
      <c r="I47" s="35">
        <f t="shared" si="7"/>
        <v>-0.2</v>
      </c>
      <c r="J47" s="35">
        <f t="shared" si="7"/>
        <v>-0.2</v>
      </c>
      <c r="K47" s="35">
        <f t="shared" si="7"/>
        <v>0.4</v>
      </c>
      <c r="L47" s="35">
        <f t="shared" si="7"/>
        <v>-0.1</v>
      </c>
      <c r="M47" s="35">
        <f t="shared" si="7"/>
        <v>-0.8</v>
      </c>
      <c r="N47" s="35">
        <f t="shared" si="7"/>
        <v>-0.30000000000000004</v>
      </c>
      <c r="O47" s="35">
        <f t="shared" si="7"/>
        <v>-0.3</v>
      </c>
      <c r="P47" s="35">
        <f t="shared" si="7"/>
        <v>0.8</v>
      </c>
      <c r="Q47" s="35">
        <f t="shared" si="7"/>
        <v>19.8</v>
      </c>
      <c r="R47" s="35">
        <f t="shared" si="7"/>
        <v>0.60000000000000009</v>
      </c>
      <c r="S47" s="35">
        <f t="shared" si="7"/>
        <v>0</v>
      </c>
      <c r="T47" s="35">
        <f t="shared" si="7"/>
        <v>0.8</v>
      </c>
      <c r="U47" s="35">
        <f t="shared" si="7"/>
        <v>-0.2</v>
      </c>
      <c r="V47" s="35">
        <f t="shared" si="7"/>
        <v>-0.1</v>
      </c>
      <c r="W47" s="35">
        <f t="shared" si="7"/>
        <v>0.1</v>
      </c>
      <c r="X47" s="35">
        <f t="shared" si="7"/>
        <v>5</v>
      </c>
      <c r="Y47" s="35">
        <f t="shared" si="7"/>
        <v>0</v>
      </c>
      <c r="Z47" s="35">
        <f t="shared" si="7"/>
        <v>0</v>
      </c>
      <c r="AA47" s="35">
        <f t="shared" si="7"/>
        <v>0</v>
      </c>
      <c r="AB47" s="35">
        <f t="shared" si="7"/>
        <v>-2.5</v>
      </c>
      <c r="AC47" s="35">
        <f t="shared" si="7"/>
        <v>22.599999999999998</v>
      </c>
      <c r="AD47" s="35">
        <f t="shared" si="7"/>
        <v>25.099999999999998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226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15" t="s">
        <v>4</v>
      </c>
      <c r="H7" s="15" t="s">
        <v>4</v>
      </c>
      <c r="I7" s="15" t="s">
        <v>3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6</v>
      </c>
      <c r="H8" s="15" t="s">
        <v>7</v>
      </c>
      <c r="I8" s="15" t="s">
        <v>8</v>
      </c>
      <c r="J8" s="15" t="s">
        <v>9</v>
      </c>
      <c r="K8" s="15" t="s">
        <v>10</v>
      </c>
      <c r="L8" s="15" t="s">
        <v>6</v>
      </c>
      <c r="M8" s="15" t="s">
        <v>7</v>
      </c>
      <c r="N8" s="15" t="s">
        <v>8</v>
      </c>
      <c r="O8" s="15" t="s">
        <v>9</v>
      </c>
      <c r="P8" s="15" t="s">
        <v>10</v>
      </c>
      <c r="Q8" s="15" t="s">
        <v>6</v>
      </c>
      <c r="R8" s="15" t="s">
        <v>7</v>
      </c>
      <c r="S8" s="15" t="s">
        <v>8</v>
      </c>
      <c r="T8" s="15" t="s">
        <v>9</v>
      </c>
      <c r="U8" s="15" t="s">
        <v>10</v>
      </c>
      <c r="V8" s="15" t="s">
        <v>6</v>
      </c>
      <c r="W8" s="15" t="s">
        <v>7</v>
      </c>
      <c r="X8" s="15" t="s">
        <v>8</v>
      </c>
      <c r="Y8" s="15" t="s">
        <v>9</v>
      </c>
      <c r="Z8" s="15" t="s">
        <v>10</v>
      </c>
      <c r="AA8" s="15" t="s">
        <v>6</v>
      </c>
      <c r="AB8" s="15" t="s">
        <v>7</v>
      </c>
      <c r="AC8" s="30" t="s">
        <v>227</v>
      </c>
      <c r="AD8" s="31" t="s">
        <v>228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229</v>
      </c>
      <c r="H9" s="57" t="s">
        <v>230</v>
      </c>
      <c r="I9" s="57" t="s">
        <v>231</v>
      </c>
      <c r="J9" s="53" t="s">
        <v>232</v>
      </c>
      <c r="K9" s="53" t="s">
        <v>233</v>
      </c>
      <c r="L9" s="53" t="s">
        <v>234</v>
      </c>
      <c r="M9" s="57" t="s">
        <v>235</v>
      </c>
      <c r="N9" s="57" t="s">
        <v>236</v>
      </c>
      <c r="O9" s="53" t="s">
        <v>237</v>
      </c>
      <c r="P9" s="53" t="s">
        <v>238</v>
      </c>
      <c r="Q9" s="57" t="s">
        <v>239</v>
      </c>
      <c r="R9" s="57" t="s">
        <v>240</v>
      </c>
      <c r="S9" s="57" t="s">
        <v>241</v>
      </c>
      <c r="T9" s="53" t="s">
        <v>242</v>
      </c>
      <c r="U9" s="53" t="s">
        <v>243</v>
      </c>
      <c r="V9" s="53" t="s">
        <v>244</v>
      </c>
      <c r="W9" s="57" t="s">
        <v>245</v>
      </c>
      <c r="X9" s="57" t="s">
        <v>246</v>
      </c>
      <c r="Y9" s="57" t="s">
        <v>247</v>
      </c>
      <c r="Z9" s="57" t="s">
        <v>248</v>
      </c>
      <c r="AA9" s="53" t="s">
        <v>249</v>
      </c>
      <c r="AB9" s="57" t="s">
        <v>250</v>
      </c>
      <c r="AC9" s="16" t="s">
        <v>36</v>
      </c>
      <c r="AD9" s="52" t="s">
        <v>249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0.1</v>
      </c>
      <c r="H11" s="10">
        <v>0</v>
      </c>
      <c r="I11" s="55" t="s">
        <v>40</v>
      </c>
      <c r="J11" s="10">
        <v>0</v>
      </c>
      <c r="K11" s="10">
        <v>0</v>
      </c>
      <c r="L11" s="10">
        <v>0.1</v>
      </c>
      <c r="M11" s="62">
        <f>0.1+0.2</f>
        <v>0.30000000000000004</v>
      </c>
      <c r="N11" s="10">
        <v>0.2</v>
      </c>
      <c r="O11" s="10">
        <v>19.5</v>
      </c>
      <c r="P11" s="62">
        <f>0.3+0.1</f>
        <v>0.4</v>
      </c>
      <c r="Q11" s="10">
        <v>0.1</v>
      </c>
      <c r="R11" s="10">
        <v>0.8</v>
      </c>
      <c r="S11" s="10">
        <v>0.1</v>
      </c>
      <c r="T11" s="10">
        <v>0</v>
      </c>
      <c r="U11" s="10">
        <v>0.4</v>
      </c>
      <c r="V11" s="62">
        <f>2.5+0.7</f>
        <v>3.2</v>
      </c>
      <c r="W11" s="62">
        <f>0.1+0.1</f>
        <v>0.2</v>
      </c>
      <c r="X11" s="62">
        <f>0.4+0.4</f>
        <v>0.8</v>
      </c>
      <c r="Y11" s="10">
        <v>0.8</v>
      </c>
      <c r="Z11" s="10">
        <v>0.1</v>
      </c>
      <c r="AA11" s="10">
        <v>0.1</v>
      </c>
      <c r="AB11" s="26">
        <f t="shared" ref="AB11:AB20" si="0">AC11-SUM(F11:AA11)</f>
        <v>0</v>
      </c>
      <c r="AC11" s="60">
        <f>27.2+1.1-1.1</f>
        <v>27.2</v>
      </c>
      <c r="AD11" s="58">
        <f>SUM(F11:AA11)</f>
        <v>27.200000000000003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10">
        <v>0</v>
      </c>
      <c r="H12" s="10">
        <v>0</v>
      </c>
      <c r="I12" s="55" t="s">
        <v>40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5.7</v>
      </c>
      <c r="Y12" s="10">
        <v>0.5</v>
      </c>
      <c r="Z12" s="10">
        <v>0</v>
      </c>
      <c r="AA12" s="10">
        <v>0</v>
      </c>
      <c r="AB12" s="26">
        <f t="shared" si="0"/>
        <v>0</v>
      </c>
      <c r="AC12" s="60">
        <f>5.7+0.5</f>
        <v>6.2</v>
      </c>
      <c r="AD12" s="58">
        <f t="shared" ref="AD12:AD20" si="1">SUM(F12:AA12)</f>
        <v>6.2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10">
        <v>0</v>
      </c>
      <c r="H13" s="10">
        <v>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0.1</v>
      </c>
      <c r="O13" s="10">
        <v>0</v>
      </c>
      <c r="P13" s="10">
        <v>0.2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0.4</v>
      </c>
      <c r="W13" s="10">
        <v>0</v>
      </c>
      <c r="X13" s="10">
        <v>0</v>
      </c>
      <c r="Y13" s="10">
        <v>0</v>
      </c>
      <c r="Z13" s="10">
        <v>0.1</v>
      </c>
      <c r="AA13" s="10">
        <v>0</v>
      </c>
      <c r="AB13" s="26">
        <f t="shared" si="0"/>
        <v>0</v>
      </c>
      <c r="AC13" s="10">
        <v>0.8</v>
      </c>
      <c r="AD13" s="58">
        <f t="shared" si="1"/>
        <v>0.8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10">
        <v>0</v>
      </c>
      <c r="H14" s="10">
        <v>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44</v>
      </c>
      <c r="C15" s="3"/>
      <c r="D15" s="3"/>
      <c r="E15" s="3"/>
      <c r="F15" s="55" t="s">
        <v>40</v>
      </c>
      <c r="G15" s="10">
        <v>0</v>
      </c>
      <c r="H15" s="10">
        <v>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10">
        <v>0</v>
      </c>
      <c r="H16" s="10">
        <v>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10">
        <v>0</v>
      </c>
      <c r="H17" s="10">
        <v>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21" t="s">
        <v>165</v>
      </c>
      <c r="C18" s="3"/>
      <c r="D18" s="3"/>
      <c r="E18" s="3"/>
      <c r="F18" s="55" t="s">
        <v>40</v>
      </c>
      <c r="G18" s="10">
        <v>0</v>
      </c>
      <c r="H18" s="10">
        <v>0.4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0.4</v>
      </c>
      <c r="AD18" s="58">
        <f t="shared" si="1"/>
        <v>0.4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10">
        <v>0</v>
      </c>
      <c r="H19" s="10">
        <v>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0.3</v>
      </c>
      <c r="O19" s="10">
        <v>0.1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0.4</v>
      </c>
      <c r="AD19" s="58">
        <f t="shared" si="1"/>
        <v>0.4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>SUM(G11:G20)</f>
        <v>0.1</v>
      </c>
      <c r="H22" s="11">
        <f t="shared" si="2"/>
        <v>0.4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0.1</v>
      </c>
      <c r="M22" s="11">
        <f t="shared" si="2"/>
        <v>0.30000000000000004</v>
      </c>
      <c r="N22" s="11">
        <f t="shared" si="2"/>
        <v>0.60000000000000009</v>
      </c>
      <c r="O22" s="11">
        <f t="shared" si="2"/>
        <v>19.600000000000001</v>
      </c>
      <c r="P22" s="11">
        <f t="shared" si="2"/>
        <v>0.60000000000000009</v>
      </c>
      <c r="Q22" s="11">
        <f t="shared" si="2"/>
        <v>0.1</v>
      </c>
      <c r="R22" s="11">
        <f t="shared" si="2"/>
        <v>0.8</v>
      </c>
      <c r="S22" s="11">
        <f t="shared" si="2"/>
        <v>0.1</v>
      </c>
      <c r="T22" s="11">
        <f t="shared" si="2"/>
        <v>0</v>
      </c>
      <c r="U22" s="11">
        <f t="shared" si="2"/>
        <v>0.4</v>
      </c>
      <c r="V22" s="11">
        <f t="shared" si="2"/>
        <v>3.6</v>
      </c>
      <c r="W22" s="11">
        <f t="shared" si="2"/>
        <v>0.2</v>
      </c>
      <c r="X22" s="11">
        <f t="shared" si="2"/>
        <v>6.5</v>
      </c>
      <c r="Y22" s="11">
        <f t="shared" si="2"/>
        <v>1.3</v>
      </c>
      <c r="Z22" s="11">
        <f t="shared" si="2"/>
        <v>0.2</v>
      </c>
      <c r="AA22" s="11">
        <f t="shared" si="2"/>
        <v>0.1</v>
      </c>
      <c r="AB22" s="11">
        <f t="shared" si="2"/>
        <v>0</v>
      </c>
      <c r="AC22" s="11">
        <f t="shared" si="2"/>
        <v>34.999999999999993</v>
      </c>
      <c r="AD22" s="11">
        <f t="shared" si="2"/>
        <v>35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10">
        <v>0.2</v>
      </c>
      <c r="H25" s="10">
        <v>0</v>
      </c>
      <c r="I25" s="55" t="s">
        <v>40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1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1.2</v>
      </c>
      <c r="AD25" s="58">
        <f t="shared" ref="AD25:AD39" si="4">SUM(F25:AA25)</f>
        <v>1.2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55" t="s">
        <v>40</v>
      </c>
      <c r="G26" s="10">
        <v>0</v>
      </c>
      <c r="H26" s="10">
        <v>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10">
        <v>0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10">
        <v>0</v>
      </c>
      <c r="H27" s="10">
        <v>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55" t="s">
        <v>40</v>
      </c>
      <c r="J28" s="10">
        <v>0</v>
      </c>
      <c r="K28" s="10">
        <v>0.3</v>
      </c>
      <c r="L28" s="10">
        <v>0</v>
      </c>
      <c r="M28" s="62">
        <v>0.2</v>
      </c>
      <c r="N28" s="10">
        <v>0</v>
      </c>
      <c r="O28" s="10">
        <v>0</v>
      </c>
      <c r="P28" s="62">
        <v>0.1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62">
        <f>0.4+0.7</f>
        <v>1.1000000000000001</v>
      </c>
      <c r="W28" s="62">
        <f>0.4+0.1</f>
        <v>0.5</v>
      </c>
      <c r="X28" s="62">
        <f>1.1+0.4</f>
        <v>1.5</v>
      </c>
      <c r="Y28" s="10">
        <v>0.2</v>
      </c>
      <c r="Z28" s="10">
        <v>0</v>
      </c>
      <c r="AA28" s="10">
        <v>0</v>
      </c>
      <c r="AB28" s="26">
        <f t="shared" si="3"/>
        <v>0</v>
      </c>
      <c r="AC28" s="10">
        <v>3.9</v>
      </c>
      <c r="AD28" s="58">
        <f t="shared" si="4"/>
        <v>3.9000000000000004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0.2</v>
      </c>
      <c r="H30" s="10">
        <v>0.4</v>
      </c>
      <c r="I30" s="55" t="s">
        <v>40</v>
      </c>
      <c r="J30" s="10">
        <v>0.3</v>
      </c>
      <c r="K30" s="10">
        <v>0.1</v>
      </c>
      <c r="L30" s="10">
        <v>0.4</v>
      </c>
      <c r="M30" s="10">
        <v>0.1</v>
      </c>
      <c r="N30" s="10">
        <v>0.1</v>
      </c>
      <c r="O30" s="10">
        <v>0.3</v>
      </c>
      <c r="P30" s="10">
        <v>0.1</v>
      </c>
      <c r="Q30" s="10">
        <v>0.3</v>
      </c>
      <c r="R30" s="10">
        <v>0.2</v>
      </c>
      <c r="S30" s="10">
        <v>0.2</v>
      </c>
      <c r="T30" s="10">
        <v>0.1</v>
      </c>
      <c r="U30" s="10">
        <v>0.4</v>
      </c>
      <c r="V30" s="10">
        <v>0.6</v>
      </c>
      <c r="W30" s="10">
        <v>0.3</v>
      </c>
      <c r="X30" s="10">
        <v>0.1</v>
      </c>
      <c r="Y30" s="10">
        <v>0.2</v>
      </c>
      <c r="Z30" s="10">
        <v>0.2</v>
      </c>
      <c r="AA30" s="10">
        <v>0.4</v>
      </c>
      <c r="AB30" s="26">
        <f t="shared" si="3"/>
        <v>0.19999999999999929</v>
      </c>
      <c r="AC30" s="10">
        <v>5.2</v>
      </c>
      <c r="AD30" s="58">
        <f t="shared" si="4"/>
        <v>5.0000000000000009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0.1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0.1</v>
      </c>
      <c r="AD33" s="58">
        <f t="shared" si="4"/>
        <v>0.1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10">
        <v>0.1</v>
      </c>
      <c r="H34" s="10">
        <v>0.3</v>
      </c>
      <c r="I34" s="55" t="s">
        <v>40</v>
      </c>
      <c r="J34" s="10">
        <v>0.1</v>
      </c>
      <c r="K34" s="10">
        <v>0.1</v>
      </c>
      <c r="L34" s="10">
        <v>0.2</v>
      </c>
      <c r="M34" s="10">
        <v>0.1</v>
      </c>
      <c r="N34" s="10">
        <v>0.1</v>
      </c>
      <c r="O34" s="10">
        <v>0.2</v>
      </c>
      <c r="P34" s="10">
        <v>0.9</v>
      </c>
      <c r="Q34" s="10">
        <v>0.2</v>
      </c>
      <c r="R34" s="10">
        <v>0.2</v>
      </c>
      <c r="S34" s="10">
        <v>0.1</v>
      </c>
      <c r="T34" s="10">
        <v>0.2</v>
      </c>
      <c r="U34" s="10">
        <v>0.2</v>
      </c>
      <c r="V34" s="10">
        <v>0.2</v>
      </c>
      <c r="W34" s="10">
        <v>0.1</v>
      </c>
      <c r="X34" s="10">
        <v>0.1</v>
      </c>
      <c r="Y34" s="10">
        <v>0.1</v>
      </c>
      <c r="Z34" s="10">
        <v>0.2</v>
      </c>
      <c r="AA34" s="10">
        <v>0.2</v>
      </c>
      <c r="AB34" s="26">
        <f t="shared" si="3"/>
        <v>0.99999999999999867</v>
      </c>
      <c r="AC34" s="10">
        <v>4.9000000000000004</v>
      </c>
      <c r="AD34" s="58">
        <f t="shared" si="4"/>
        <v>3.9000000000000017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">
      <c r="A36" s="19"/>
      <c r="B36" s="17" t="s">
        <v>74</v>
      </c>
      <c r="C36" s="3"/>
      <c r="D36" s="3"/>
      <c r="E36" s="3"/>
      <c r="F36" s="55" t="s">
        <v>40</v>
      </c>
      <c r="G36" s="10">
        <v>0</v>
      </c>
      <c r="H36" s="10">
        <v>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74</v>
      </c>
      <c r="C37" s="3"/>
      <c r="D37" s="3"/>
      <c r="E37" s="3"/>
      <c r="F37" s="55" t="s">
        <v>40</v>
      </c>
      <c r="G37" s="10">
        <v>0</v>
      </c>
      <c r="H37" s="10">
        <v>0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74</v>
      </c>
      <c r="C38" s="3"/>
      <c r="D38" s="3"/>
      <c r="E38" s="3"/>
      <c r="F38" s="55" t="s">
        <v>40</v>
      </c>
      <c r="G38" s="10">
        <v>0</v>
      </c>
      <c r="H38" s="10">
        <v>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0.1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0.1</v>
      </c>
      <c r="AD39" s="59">
        <f t="shared" si="4"/>
        <v>0.1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0.5</v>
      </c>
      <c r="H41" s="11">
        <f t="shared" si="5"/>
        <v>0.79999999999999993</v>
      </c>
      <c r="I41" s="11">
        <f t="shared" si="5"/>
        <v>0</v>
      </c>
      <c r="J41" s="11">
        <f t="shared" si="5"/>
        <v>0.4</v>
      </c>
      <c r="K41" s="11">
        <f t="shared" si="5"/>
        <v>0.5</v>
      </c>
      <c r="L41" s="11">
        <f t="shared" si="5"/>
        <v>0.60000000000000009</v>
      </c>
      <c r="M41" s="11">
        <f t="shared" si="5"/>
        <v>0.4</v>
      </c>
      <c r="N41" s="11">
        <f t="shared" si="5"/>
        <v>0.2</v>
      </c>
      <c r="O41" s="11">
        <f t="shared" si="5"/>
        <v>0.5</v>
      </c>
      <c r="P41" s="11">
        <f t="shared" si="5"/>
        <v>1.2000000000000002</v>
      </c>
      <c r="Q41" s="11">
        <f t="shared" si="5"/>
        <v>0.5</v>
      </c>
      <c r="R41" s="11">
        <f t="shared" si="5"/>
        <v>0.4</v>
      </c>
      <c r="S41" s="11">
        <f t="shared" si="5"/>
        <v>0.30000000000000004</v>
      </c>
      <c r="T41" s="11">
        <f t="shared" si="5"/>
        <v>0.30000000000000004</v>
      </c>
      <c r="U41" s="11">
        <f t="shared" si="5"/>
        <v>1.5999999999999999</v>
      </c>
      <c r="V41" s="11">
        <f t="shared" si="5"/>
        <v>1.9000000000000001</v>
      </c>
      <c r="W41" s="11">
        <f t="shared" si="5"/>
        <v>0.9</v>
      </c>
      <c r="X41" s="11">
        <f t="shared" si="5"/>
        <v>1.7000000000000002</v>
      </c>
      <c r="Y41" s="11">
        <f t="shared" si="5"/>
        <v>0.5</v>
      </c>
      <c r="Z41" s="11">
        <f t="shared" si="5"/>
        <v>0.4</v>
      </c>
      <c r="AA41" s="11">
        <f t="shared" si="5"/>
        <v>0.60000000000000009</v>
      </c>
      <c r="AB41" s="11">
        <f t="shared" si="5"/>
        <v>1.199999999999998</v>
      </c>
      <c r="AC41" s="11">
        <f t="shared" si="5"/>
        <v>15.4</v>
      </c>
      <c r="AD41" s="11">
        <f t="shared" si="5"/>
        <v>14.200000000000003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-0.4</v>
      </c>
      <c r="H43" s="35">
        <f t="shared" si="6"/>
        <v>-0.39999999999999991</v>
      </c>
      <c r="I43" s="35">
        <f t="shared" si="6"/>
        <v>0</v>
      </c>
      <c r="J43" s="35">
        <f t="shared" si="6"/>
        <v>-0.4</v>
      </c>
      <c r="K43" s="35">
        <f t="shared" si="6"/>
        <v>-0.5</v>
      </c>
      <c r="L43" s="35">
        <f t="shared" si="6"/>
        <v>-0.50000000000000011</v>
      </c>
      <c r="M43" s="35">
        <f t="shared" si="6"/>
        <v>-9.9999999999999978E-2</v>
      </c>
      <c r="N43" s="35">
        <f t="shared" si="6"/>
        <v>0.40000000000000008</v>
      </c>
      <c r="O43" s="35">
        <f t="shared" si="6"/>
        <v>19.100000000000001</v>
      </c>
      <c r="P43" s="35">
        <f t="shared" si="6"/>
        <v>-0.60000000000000009</v>
      </c>
      <c r="Q43" s="35">
        <f t="shared" si="6"/>
        <v>-0.4</v>
      </c>
      <c r="R43" s="35">
        <f t="shared" si="6"/>
        <v>0.4</v>
      </c>
      <c r="S43" s="35">
        <f t="shared" si="6"/>
        <v>-0.20000000000000004</v>
      </c>
      <c r="T43" s="35">
        <f t="shared" si="6"/>
        <v>-0.30000000000000004</v>
      </c>
      <c r="U43" s="35">
        <f t="shared" si="6"/>
        <v>-1.1999999999999997</v>
      </c>
      <c r="V43" s="35">
        <f t="shared" si="6"/>
        <v>1.7</v>
      </c>
      <c r="W43" s="35">
        <f t="shared" si="6"/>
        <v>-0.7</v>
      </c>
      <c r="X43" s="35">
        <f t="shared" si="6"/>
        <v>4.8</v>
      </c>
      <c r="Y43" s="35">
        <f t="shared" si="6"/>
        <v>0.8</v>
      </c>
      <c r="Z43" s="35">
        <f t="shared" si="6"/>
        <v>-0.2</v>
      </c>
      <c r="AA43" s="35">
        <f t="shared" si="6"/>
        <v>-0.50000000000000011</v>
      </c>
      <c r="AB43" s="35">
        <f t="shared" si="6"/>
        <v>-1.199999999999998</v>
      </c>
      <c r="AC43" s="35">
        <f t="shared" si="6"/>
        <v>19.599999999999994</v>
      </c>
      <c r="AD43" s="35">
        <f t="shared" si="6"/>
        <v>20.799999999999997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'NNG-Jul'!A2</f>
        <v>JULY,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'NNG-Jul'!A3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'NNG-Jul'!F7</f>
        <v>0</v>
      </c>
      <c r="G7" s="48" t="str">
        <f>'NNG-Jul'!G7</f>
        <v>Act</v>
      </c>
      <c r="H7" s="48" t="str">
        <f>'NNG-Jul'!H7</f>
        <v>Act</v>
      </c>
      <c r="I7" s="48" t="str">
        <f>'NNG-Jul'!I7</f>
        <v>B.C.</v>
      </c>
      <c r="J7" s="48" t="str">
        <f>'NNG-Jul'!J7</f>
        <v>Act</v>
      </c>
      <c r="K7" s="48" t="str">
        <f>'NNG-Jul'!K7</f>
        <v>Act</v>
      </c>
      <c r="L7" s="48" t="str">
        <f>'NNG-Jul'!L7</f>
        <v>Act</v>
      </c>
      <c r="M7" s="48" t="str">
        <f>'NNG-Jul'!M7</f>
        <v>Act</v>
      </c>
      <c r="N7" s="48" t="str">
        <f>'NNG-Jul'!N7</f>
        <v>Act</v>
      </c>
      <c r="O7" s="48" t="str">
        <f>'NNG-Jul'!O7</f>
        <v>Act</v>
      </c>
      <c r="P7" s="48" t="str">
        <f>'NNG-Jul'!P7</f>
        <v>Act</v>
      </c>
      <c r="Q7" s="48" t="str">
        <f>'NNG-Jul'!Q7</f>
        <v>Act</v>
      </c>
      <c r="R7" s="48" t="str">
        <f>'NNG-Jul'!R7</f>
        <v>Act</v>
      </c>
      <c r="S7" s="48" t="str">
        <f>'NNG-Jul'!S7</f>
        <v>Act</v>
      </c>
      <c r="T7" s="48" t="str">
        <f>'NNG-Jul'!T7</f>
        <v>Act</v>
      </c>
      <c r="U7" s="48" t="str">
        <f>'NNG-Jul'!U7</f>
        <v>Act</v>
      </c>
      <c r="V7" s="48" t="str">
        <f>'NNG-Jul'!V7</f>
        <v>Act</v>
      </c>
      <c r="W7" s="48" t="str">
        <f>'NNG-Jul'!W7</f>
        <v>Act</v>
      </c>
      <c r="X7" s="48" t="str">
        <f>'NNG-Jul'!X7</f>
        <v>Act</v>
      </c>
      <c r="Y7" s="48" t="str">
        <f>'NNG-Jul'!Y7</f>
        <v>Act</v>
      </c>
      <c r="Z7" s="48" t="str">
        <f>'NNG-Jul'!Z7</f>
        <v>Act</v>
      </c>
      <c r="AA7" s="48" t="str">
        <f>'NNG-Jul'!AA7</f>
        <v>Act</v>
      </c>
      <c r="AB7" s="48" t="str">
        <f>'NNG-Jul'!AB7</f>
        <v>Act</v>
      </c>
      <c r="AC7" s="48"/>
      <c r="AD7" s="48" t="str">
        <f>'NNG-Jul'!AD7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'NNG-Jul'!F8</f>
        <v>Day</v>
      </c>
      <c r="G8" s="48" t="str">
        <f>'NNG-Jul'!G8</f>
        <v>Mon</v>
      </c>
      <c r="H8" s="48" t="str">
        <f>'NNG-Jul'!H8</f>
        <v>Tue</v>
      </c>
      <c r="I8" s="48" t="str">
        <f>'NNG-Jul'!I8</f>
        <v>Wed</v>
      </c>
      <c r="J8" s="48" t="str">
        <f>'NNG-Jul'!J8</f>
        <v>Thu</v>
      </c>
      <c r="K8" s="48" t="str">
        <f>'NNG-Jul'!K8</f>
        <v>Fri</v>
      </c>
      <c r="L8" s="48" t="str">
        <f>'NNG-Jul'!L8</f>
        <v>Mon</v>
      </c>
      <c r="M8" s="48" t="str">
        <f>'NNG-Jul'!M8</f>
        <v>Tue</v>
      </c>
      <c r="N8" s="48" t="str">
        <f>'NNG-Jul'!N8</f>
        <v>Wed</v>
      </c>
      <c r="O8" s="48" t="str">
        <f>'NNG-Jul'!O8</f>
        <v>Thu</v>
      </c>
      <c r="P8" s="48" t="str">
        <f>'NNG-Jul'!P8</f>
        <v>Fri</v>
      </c>
      <c r="Q8" s="48" t="str">
        <f>'NNG-Jul'!Q8</f>
        <v>Mon</v>
      </c>
      <c r="R8" s="48" t="str">
        <f>'NNG-Jul'!R8</f>
        <v>Tue</v>
      </c>
      <c r="S8" s="48" t="str">
        <f>'NNG-Jul'!S8</f>
        <v>Wed</v>
      </c>
      <c r="T8" s="48" t="str">
        <f>'NNG-Jul'!T8</f>
        <v>Thu</v>
      </c>
      <c r="U8" s="48" t="str">
        <f>'NNG-Jul'!U8</f>
        <v>Fri</v>
      </c>
      <c r="V8" s="48" t="str">
        <f>'NNG-Jul'!V8</f>
        <v>Mon</v>
      </c>
      <c r="W8" s="48" t="str">
        <f>'NNG-Jul'!W8</f>
        <v>Tue</v>
      </c>
      <c r="X8" s="48" t="str">
        <f>'NNG-Jul'!X8</f>
        <v>Wed</v>
      </c>
      <c r="Y8" s="48" t="str">
        <f>'NNG-Jul'!Y8</f>
        <v>Thu</v>
      </c>
      <c r="Z8" s="48" t="str">
        <f>'NNG-Jul'!Z8</f>
        <v>Fri</v>
      </c>
      <c r="AA8" s="48" t="str">
        <f>'NNG-Jul'!AA8</f>
        <v>Mon</v>
      </c>
      <c r="AB8" s="48" t="str">
        <f>'NNG-Jul'!AB8</f>
        <v>Tue</v>
      </c>
      <c r="AC8" s="48" t="str">
        <f>'NNG-Jul'!AC8</f>
        <v>JULY</v>
      </c>
      <c r="AD8" s="48" t="str">
        <f>'NNG-Jul'!AD8</f>
        <v>7/1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'NNG-Jul'!F9</f>
        <v>0/0</v>
      </c>
      <c r="G9" s="49" t="str">
        <f>'NNG-Jul'!G9</f>
        <v>7/2</v>
      </c>
      <c r="H9" s="49" t="str">
        <f>'NNG-Jul'!H9</f>
        <v>7/3</v>
      </c>
      <c r="I9" s="49" t="str">
        <f>'NNG-Jul'!I9</f>
        <v>7/4</v>
      </c>
      <c r="J9" s="49" t="str">
        <f>'NNG-Jul'!J9</f>
        <v>7/5</v>
      </c>
      <c r="K9" s="49" t="str">
        <f>'NNG-Jul'!K9</f>
        <v>7/6</v>
      </c>
      <c r="L9" s="49" t="str">
        <f>'NNG-Jul'!L9</f>
        <v>7/9</v>
      </c>
      <c r="M9" s="49" t="str">
        <f>'NNG-Jul'!M9</f>
        <v>7/10</v>
      </c>
      <c r="N9" s="49" t="str">
        <f>'NNG-Jul'!N9</f>
        <v>7/11</v>
      </c>
      <c r="O9" s="49" t="str">
        <f>'NNG-Jul'!O9</f>
        <v>7/12</v>
      </c>
      <c r="P9" s="49" t="str">
        <f>'NNG-Jul'!P9</f>
        <v>7/13</v>
      </c>
      <c r="Q9" s="49" t="str">
        <f>'NNG-Jul'!Q9</f>
        <v>7/16</v>
      </c>
      <c r="R9" s="49" t="str">
        <f>'NNG-Jul'!R9</f>
        <v>7/17</v>
      </c>
      <c r="S9" s="49" t="str">
        <f>'NNG-Jul'!S9</f>
        <v>7/18</v>
      </c>
      <c r="T9" s="49" t="str">
        <f>'NNG-Jul'!T9</f>
        <v>7/19</v>
      </c>
      <c r="U9" s="49" t="str">
        <f>'NNG-Jul'!U9</f>
        <v>7/20</v>
      </c>
      <c r="V9" s="49" t="str">
        <f>'NNG-Jul'!V9</f>
        <v>7/23</v>
      </c>
      <c r="W9" s="49" t="str">
        <f>'NNG-Jul'!W9</f>
        <v>7/24</v>
      </c>
      <c r="X9" s="49" t="str">
        <f>'NNG-Jul'!X9</f>
        <v>7/25</v>
      </c>
      <c r="Y9" s="49" t="str">
        <f>'NNG-Jul'!Y9</f>
        <v>7/26</v>
      </c>
      <c r="Z9" s="49" t="str">
        <f>'NNG-Jul'!Z9</f>
        <v>7/27</v>
      </c>
      <c r="AA9" s="49" t="str">
        <f>'NNG-Jul'!AA9</f>
        <v>7/30</v>
      </c>
      <c r="AB9" s="49" t="str">
        <f>'NNG-Jul'!AB9</f>
        <v>7/31</v>
      </c>
      <c r="AC9" s="49" t="str">
        <f>'NNG-Jul'!AC9</f>
        <v>TOTAL</v>
      </c>
      <c r="AD9" s="49" t="str">
        <f>'NNG-Jul'!AD9</f>
        <v>7/30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</v>
      </c>
      <c r="I11" s="55" t="s">
        <v>40</v>
      </c>
      <c r="J11" s="10">
        <v>0</v>
      </c>
      <c r="K11" s="10">
        <v>0</v>
      </c>
      <c r="L11" s="10">
        <v>0</v>
      </c>
      <c r="M11" s="10">
        <v>0.1</v>
      </c>
      <c r="N11" s="10">
        <v>0</v>
      </c>
      <c r="O11" s="10">
        <v>0.7</v>
      </c>
      <c r="P11" s="10">
        <v>10</v>
      </c>
      <c r="Q11" s="10">
        <v>0.3</v>
      </c>
      <c r="R11" s="10">
        <v>0</v>
      </c>
      <c r="S11" s="10">
        <v>1.5</v>
      </c>
      <c r="T11" s="10">
        <v>0.1</v>
      </c>
      <c r="U11" s="10">
        <v>0.3</v>
      </c>
      <c r="V11" s="10">
        <v>0</v>
      </c>
      <c r="W11" s="10">
        <v>0</v>
      </c>
      <c r="X11" s="10">
        <v>0.4</v>
      </c>
      <c r="Y11" s="10">
        <v>0.3</v>
      </c>
      <c r="Z11" s="10">
        <v>0</v>
      </c>
      <c r="AA11" s="10">
        <v>0</v>
      </c>
      <c r="AB11" s="26">
        <f t="shared" ref="AB11:AB20" si="0">AC11-SUM(F11:AA11)</f>
        <v>0</v>
      </c>
      <c r="AC11" s="60">
        <f>13.4+0.3</f>
        <v>13.700000000000001</v>
      </c>
      <c r="AD11" s="36">
        <f>SUM(F11:AA11)</f>
        <v>13.700000000000003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10">
        <v>0.3</v>
      </c>
      <c r="H12" s="10">
        <v>0</v>
      </c>
      <c r="I12" s="55" t="s">
        <v>40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0.3</v>
      </c>
      <c r="AD12" s="36">
        <f t="shared" ref="AD12:AD20" si="1">SUM(F12:AA12)</f>
        <v>0.3</v>
      </c>
      <c r="AE12" s="3"/>
    </row>
    <row r="13" spans="1:31" ht="15" customHeight="1" x14ac:dyDescent="0.2">
      <c r="A13" s="19"/>
      <c r="B13" s="21"/>
      <c r="C13" s="21" t="s">
        <v>251</v>
      </c>
      <c r="D13" s="3"/>
      <c r="E13" s="3"/>
      <c r="F13" s="55" t="s">
        <v>40</v>
      </c>
      <c r="G13" s="10">
        <v>0</v>
      </c>
      <c r="H13" s="10">
        <v>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0.9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0.9</v>
      </c>
      <c r="AD13" s="36">
        <f t="shared" si="1"/>
        <v>0.9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10">
        <v>0</v>
      </c>
      <c r="H14" s="10">
        <v>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3.3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3.3</v>
      </c>
      <c r="AD14" s="36">
        <f t="shared" si="1"/>
        <v>3.3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3"/>
      <c r="F16" s="55" t="s">
        <v>40</v>
      </c>
      <c r="G16" s="10">
        <v>0</v>
      </c>
      <c r="H16" s="10">
        <v>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8.1999999999999993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8.1999999999999993</v>
      </c>
      <c r="AD16" s="36">
        <f t="shared" si="1"/>
        <v>8.1999999999999993</v>
      </c>
      <c r="AE16" s="3"/>
    </row>
    <row r="17" spans="1:31" ht="15" customHeight="1" x14ac:dyDescent="0.2">
      <c r="A17" s="19"/>
      <c r="B17" s="21" t="s">
        <v>80</v>
      </c>
      <c r="C17" s="3"/>
      <c r="D17" s="3"/>
      <c r="E17" s="3"/>
      <c r="F17" s="55" t="s">
        <v>40</v>
      </c>
      <c r="G17" s="10">
        <v>0</v>
      </c>
      <c r="H17" s="10">
        <v>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0.2</v>
      </c>
      <c r="AC17" s="10">
        <v>0.2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10">
        <v>0</v>
      </c>
      <c r="H18" s="10">
        <v>0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10">
        <v>0</v>
      </c>
      <c r="H19" s="10">
        <v>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0.1</v>
      </c>
      <c r="AC19" s="10">
        <v>0.1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0.3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0.1</v>
      </c>
      <c r="N22" s="11">
        <f t="shared" si="2"/>
        <v>0</v>
      </c>
      <c r="O22" s="11">
        <f t="shared" si="2"/>
        <v>0.7</v>
      </c>
      <c r="P22" s="11">
        <f t="shared" si="2"/>
        <v>18.2</v>
      </c>
      <c r="Q22" s="11">
        <f t="shared" si="2"/>
        <v>0.3</v>
      </c>
      <c r="R22" s="11">
        <f t="shared" si="2"/>
        <v>0</v>
      </c>
      <c r="S22" s="11">
        <f t="shared" si="2"/>
        <v>1.5</v>
      </c>
      <c r="T22" s="11">
        <f t="shared" si="2"/>
        <v>0.1</v>
      </c>
      <c r="U22" s="11">
        <f t="shared" si="2"/>
        <v>0.3</v>
      </c>
      <c r="V22" s="11">
        <f t="shared" si="2"/>
        <v>0</v>
      </c>
      <c r="W22" s="11">
        <f t="shared" si="2"/>
        <v>0</v>
      </c>
      <c r="X22" s="11">
        <f t="shared" si="2"/>
        <v>4.5999999999999996</v>
      </c>
      <c r="Y22" s="11">
        <f t="shared" si="2"/>
        <v>0.3</v>
      </c>
      <c r="Z22" s="11">
        <f t="shared" si="2"/>
        <v>0</v>
      </c>
      <c r="AA22" s="11">
        <f t="shared" si="2"/>
        <v>0</v>
      </c>
      <c r="AB22" s="11">
        <f t="shared" si="2"/>
        <v>0.30000000000000004</v>
      </c>
      <c r="AC22" s="11">
        <f t="shared" si="2"/>
        <v>26.700000000000003</v>
      </c>
      <c r="AD22" s="11">
        <f t="shared" si="2"/>
        <v>26.400000000000002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10">
        <v>0</v>
      </c>
      <c r="H25" s="10">
        <v>0</v>
      </c>
      <c r="I25" s="55" t="s">
        <v>40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10">
        <v>0</v>
      </c>
      <c r="H26" s="10">
        <v>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0.1</v>
      </c>
      <c r="AC26" s="10">
        <v>0.1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10">
        <v>0</v>
      </c>
      <c r="H27" s="10">
        <v>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55" t="s">
        <v>40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0.2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0.2</v>
      </c>
      <c r="AD28" s="36">
        <f t="shared" si="4"/>
        <v>0.2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0.1</v>
      </c>
      <c r="H30" s="10">
        <v>0.1</v>
      </c>
      <c r="I30" s="55" t="s">
        <v>40</v>
      </c>
      <c r="J30" s="10">
        <v>0.1</v>
      </c>
      <c r="K30" s="10">
        <v>0.2</v>
      </c>
      <c r="L30" s="10">
        <v>0.4</v>
      </c>
      <c r="M30" s="10">
        <v>0.2</v>
      </c>
      <c r="N30" s="10">
        <v>0.1</v>
      </c>
      <c r="O30" s="10">
        <v>0</v>
      </c>
      <c r="P30" s="10">
        <v>0.1</v>
      </c>
      <c r="Q30" s="10">
        <v>0.1</v>
      </c>
      <c r="R30" s="10">
        <v>0</v>
      </c>
      <c r="S30" s="10">
        <v>0.1</v>
      </c>
      <c r="T30" s="10">
        <v>0</v>
      </c>
      <c r="U30" s="10">
        <v>0.1</v>
      </c>
      <c r="V30" s="10">
        <v>0</v>
      </c>
      <c r="W30" s="10">
        <v>0.1</v>
      </c>
      <c r="X30" s="10">
        <v>0</v>
      </c>
      <c r="Y30" s="10">
        <v>0.1</v>
      </c>
      <c r="Z30" s="10">
        <v>0.2</v>
      </c>
      <c r="AA30" s="10">
        <v>0.1</v>
      </c>
      <c r="AB30" s="26">
        <f t="shared" si="3"/>
        <v>0.19999999999999929</v>
      </c>
      <c r="AC30" s="60">
        <f>2.2+0.1</f>
        <v>2.3000000000000003</v>
      </c>
      <c r="AD30" s="36">
        <f t="shared" si="4"/>
        <v>2.100000000000001</v>
      </c>
      <c r="AE30" s="3"/>
    </row>
    <row r="31" spans="1:31" ht="15" customHeight="1" x14ac:dyDescent="0.2">
      <c r="A31" s="19"/>
      <c r="B31" s="17"/>
      <c r="C31" s="21" t="s">
        <v>252</v>
      </c>
      <c r="D31" s="3"/>
      <c r="E31" s="4"/>
      <c r="F31" s="55" t="s">
        <v>40</v>
      </c>
      <c r="G31" s="10">
        <v>2.6</v>
      </c>
      <c r="H31" s="10">
        <v>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3.9-1.3</f>
        <v>2.5999999999999996</v>
      </c>
      <c r="AD31" s="36">
        <f t="shared" si="4"/>
        <v>2.6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36">
        <f t="shared" si="4"/>
        <v>0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10">
        <v>0</v>
      </c>
      <c r="H34" s="10">
        <v>0.1</v>
      </c>
      <c r="I34" s="55" t="s">
        <v>40</v>
      </c>
      <c r="J34" s="10">
        <v>0</v>
      </c>
      <c r="K34" s="10">
        <v>0.1</v>
      </c>
      <c r="L34" s="10">
        <v>0</v>
      </c>
      <c r="M34" s="10">
        <v>0.1</v>
      </c>
      <c r="N34" s="10">
        <v>0</v>
      </c>
      <c r="O34" s="10">
        <v>0.1</v>
      </c>
      <c r="P34" s="10">
        <v>0.2</v>
      </c>
      <c r="Q34" s="10">
        <v>0</v>
      </c>
      <c r="R34" s="10">
        <v>0</v>
      </c>
      <c r="S34" s="10">
        <v>0</v>
      </c>
      <c r="T34" s="10">
        <v>0.1</v>
      </c>
      <c r="U34" s="10">
        <v>0</v>
      </c>
      <c r="V34" s="10">
        <v>0</v>
      </c>
      <c r="W34" s="10">
        <v>0</v>
      </c>
      <c r="X34" s="10">
        <v>0.1</v>
      </c>
      <c r="Y34" s="10">
        <v>0</v>
      </c>
      <c r="Z34" s="10">
        <v>0.1</v>
      </c>
      <c r="AA34" s="10">
        <v>0.1</v>
      </c>
      <c r="AB34" s="26">
        <f t="shared" si="3"/>
        <v>0.5</v>
      </c>
      <c r="AC34" s="10">
        <v>1.5</v>
      </c>
      <c r="AD34" s="36">
        <f t="shared" si="4"/>
        <v>1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55" t="s">
        <v>40</v>
      </c>
      <c r="G36" s="10">
        <v>0</v>
      </c>
      <c r="H36" s="10">
        <v>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0.2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0.2</v>
      </c>
      <c r="AD36" s="36">
        <f t="shared" si="4"/>
        <v>0.2</v>
      </c>
      <c r="AE36" s="3"/>
    </row>
    <row r="37" spans="1:31" ht="15" customHeight="1" x14ac:dyDescent="0.2">
      <c r="A37" s="19"/>
      <c r="B37" s="21" t="s">
        <v>253</v>
      </c>
      <c r="C37" s="3"/>
      <c r="D37" s="3"/>
      <c r="E37" s="3"/>
      <c r="F37" s="55" t="s">
        <v>40</v>
      </c>
      <c r="G37" s="10">
        <v>0</v>
      </c>
      <c r="H37" s="36">
        <v>10.7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7.8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60">
        <f>10.7+7.8</f>
        <v>18.5</v>
      </c>
      <c r="AD37" s="36">
        <f t="shared" si="4"/>
        <v>18.5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10">
        <v>0</v>
      </c>
      <c r="H38" s="10">
        <v>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2.7</v>
      </c>
      <c r="H41" s="11">
        <f t="shared" si="5"/>
        <v>10.899999999999999</v>
      </c>
      <c r="I41" s="11">
        <f t="shared" si="5"/>
        <v>0</v>
      </c>
      <c r="J41" s="11">
        <f t="shared" si="5"/>
        <v>0.1</v>
      </c>
      <c r="K41" s="11">
        <f t="shared" si="5"/>
        <v>0.30000000000000004</v>
      </c>
      <c r="L41" s="11">
        <f t="shared" si="5"/>
        <v>0.4</v>
      </c>
      <c r="M41" s="11">
        <f t="shared" si="5"/>
        <v>0.30000000000000004</v>
      </c>
      <c r="N41" s="11">
        <f t="shared" si="5"/>
        <v>0.1</v>
      </c>
      <c r="O41" s="11">
        <f t="shared" si="5"/>
        <v>0.1</v>
      </c>
      <c r="P41" s="11">
        <f t="shared" si="5"/>
        <v>0.5</v>
      </c>
      <c r="Q41" s="11">
        <f t="shared" si="5"/>
        <v>0.1</v>
      </c>
      <c r="R41" s="11">
        <f t="shared" si="5"/>
        <v>0</v>
      </c>
      <c r="S41" s="11">
        <f t="shared" si="5"/>
        <v>0.1</v>
      </c>
      <c r="T41" s="11">
        <f t="shared" si="5"/>
        <v>8.1</v>
      </c>
      <c r="U41" s="11">
        <f t="shared" si="5"/>
        <v>0.1</v>
      </c>
      <c r="V41" s="11">
        <f t="shared" si="5"/>
        <v>0</v>
      </c>
      <c r="W41" s="11">
        <f t="shared" si="5"/>
        <v>0.1</v>
      </c>
      <c r="X41" s="11">
        <f t="shared" si="5"/>
        <v>0.1</v>
      </c>
      <c r="Y41" s="11">
        <f t="shared" si="5"/>
        <v>0.1</v>
      </c>
      <c r="Z41" s="11">
        <f t="shared" si="5"/>
        <v>0.30000000000000004</v>
      </c>
      <c r="AA41" s="11">
        <f t="shared" si="5"/>
        <v>0.2</v>
      </c>
      <c r="AB41" s="11">
        <f t="shared" si="5"/>
        <v>0.79999999999999927</v>
      </c>
      <c r="AC41" s="11">
        <f t="shared" si="5"/>
        <v>25.4</v>
      </c>
      <c r="AD41" s="11">
        <f t="shared" si="5"/>
        <v>24.6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-2.4000000000000004</v>
      </c>
      <c r="H43" s="35">
        <f t="shared" si="6"/>
        <v>-10.899999999999999</v>
      </c>
      <c r="I43" s="35">
        <f t="shared" si="6"/>
        <v>0</v>
      </c>
      <c r="J43" s="35">
        <f t="shared" si="6"/>
        <v>-0.1</v>
      </c>
      <c r="K43" s="35">
        <f t="shared" si="6"/>
        <v>-0.30000000000000004</v>
      </c>
      <c r="L43" s="35">
        <f t="shared" si="6"/>
        <v>-0.4</v>
      </c>
      <c r="M43" s="35">
        <f t="shared" si="6"/>
        <v>-0.20000000000000004</v>
      </c>
      <c r="N43" s="35">
        <f t="shared" si="6"/>
        <v>-0.1</v>
      </c>
      <c r="O43" s="35">
        <f t="shared" si="6"/>
        <v>0.6</v>
      </c>
      <c r="P43" s="35">
        <f t="shared" si="6"/>
        <v>17.7</v>
      </c>
      <c r="Q43" s="35">
        <f t="shared" si="6"/>
        <v>0.19999999999999998</v>
      </c>
      <c r="R43" s="35">
        <f t="shared" si="6"/>
        <v>0</v>
      </c>
      <c r="S43" s="35">
        <f t="shared" si="6"/>
        <v>1.4</v>
      </c>
      <c r="T43" s="35">
        <f t="shared" si="6"/>
        <v>-8</v>
      </c>
      <c r="U43" s="35">
        <f t="shared" si="6"/>
        <v>0.19999999999999998</v>
      </c>
      <c r="V43" s="35">
        <f t="shared" si="6"/>
        <v>0</v>
      </c>
      <c r="W43" s="35">
        <f t="shared" si="6"/>
        <v>-0.1</v>
      </c>
      <c r="X43" s="35">
        <f t="shared" si="6"/>
        <v>4.5</v>
      </c>
      <c r="Y43" s="35">
        <f t="shared" si="6"/>
        <v>0.19999999999999998</v>
      </c>
      <c r="Z43" s="35">
        <f t="shared" si="6"/>
        <v>-0.30000000000000004</v>
      </c>
      <c r="AA43" s="35">
        <f t="shared" si="6"/>
        <v>-0.2</v>
      </c>
      <c r="AB43" s="35">
        <f t="shared" si="6"/>
        <v>-0.49999999999999922</v>
      </c>
      <c r="AC43" s="35">
        <f t="shared" si="6"/>
        <v>1.3000000000000043</v>
      </c>
      <c r="AD43" s="35">
        <f t="shared" si="6"/>
        <v>1.8000000000000007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'NNG-Jul'!F43</f>
        <v>0</v>
      </c>
      <c r="G48" s="75">
        <f>'NNG-Jul'!G43</f>
        <v>-0.4</v>
      </c>
      <c r="H48" s="75">
        <f>'NNG-Jul'!H43</f>
        <v>-0.39999999999999991</v>
      </c>
      <c r="I48" s="75">
        <f>'NNG-Jul'!I43</f>
        <v>0</v>
      </c>
      <c r="J48" s="75">
        <f>'NNG-Jul'!J43</f>
        <v>-0.4</v>
      </c>
      <c r="K48" s="75">
        <f>'NNG-Jul'!K43</f>
        <v>-0.5</v>
      </c>
      <c r="L48" s="75">
        <f>'NNG-Jul'!L43</f>
        <v>-0.50000000000000011</v>
      </c>
      <c r="M48" s="75">
        <f>'NNG-Jul'!M43</f>
        <v>-9.9999999999999978E-2</v>
      </c>
      <c r="N48" s="75">
        <f>'NNG-Jul'!N43</f>
        <v>0.40000000000000008</v>
      </c>
      <c r="O48" s="75">
        <f>'NNG-Jul'!O43</f>
        <v>19.100000000000001</v>
      </c>
      <c r="P48" s="75">
        <f>'NNG-Jul'!P43</f>
        <v>-0.60000000000000009</v>
      </c>
      <c r="Q48" s="75">
        <f>'NNG-Jul'!Q43</f>
        <v>-0.4</v>
      </c>
      <c r="R48" s="75">
        <f>'NNG-Jul'!R43</f>
        <v>0.4</v>
      </c>
      <c r="S48" s="75">
        <f>'NNG-Jul'!S43</f>
        <v>-0.20000000000000004</v>
      </c>
      <c r="T48" s="75">
        <f>'NNG-Jul'!T43</f>
        <v>-0.30000000000000004</v>
      </c>
      <c r="U48" s="75">
        <f>'NNG-Jul'!U43</f>
        <v>-1.1999999999999997</v>
      </c>
      <c r="V48" s="75">
        <f>'NNG-Jul'!V43</f>
        <v>1.7</v>
      </c>
      <c r="W48" s="75">
        <f>'NNG-Jul'!W43</f>
        <v>-0.7</v>
      </c>
      <c r="X48" s="75">
        <f>'NNG-Jul'!X43</f>
        <v>4.8</v>
      </c>
      <c r="Y48" s="75">
        <f>'NNG-Jul'!Y43</f>
        <v>0.8</v>
      </c>
      <c r="Z48" s="75">
        <f>'NNG-Jul'!Z43</f>
        <v>-0.2</v>
      </c>
      <c r="AA48" s="75">
        <f>'NNG-Jul'!AA43</f>
        <v>-0.50000000000000011</v>
      </c>
      <c r="AB48" s="75">
        <f>'NNG-Jul'!AB43</f>
        <v>-1.199999999999998</v>
      </c>
      <c r="AC48" s="75">
        <f>'NNG-Jul'!AC43</f>
        <v>19.599999999999994</v>
      </c>
      <c r="AD48" s="75">
        <f>'NNG-Jul'!AD43</f>
        <v>20.799999999999997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-2.4000000000000004</v>
      </c>
      <c r="H49" s="75">
        <f t="shared" si="7"/>
        <v>-10.899999999999999</v>
      </c>
      <c r="I49" s="75">
        <f t="shared" si="7"/>
        <v>0</v>
      </c>
      <c r="J49" s="75">
        <f t="shared" si="7"/>
        <v>-0.1</v>
      </c>
      <c r="K49" s="75">
        <f t="shared" si="7"/>
        <v>-0.30000000000000004</v>
      </c>
      <c r="L49" s="75">
        <f t="shared" si="7"/>
        <v>-0.4</v>
      </c>
      <c r="M49" s="75">
        <f t="shared" si="7"/>
        <v>-0.20000000000000004</v>
      </c>
      <c r="N49" s="75">
        <f t="shared" si="7"/>
        <v>-0.1</v>
      </c>
      <c r="O49" s="75">
        <f t="shared" si="7"/>
        <v>0.6</v>
      </c>
      <c r="P49" s="75">
        <f t="shared" si="7"/>
        <v>17.7</v>
      </c>
      <c r="Q49" s="75">
        <f t="shared" si="7"/>
        <v>0.19999999999999998</v>
      </c>
      <c r="R49" s="75">
        <f t="shared" si="7"/>
        <v>0</v>
      </c>
      <c r="S49" s="75">
        <f t="shared" si="7"/>
        <v>1.4</v>
      </c>
      <c r="T49" s="75">
        <f t="shared" si="7"/>
        <v>-8</v>
      </c>
      <c r="U49" s="75">
        <f t="shared" si="7"/>
        <v>0.19999999999999998</v>
      </c>
      <c r="V49" s="75">
        <f t="shared" si="7"/>
        <v>0</v>
      </c>
      <c r="W49" s="75">
        <f t="shared" si="7"/>
        <v>-0.1</v>
      </c>
      <c r="X49" s="75">
        <f t="shared" si="7"/>
        <v>4.5</v>
      </c>
      <c r="Y49" s="75">
        <f t="shared" si="7"/>
        <v>0.19999999999999998</v>
      </c>
      <c r="Z49" s="75">
        <f t="shared" si="7"/>
        <v>-0.30000000000000004</v>
      </c>
      <c r="AA49" s="75">
        <f t="shared" si="7"/>
        <v>-0.2</v>
      </c>
      <c r="AB49" s="75">
        <f t="shared" si="7"/>
        <v>-0.49999999999999922</v>
      </c>
      <c r="AC49" s="75">
        <f t="shared" si="7"/>
        <v>1.3000000000000043</v>
      </c>
      <c r="AD49" s="75">
        <f t="shared" si="7"/>
        <v>1.8000000000000007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-1.7999999999999994</v>
      </c>
      <c r="H50" s="77">
        <f t="shared" si="8"/>
        <v>-0.40000000000000036</v>
      </c>
      <c r="I50" s="77">
        <f t="shared" si="8"/>
        <v>0</v>
      </c>
      <c r="J50" s="77">
        <f t="shared" si="8"/>
        <v>2.2999999999999998</v>
      </c>
      <c r="K50" s="77">
        <f t="shared" si="8"/>
        <v>-9.9999999999999978E-2</v>
      </c>
      <c r="L50" s="77">
        <f t="shared" si="8"/>
        <v>-0.59999999999999987</v>
      </c>
      <c r="M50" s="77">
        <f t="shared" si="8"/>
        <v>-0.19999999999999996</v>
      </c>
      <c r="N50" s="77">
        <f t="shared" si="8"/>
        <v>-0.5</v>
      </c>
      <c r="O50" s="77">
        <f t="shared" si="8"/>
        <v>-1.2000000000000028</v>
      </c>
      <c r="P50" s="77">
        <f t="shared" si="8"/>
        <v>4.9000000000000021</v>
      </c>
      <c r="Q50" s="77">
        <f t="shared" si="8"/>
        <v>-0.7</v>
      </c>
      <c r="R50" s="77">
        <f t="shared" si="8"/>
        <v>-0.30000000000000004</v>
      </c>
      <c r="S50" s="77">
        <f t="shared" si="8"/>
        <v>-0.7</v>
      </c>
      <c r="T50" s="77">
        <f t="shared" si="8"/>
        <v>0.30000000000000071</v>
      </c>
      <c r="U50" s="77">
        <f t="shared" si="8"/>
        <v>0.3999999999999998</v>
      </c>
      <c r="V50" s="77">
        <f t="shared" si="8"/>
        <v>-0.89999999999999991</v>
      </c>
      <c r="W50" s="77">
        <f t="shared" si="8"/>
        <v>-0.4</v>
      </c>
      <c r="X50" s="77">
        <f t="shared" si="8"/>
        <v>-10.8</v>
      </c>
      <c r="Y50" s="77">
        <f t="shared" si="8"/>
        <v>65.5</v>
      </c>
      <c r="Z50" s="77">
        <f t="shared" si="8"/>
        <v>-3.5</v>
      </c>
      <c r="AA50" s="77">
        <f t="shared" si="8"/>
        <v>-0.19999999999999984</v>
      </c>
      <c r="AB50" s="77">
        <f t="shared" si="8"/>
        <v>-0.70000000000000284</v>
      </c>
      <c r="AC50" s="80">
        <f>SUM(F50:AB50)</f>
        <v>50.399999999999991</v>
      </c>
      <c r="AD50" s="78">
        <f>SUM(F50:Z50)</f>
        <v>51.3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0</v>
      </c>
      <c r="G52" s="76">
        <v>-4.5999999999999996</v>
      </c>
      <c r="H52" s="76">
        <v>-11.7</v>
      </c>
      <c r="I52" s="76">
        <v>0</v>
      </c>
      <c r="J52" s="76">
        <v>1.8</v>
      </c>
      <c r="K52" s="76">
        <v>-0.9</v>
      </c>
      <c r="L52" s="76">
        <v>-1.5</v>
      </c>
      <c r="M52" s="76">
        <v>-0.5</v>
      </c>
      <c r="N52" s="76">
        <v>-0.2</v>
      </c>
      <c r="O52" s="76">
        <v>18.5</v>
      </c>
      <c r="P52" s="76">
        <v>22</v>
      </c>
      <c r="Q52" s="76">
        <v>-0.9</v>
      </c>
      <c r="R52" s="76">
        <v>0.1</v>
      </c>
      <c r="S52" s="76">
        <v>0.5</v>
      </c>
      <c r="T52" s="76">
        <v>-8</v>
      </c>
      <c r="U52" s="76">
        <v>-0.6</v>
      </c>
      <c r="V52" s="76">
        <v>0.8</v>
      </c>
      <c r="W52" s="76">
        <v>-1.2</v>
      </c>
      <c r="X52" s="76">
        <v>-1.5</v>
      </c>
      <c r="Y52" s="76">
        <v>66.5</v>
      </c>
      <c r="Z52" s="76">
        <v>-4</v>
      </c>
      <c r="AA52" s="76">
        <v>-0.9</v>
      </c>
      <c r="AB52" s="76">
        <v>-2.4</v>
      </c>
      <c r="AC52" s="79">
        <f>SUM(AC48:AC50)</f>
        <v>71.299999999999983</v>
      </c>
      <c r="AD52" s="79">
        <f>SUM(AD48:AD50)</f>
        <v>73.899999999999991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7.7109375" customWidth="1"/>
    <col min="5" max="5" width="6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259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 t="s">
        <v>4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81" t="s">
        <v>260</v>
      </c>
      <c r="F8" s="15" t="s">
        <v>8</v>
      </c>
      <c r="G8" s="15" t="s">
        <v>9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261</v>
      </c>
      <c r="AD8" s="31" t="s">
        <v>262</v>
      </c>
      <c r="AE8" s="3"/>
    </row>
    <row r="9" spans="1:31" ht="15" customHeight="1" x14ac:dyDescent="0.2">
      <c r="A9" s="3"/>
      <c r="B9" s="3"/>
      <c r="C9" s="17"/>
      <c r="D9" s="3"/>
      <c r="E9" s="16" t="s">
        <v>263</v>
      </c>
      <c r="F9" s="53" t="s">
        <v>264</v>
      </c>
      <c r="G9" s="53" t="s">
        <v>265</v>
      </c>
      <c r="H9" s="53" t="s">
        <v>266</v>
      </c>
      <c r="I9" s="53" t="s">
        <v>267</v>
      </c>
      <c r="J9" s="57" t="s">
        <v>268</v>
      </c>
      <c r="K9" s="57" t="s">
        <v>269</v>
      </c>
      <c r="L9" s="53" t="s">
        <v>270</v>
      </c>
      <c r="M9" s="53" t="s">
        <v>271</v>
      </c>
      <c r="N9" s="57" t="s">
        <v>272</v>
      </c>
      <c r="O9" s="57" t="s">
        <v>273</v>
      </c>
      <c r="P9" s="57" t="s">
        <v>274</v>
      </c>
      <c r="Q9" s="53" t="s">
        <v>275</v>
      </c>
      <c r="R9" s="53" t="s">
        <v>276</v>
      </c>
      <c r="S9" s="57" t="s">
        <v>277</v>
      </c>
      <c r="T9" s="57" t="s">
        <v>278</v>
      </c>
      <c r="U9" s="57" t="s">
        <v>279</v>
      </c>
      <c r="V9" s="53" t="s">
        <v>280</v>
      </c>
      <c r="W9" s="53" t="s">
        <v>281</v>
      </c>
      <c r="X9" s="57" t="s">
        <v>282</v>
      </c>
      <c r="Y9" s="57" t="s">
        <v>283</v>
      </c>
      <c r="Z9" s="57" t="s">
        <v>284</v>
      </c>
      <c r="AA9" s="53" t="s">
        <v>285</v>
      </c>
      <c r="AB9" s="53" t="s">
        <v>286</v>
      </c>
      <c r="AC9" s="16" t="s">
        <v>36</v>
      </c>
      <c r="AD9" s="52" t="s">
        <v>285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82">
        <v>301</v>
      </c>
      <c r="F11" s="10">
        <v>0</v>
      </c>
      <c r="G11" s="10">
        <v>0</v>
      </c>
      <c r="H11" s="10">
        <v>0.4</v>
      </c>
      <c r="I11" s="10">
        <v>0.2</v>
      </c>
      <c r="J11" s="10">
        <v>0.1</v>
      </c>
      <c r="K11" s="10">
        <v>0.2</v>
      </c>
      <c r="L11" s="10">
        <v>1.3</v>
      </c>
      <c r="M11" s="10">
        <v>0.1</v>
      </c>
      <c r="N11" s="10">
        <v>18.2</v>
      </c>
      <c r="O11" s="10">
        <v>0.7</v>
      </c>
      <c r="P11" s="10">
        <v>0</v>
      </c>
      <c r="Q11" s="10">
        <v>0.4</v>
      </c>
      <c r="R11" s="10">
        <v>0</v>
      </c>
      <c r="S11" s="62">
        <f>3.5+0.5</f>
        <v>4</v>
      </c>
      <c r="T11" s="10">
        <v>0.2</v>
      </c>
      <c r="U11" s="10">
        <v>0.2</v>
      </c>
      <c r="V11" s="10">
        <v>0</v>
      </c>
      <c r="W11" s="62">
        <f>0.3+0.3</f>
        <v>0.6</v>
      </c>
      <c r="X11" s="10">
        <v>0.8</v>
      </c>
      <c r="Y11" s="10">
        <v>0.1</v>
      </c>
      <c r="Z11" s="10">
        <v>0.1</v>
      </c>
      <c r="AA11" s="10">
        <v>0.1</v>
      </c>
      <c r="AB11" s="26">
        <f t="shared" ref="AB11:AB20" si="0">AC11-SUM(F11:AA11)</f>
        <v>0.29999999999999716</v>
      </c>
      <c r="AC11" s="60">
        <f>25.1+2.9</f>
        <v>28</v>
      </c>
      <c r="AD11" s="58">
        <f>SUM(F11:AA11)</f>
        <v>27.700000000000003</v>
      </c>
      <c r="AE11" s="3"/>
    </row>
    <row r="12" spans="1:31" ht="15" customHeight="1" x14ac:dyDescent="0.2">
      <c r="A12" s="19"/>
      <c r="B12" s="21"/>
      <c r="C12" s="21" t="s">
        <v>287</v>
      </c>
      <c r="D12" s="3"/>
      <c r="E12" s="82">
        <v>201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0.1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60">
        <v>0.1</v>
      </c>
      <c r="AD12" s="58">
        <f t="shared" ref="AD12:AD20" si="1">SUM(F12:AA12)</f>
        <v>0.1</v>
      </c>
    </row>
    <row r="13" spans="1:31" ht="15" customHeight="1" x14ac:dyDescent="0.2">
      <c r="A13" s="19"/>
      <c r="B13" s="21"/>
      <c r="C13" s="21" t="s">
        <v>42</v>
      </c>
      <c r="D13" s="3"/>
      <c r="E13" s="82">
        <v>301</v>
      </c>
      <c r="F13" s="10">
        <v>0</v>
      </c>
      <c r="G13" s="10">
        <v>0.1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3.2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3.3</v>
      </c>
      <c r="AD13" s="58">
        <f t="shared" si="1"/>
        <v>3.3000000000000003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82">
        <v>303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2</v>
      </c>
      <c r="AC14" s="10">
        <v>2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82">
        <v>400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82">
        <v>400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82">
        <v>401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0.3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0.3</v>
      </c>
      <c r="AD17" s="58">
        <f t="shared" si="1"/>
        <v>0.3</v>
      </c>
      <c r="AE17" s="3"/>
    </row>
    <row r="18" spans="1:31" ht="15" customHeight="1" x14ac:dyDescent="0.2">
      <c r="A18" s="19"/>
      <c r="B18" s="17" t="s">
        <v>138</v>
      </c>
      <c r="C18" s="3"/>
      <c r="D18" s="3"/>
      <c r="E18" s="82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82">
        <v>301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0.1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0.1</v>
      </c>
      <c r="Y19" s="10">
        <v>0</v>
      </c>
      <c r="Z19" s="10">
        <v>0</v>
      </c>
      <c r="AA19" s="10">
        <v>0</v>
      </c>
      <c r="AB19" s="26">
        <f t="shared" si="0"/>
        <v>9.9999999999999978E-2</v>
      </c>
      <c r="AC19" s="10">
        <v>0.3</v>
      </c>
      <c r="AD19" s="58">
        <f t="shared" si="1"/>
        <v>0.2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82">
        <v>104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0.1</v>
      </c>
      <c r="H22" s="11">
        <f t="shared" si="2"/>
        <v>0.4</v>
      </c>
      <c r="I22" s="11">
        <f t="shared" si="2"/>
        <v>0.2</v>
      </c>
      <c r="J22" s="11">
        <f t="shared" si="2"/>
        <v>0.1</v>
      </c>
      <c r="K22" s="11">
        <f t="shared" si="2"/>
        <v>0.2</v>
      </c>
      <c r="L22" s="11">
        <f t="shared" si="2"/>
        <v>1.3</v>
      </c>
      <c r="M22" s="11">
        <f t="shared" si="2"/>
        <v>0.1</v>
      </c>
      <c r="N22" s="11">
        <f t="shared" si="2"/>
        <v>18.2</v>
      </c>
      <c r="O22" s="11">
        <f t="shared" si="2"/>
        <v>0.7</v>
      </c>
      <c r="P22" s="11">
        <f t="shared" si="2"/>
        <v>0</v>
      </c>
      <c r="Q22" s="11">
        <f t="shared" si="2"/>
        <v>0.5</v>
      </c>
      <c r="R22" s="11">
        <f t="shared" si="2"/>
        <v>0</v>
      </c>
      <c r="S22" s="11">
        <f t="shared" si="2"/>
        <v>7.5</v>
      </c>
      <c r="T22" s="11">
        <f t="shared" si="2"/>
        <v>0.2</v>
      </c>
      <c r="U22" s="11">
        <f t="shared" si="2"/>
        <v>0.2</v>
      </c>
      <c r="V22" s="11">
        <f t="shared" si="2"/>
        <v>0</v>
      </c>
      <c r="W22" s="11">
        <f t="shared" si="2"/>
        <v>0.6</v>
      </c>
      <c r="X22" s="11">
        <f t="shared" si="2"/>
        <v>1</v>
      </c>
      <c r="Y22" s="11">
        <f t="shared" si="2"/>
        <v>0.1</v>
      </c>
      <c r="Z22" s="11">
        <f t="shared" si="2"/>
        <v>0.1</v>
      </c>
      <c r="AA22" s="11">
        <f t="shared" si="2"/>
        <v>0.1</v>
      </c>
      <c r="AB22" s="11">
        <f t="shared" si="2"/>
        <v>2.3999999999999972</v>
      </c>
      <c r="AC22" s="11">
        <f t="shared" si="2"/>
        <v>34</v>
      </c>
      <c r="AD22" s="11">
        <f t="shared" si="2"/>
        <v>31.600000000000005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288</v>
      </c>
      <c r="C25" s="3"/>
      <c r="D25" s="3"/>
      <c r="E25" s="82">
        <v>306</v>
      </c>
      <c r="F25" s="10">
        <v>0.2</v>
      </c>
      <c r="G25" s="10">
        <v>0</v>
      </c>
      <c r="H25" s="10">
        <v>0</v>
      </c>
      <c r="I25" s="10">
        <v>0</v>
      </c>
      <c r="J25" s="10">
        <v>0</v>
      </c>
      <c r="K25" s="10">
        <v>0.2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1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1.4</v>
      </c>
      <c r="AD25" s="58">
        <f t="shared" ref="AD25:AD39" si="4">SUM(F25:AA25)</f>
        <v>1.4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82">
        <v>306</v>
      </c>
      <c r="F26" s="10">
        <v>0.3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</v>
      </c>
      <c r="AC26" s="60">
        <f>0.3+0.3</f>
        <v>0.6</v>
      </c>
      <c r="AD26" s="58">
        <f t="shared" si="4"/>
        <v>0.3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82">
        <v>306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82">
        <v>301</v>
      </c>
      <c r="F28" s="10">
        <v>1.5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62">
        <f>0.4+0.5</f>
        <v>0.9</v>
      </c>
      <c r="T28" s="10">
        <v>0</v>
      </c>
      <c r="U28" s="10">
        <v>0</v>
      </c>
      <c r="V28" s="10">
        <v>0</v>
      </c>
      <c r="W28" s="62">
        <f>0.1+0.3</f>
        <v>0.4</v>
      </c>
      <c r="X28" s="10">
        <v>0.1</v>
      </c>
      <c r="Y28" s="10">
        <v>0</v>
      </c>
      <c r="Z28" s="10">
        <v>0</v>
      </c>
      <c r="AA28" s="10">
        <v>0</v>
      </c>
      <c r="AB28" s="26">
        <f t="shared" si="3"/>
        <v>0.10000000000000009</v>
      </c>
      <c r="AC28" s="10">
        <v>3</v>
      </c>
      <c r="AD28" s="58">
        <f t="shared" si="4"/>
        <v>2.9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82">
        <v>306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82">
        <v>401</v>
      </c>
      <c r="F30" s="10">
        <v>0.4</v>
      </c>
      <c r="G30" s="10">
        <v>0.2</v>
      </c>
      <c r="H30" s="10">
        <v>0.4</v>
      </c>
      <c r="I30" s="10">
        <v>0.4</v>
      </c>
      <c r="J30" s="10">
        <v>0.2</v>
      </c>
      <c r="K30" s="10">
        <v>0.2</v>
      </c>
      <c r="L30" s="10">
        <v>0.1</v>
      </c>
      <c r="M30" s="10">
        <v>0.1</v>
      </c>
      <c r="N30" s="10">
        <v>0.1</v>
      </c>
      <c r="O30" s="10">
        <v>0.6</v>
      </c>
      <c r="P30" s="10">
        <v>0.3</v>
      </c>
      <c r="Q30" s="10">
        <v>0.3</v>
      </c>
      <c r="R30" s="10">
        <v>0.2</v>
      </c>
      <c r="S30" s="10">
        <v>0.2</v>
      </c>
      <c r="T30" s="10">
        <v>0.3</v>
      </c>
      <c r="U30" s="10">
        <v>0.1</v>
      </c>
      <c r="V30" s="10">
        <v>0.2</v>
      </c>
      <c r="W30" s="10">
        <v>0.4</v>
      </c>
      <c r="X30" s="10">
        <v>0.3</v>
      </c>
      <c r="Y30" s="10">
        <v>0.3</v>
      </c>
      <c r="Z30" s="10">
        <v>0.2</v>
      </c>
      <c r="AA30" s="10">
        <v>0.1</v>
      </c>
      <c r="AB30" s="26">
        <f t="shared" si="3"/>
        <v>0.20000000000000018</v>
      </c>
      <c r="AC30" s="10">
        <v>5.8</v>
      </c>
      <c r="AD30" s="58">
        <f t="shared" si="4"/>
        <v>5.6</v>
      </c>
      <c r="AE30" s="3"/>
    </row>
    <row r="31" spans="1:31" ht="15" customHeight="1" x14ac:dyDescent="0.2">
      <c r="A31" s="19"/>
      <c r="B31" s="17"/>
      <c r="C31" s="17" t="s">
        <v>136</v>
      </c>
      <c r="D31" s="3"/>
      <c r="E31" s="82">
        <v>401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82">
        <v>401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21" t="s">
        <v>289</v>
      </c>
      <c r="C33" s="3"/>
      <c r="D33" s="3"/>
      <c r="E33" s="82">
        <v>308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0.3</v>
      </c>
      <c r="Y33" s="10">
        <v>0.1</v>
      </c>
      <c r="Z33" s="10">
        <v>0</v>
      </c>
      <c r="AA33" s="10">
        <v>0</v>
      </c>
      <c r="AB33" s="26">
        <f t="shared" si="3"/>
        <v>0</v>
      </c>
      <c r="AC33" s="10">
        <v>0.4</v>
      </c>
      <c r="AD33" s="58">
        <f t="shared" si="4"/>
        <v>0.4</v>
      </c>
      <c r="AE33" s="3"/>
    </row>
    <row r="34" spans="1:31" ht="15" customHeight="1" x14ac:dyDescent="0.2">
      <c r="A34" s="19"/>
      <c r="B34" s="21" t="s">
        <v>137</v>
      </c>
      <c r="C34" s="3"/>
      <c r="D34" s="3"/>
      <c r="E34" s="82">
        <v>305</v>
      </c>
      <c r="F34" s="10">
        <v>0.3</v>
      </c>
      <c r="G34" s="10">
        <v>0.1</v>
      </c>
      <c r="H34" s="10">
        <v>0.2</v>
      </c>
      <c r="I34" s="10">
        <v>0.2</v>
      </c>
      <c r="J34" s="10">
        <v>0.1</v>
      </c>
      <c r="K34" s="10">
        <v>0.1</v>
      </c>
      <c r="L34" s="10">
        <v>0.1</v>
      </c>
      <c r="M34" s="10">
        <v>0.1</v>
      </c>
      <c r="N34" s="10">
        <v>0.2</v>
      </c>
      <c r="O34" s="10">
        <v>0.1</v>
      </c>
      <c r="P34" s="10">
        <v>1</v>
      </c>
      <c r="Q34" s="10">
        <v>0.1</v>
      </c>
      <c r="R34" s="10">
        <v>0.1</v>
      </c>
      <c r="S34" s="10">
        <v>0.2</v>
      </c>
      <c r="T34" s="10">
        <v>0.2</v>
      </c>
      <c r="U34" s="10">
        <v>0.1</v>
      </c>
      <c r="V34" s="10">
        <v>0.1</v>
      </c>
      <c r="W34" s="10">
        <v>0.1</v>
      </c>
      <c r="X34" s="10">
        <v>0</v>
      </c>
      <c r="Y34" s="10">
        <v>0.1</v>
      </c>
      <c r="Z34" s="10">
        <v>0.2</v>
      </c>
      <c r="AA34" s="10">
        <v>0.1</v>
      </c>
      <c r="AB34" s="26">
        <f t="shared" si="3"/>
        <v>1.0999999999999992</v>
      </c>
      <c r="AC34" s="10">
        <v>4.9000000000000004</v>
      </c>
      <c r="AD34" s="58">
        <f t="shared" si="4"/>
        <v>3.8000000000000012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82">
        <v>307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82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82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82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82">
        <v>306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2.6999999999999997</v>
      </c>
      <c r="G41" s="11">
        <f t="shared" si="5"/>
        <v>0.30000000000000004</v>
      </c>
      <c r="H41" s="11">
        <f t="shared" si="5"/>
        <v>0.60000000000000009</v>
      </c>
      <c r="I41" s="11">
        <f t="shared" si="5"/>
        <v>0.60000000000000009</v>
      </c>
      <c r="J41" s="11">
        <f t="shared" si="5"/>
        <v>0.30000000000000004</v>
      </c>
      <c r="K41" s="11">
        <f t="shared" si="5"/>
        <v>0.5</v>
      </c>
      <c r="L41" s="11">
        <f t="shared" si="5"/>
        <v>0.2</v>
      </c>
      <c r="M41" s="11">
        <f t="shared" si="5"/>
        <v>0.2</v>
      </c>
      <c r="N41" s="11">
        <f t="shared" si="5"/>
        <v>0.30000000000000004</v>
      </c>
      <c r="O41" s="11">
        <f t="shared" si="5"/>
        <v>0.7</v>
      </c>
      <c r="P41" s="11">
        <f t="shared" si="5"/>
        <v>1.3</v>
      </c>
      <c r="Q41" s="11">
        <f t="shared" si="5"/>
        <v>0.4</v>
      </c>
      <c r="R41" s="11">
        <f t="shared" si="5"/>
        <v>0.30000000000000004</v>
      </c>
      <c r="S41" s="11">
        <f t="shared" si="5"/>
        <v>2.3000000000000003</v>
      </c>
      <c r="T41" s="11">
        <f t="shared" si="5"/>
        <v>0.5</v>
      </c>
      <c r="U41" s="11">
        <f t="shared" si="5"/>
        <v>0.2</v>
      </c>
      <c r="V41" s="11">
        <f t="shared" si="5"/>
        <v>0.30000000000000004</v>
      </c>
      <c r="W41" s="11">
        <f t="shared" si="5"/>
        <v>0.9</v>
      </c>
      <c r="X41" s="11">
        <f t="shared" si="5"/>
        <v>0.7</v>
      </c>
      <c r="Y41" s="11">
        <f t="shared" si="5"/>
        <v>0.5</v>
      </c>
      <c r="Z41" s="11">
        <f t="shared" si="5"/>
        <v>0.4</v>
      </c>
      <c r="AA41" s="11">
        <f t="shared" si="5"/>
        <v>0.2</v>
      </c>
      <c r="AB41" s="11">
        <f t="shared" si="5"/>
        <v>1.6999999999999995</v>
      </c>
      <c r="AC41" s="11">
        <f t="shared" si="5"/>
        <v>16.100000000000001</v>
      </c>
      <c r="AD41" s="11">
        <f t="shared" si="5"/>
        <v>14.4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-2.6999999999999997</v>
      </c>
      <c r="G43" s="35">
        <f t="shared" si="6"/>
        <v>-0.20000000000000004</v>
      </c>
      <c r="H43" s="35">
        <f t="shared" si="6"/>
        <v>-0.20000000000000007</v>
      </c>
      <c r="I43" s="35">
        <f t="shared" si="6"/>
        <v>-0.40000000000000008</v>
      </c>
      <c r="J43" s="35">
        <f t="shared" si="6"/>
        <v>-0.20000000000000004</v>
      </c>
      <c r="K43" s="35">
        <f t="shared" si="6"/>
        <v>-0.3</v>
      </c>
      <c r="L43" s="35">
        <f t="shared" si="6"/>
        <v>1.1000000000000001</v>
      </c>
      <c r="M43" s="35">
        <f t="shared" si="6"/>
        <v>-0.1</v>
      </c>
      <c r="N43" s="35">
        <f t="shared" si="6"/>
        <v>17.899999999999999</v>
      </c>
      <c r="O43" s="35">
        <f t="shared" si="6"/>
        <v>0</v>
      </c>
      <c r="P43" s="35">
        <f t="shared" si="6"/>
        <v>-1.3</v>
      </c>
      <c r="Q43" s="35">
        <f t="shared" si="6"/>
        <v>9.9999999999999978E-2</v>
      </c>
      <c r="R43" s="35">
        <f t="shared" si="6"/>
        <v>-0.30000000000000004</v>
      </c>
      <c r="S43" s="35">
        <f t="shared" si="6"/>
        <v>5.1999999999999993</v>
      </c>
      <c r="T43" s="35">
        <f t="shared" si="6"/>
        <v>-0.3</v>
      </c>
      <c r="U43" s="35">
        <f t="shared" si="6"/>
        <v>0</v>
      </c>
      <c r="V43" s="35">
        <f t="shared" si="6"/>
        <v>-0.30000000000000004</v>
      </c>
      <c r="W43" s="35">
        <f t="shared" si="6"/>
        <v>-0.30000000000000004</v>
      </c>
      <c r="X43" s="35">
        <f t="shared" si="6"/>
        <v>0.30000000000000004</v>
      </c>
      <c r="Y43" s="35">
        <f t="shared" si="6"/>
        <v>-0.4</v>
      </c>
      <c r="Z43" s="35">
        <f t="shared" si="6"/>
        <v>-0.30000000000000004</v>
      </c>
      <c r="AA43" s="35">
        <f t="shared" si="6"/>
        <v>-0.1</v>
      </c>
      <c r="AB43" s="35">
        <f t="shared" si="6"/>
        <v>0.69999999999999774</v>
      </c>
      <c r="AC43" s="35">
        <f t="shared" si="6"/>
        <v>17.899999999999999</v>
      </c>
      <c r="AD43" s="35">
        <f t="shared" si="6"/>
        <v>17.200000000000003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7.7109375" customWidth="1"/>
    <col min="5" max="5" width="6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'NNG-Aug'!A2</f>
        <v>AUGUST,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'NNG-Aug'!A3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 t="str">
        <f>'NNG-Aug'!F7</f>
        <v>Act</v>
      </c>
      <c r="G7" s="48" t="str">
        <f>'NNG-Aug'!G7</f>
        <v>Act</v>
      </c>
      <c r="H7" s="48" t="str">
        <f>'NNG-Aug'!H7</f>
        <v>Act</v>
      </c>
      <c r="I7" s="48" t="str">
        <f>'NNG-Aug'!I7</f>
        <v>Act</v>
      </c>
      <c r="J7" s="48" t="str">
        <f>'NNG-Aug'!J7</f>
        <v>Act</v>
      </c>
      <c r="K7" s="48" t="str">
        <f>'NNG-Aug'!K7</f>
        <v>Act</v>
      </c>
      <c r="L7" s="48" t="str">
        <f>'NNG-Aug'!L7</f>
        <v>Act</v>
      </c>
      <c r="M7" s="48" t="str">
        <f>'NNG-Aug'!M7</f>
        <v>Act</v>
      </c>
      <c r="N7" s="48" t="str">
        <f>'NNG-Aug'!N7</f>
        <v>Act</v>
      </c>
      <c r="O7" s="48" t="str">
        <f>'NNG-Aug'!O7</f>
        <v>Act</v>
      </c>
      <c r="P7" s="48" t="str">
        <f>'NNG-Aug'!P7</f>
        <v>Act</v>
      </c>
      <c r="Q7" s="48" t="str">
        <f>'NNG-Aug'!Q7</f>
        <v>Act</v>
      </c>
      <c r="R7" s="48" t="str">
        <f>'NNG-Aug'!R7</f>
        <v>Act</v>
      </c>
      <c r="S7" s="48" t="str">
        <f>'NNG-Aug'!S7</f>
        <v>Act</v>
      </c>
      <c r="T7" s="48" t="str">
        <f>'NNG-Aug'!T7</f>
        <v>Act</v>
      </c>
      <c r="U7" s="48" t="str">
        <f>'NNG-Aug'!U7</f>
        <v>Act</v>
      </c>
      <c r="V7" s="48" t="str">
        <f>'NNG-Aug'!V7</f>
        <v>Act</v>
      </c>
      <c r="W7" s="48" t="str">
        <f>'NNG-Aug'!W7</f>
        <v>Act</v>
      </c>
      <c r="X7" s="48" t="str">
        <f>'NNG-Aug'!X7</f>
        <v>Act</v>
      </c>
      <c r="Y7" s="48" t="str">
        <f>'NNG-Aug'!Y7</f>
        <v>Act</v>
      </c>
      <c r="Z7" s="48" t="str">
        <f>'NNG-Aug'!Z7</f>
        <v>Act</v>
      </c>
      <c r="AA7" s="48" t="str">
        <f>'NNG-Aug'!AA7</f>
        <v>Act</v>
      </c>
      <c r="AB7" s="48" t="str">
        <f>'NNG-Aug'!AB7</f>
        <v>Act</v>
      </c>
      <c r="AC7" s="48"/>
      <c r="AD7" s="48" t="str">
        <f>'NNG-Aug'!AD7</f>
        <v>ACT.</v>
      </c>
      <c r="AE7" s="3"/>
    </row>
    <row r="8" spans="1:31" ht="15" customHeight="1" x14ac:dyDescent="0.2">
      <c r="A8" s="3"/>
      <c r="B8" s="3"/>
      <c r="C8" s="3"/>
      <c r="D8" s="3"/>
      <c r="E8" s="81" t="s">
        <v>260</v>
      </c>
      <c r="F8" s="48" t="str">
        <f>'NNG-Aug'!F8</f>
        <v>Wed</v>
      </c>
      <c r="G8" s="48" t="str">
        <f>'NNG-Aug'!G8</f>
        <v>Thu</v>
      </c>
      <c r="H8" s="48" t="str">
        <f>'NNG-Aug'!H8</f>
        <v>Fri</v>
      </c>
      <c r="I8" s="48" t="str">
        <f>'NNG-Aug'!I8</f>
        <v>Mon</v>
      </c>
      <c r="J8" s="48" t="str">
        <f>'NNG-Aug'!J8</f>
        <v>Tue</v>
      </c>
      <c r="K8" s="48" t="str">
        <f>'NNG-Aug'!K8</f>
        <v>Wed</v>
      </c>
      <c r="L8" s="48" t="str">
        <f>'NNG-Aug'!L8</f>
        <v>Thu</v>
      </c>
      <c r="M8" s="48" t="str">
        <f>'NNG-Aug'!M8</f>
        <v>Fri</v>
      </c>
      <c r="N8" s="48" t="str">
        <f>'NNG-Aug'!N8</f>
        <v>Mon</v>
      </c>
      <c r="O8" s="48" t="str">
        <f>'NNG-Aug'!O8</f>
        <v>Tue</v>
      </c>
      <c r="P8" s="48" t="str">
        <f>'NNG-Aug'!P8</f>
        <v>Wed</v>
      </c>
      <c r="Q8" s="48" t="str">
        <f>'NNG-Aug'!Q8</f>
        <v>Thu</v>
      </c>
      <c r="R8" s="48" t="str">
        <f>'NNG-Aug'!R8</f>
        <v>Fri</v>
      </c>
      <c r="S8" s="48" t="str">
        <f>'NNG-Aug'!S8</f>
        <v>Mon</v>
      </c>
      <c r="T8" s="48" t="str">
        <f>'NNG-Aug'!T8</f>
        <v>Tue</v>
      </c>
      <c r="U8" s="48" t="str">
        <f>'NNG-Aug'!U8</f>
        <v>Wed</v>
      </c>
      <c r="V8" s="48" t="str">
        <f>'NNG-Aug'!V8</f>
        <v>Thu</v>
      </c>
      <c r="W8" s="48" t="str">
        <f>'NNG-Aug'!W8</f>
        <v>Fri</v>
      </c>
      <c r="X8" s="48" t="str">
        <f>'NNG-Aug'!X8</f>
        <v>Mon</v>
      </c>
      <c r="Y8" s="48" t="str">
        <f>'NNG-Aug'!Y8</f>
        <v>Tue</v>
      </c>
      <c r="Z8" s="48" t="str">
        <f>'NNG-Aug'!Z8</f>
        <v>Wed</v>
      </c>
      <c r="AA8" s="48" t="str">
        <f>'NNG-Aug'!AA8</f>
        <v>Thu</v>
      </c>
      <c r="AB8" s="48" t="str">
        <f>'NNG-Aug'!AB8</f>
        <v>Fri</v>
      </c>
      <c r="AC8" s="48" t="str">
        <f>'NNG-Aug'!AC8</f>
        <v>AUG.</v>
      </c>
      <c r="AD8" s="48" t="str">
        <f>'NNG-Aug'!AD8</f>
        <v>8/1 Thru</v>
      </c>
      <c r="AE8" s="3"/>
    </row>
    <row r="9" spans="1:31" ht="15" customHeight="1" x14ac:dyDescent="0.2">
      <c r="A9" s="3"/>
      <c r="B9" s="3"/>
      <c r="C9" s="17"/>
      <c r="D9" s="3"/>
      <c r="E9" s="16" t="s">
        <v>263</v>
      </c>
      <c r="F9" s="49" t="str">
        <f>'NNG-Aug'!F9</f>
        <v>8/1</v>
      </c>
      <c r="G9" s="49" t="str">
        <f>'NNG-Aug'!G9</f>
        <v>8/2</v>
      </c>
      <c r="H9" s="49" t="str">
        <f>'NNG-Aug'!H9</f>
        <v>8/3</v>
      </c>
      <c r="I9" s="49" t="str">
        <f>'NNG-Aug'!I9</f>
        <v>8/6</v>
      </c>
      <c r="J9" s="49" t="str">
        <f>'NNG-Aug'!J9</f>
        <v>8/7</v>
      </c>
      <c r="K9" s="49" t="str">
        <f>'NNG-Aug'!K9</f>
        <v>8/8</v>
      </c>
      <c r="L9" s="49" t="str">
        <f>'NNG-Aug'!L9</f>
        <v>8/9</v>
      </c>
      <c r="M9" s="49" t="str">
        <f>'NNG-Aug'!M9</f>
        <v>8/10</v>
      </c>
      <c r="N9" s="49" t="str">
        <f>'NNG-Aug'!N9</f>
        <v>8/13</v>
      </c>
      <c r="O9" s="49" t="str">
        <f>'NNG-Aug'!O9</f>
        <v>8/14</v>
      </c>
      <c r="P9" s="49" t="str">
        <f>'NNG-Aug'!P9</f>
        <v>8/15</v>
      </c>
      <c r="Q9" s="49" t="str">
        <f>'NNG-Aug'!Q9</f>
        <v>8/16</v>
      </c>
      <c r="R9" s="49" t="str">
        <f>'NNG-Aug'!R9</f>
        <v>8/17</v>
      </c>
      <c r="S9" s="49" t="str">
        <f>'NNG-Aug'!S9</f>
        <v>8/20</v>
      </c>
      <c r="T9" s="49" t="str">
        <f>'NNG-Aug'!T9</f>
        <v>8/21</v>
      </c>
      <c r="U9" s="49" t="str">
        <f>'NNG-Aug'!U9</f>
        <v>8/22</v>
      </c>
      <c r="V9" s="49" t="str">
        <f>'NNG-Aug'!V9</f>
        <v>8/23</v>
      </c>
      <c r="W9" s="49" t="str">
        <f>'NNG-Aug'!W9</f>
        <v>8/24</v>
      </c>
      <c r="X9" s="49" t="str">
        <f>'NNG-Aug'!X9</f>
        <v>8/27</v>
      </c>
      <c r="Y9" s="49" t="str">
        <f>'NNG-Aug'!Y9</f>
        <v>8/28</v>
      </c>
      <c r="Z9" s="49" t="str">
        <f>'NNG-Aug'!Z9</f>
        <v>8/29</v>
      </c>
      <c r="AA9" s="49" t="str">
        <f>'NNG-Aug'!AA9</f>
        <v>8/30</v>
      </c>
      <c r="AB9" s="49" t="str">
        <f>'NNG-Aug'!AB9</f>
        <v>8/31</v>
      </c>
      <c r="AC9" s="49" t="str">
        <f>'NNG-Aug'!AC9</f>
        <v>TOTAL</v>
      </c>
      <c r="AD9" s="49" t="str">
        <f>'NNG-Aug'!AD9</f>
        <v>8/30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82">
        <v>301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0.2</v>
      </c>
      <c r="L11" s="10">
        <v>0</v>
      </c>
      <c r="M11" s="10">
        <v>0</v>
      </c>
      <c r="N11" s="10">
        <v>10.199999999999999</v>
      </c>
      <c r="O11" s="10">
        <v>0.4</v>
      </c>
      <c r="P11" s="10">
        <v>0.8</v>
      </c>
      <c r="Q11" s="10">
        <v>0</v>
      </c>
      <c r="R11" s="10">
        <v>0</v>
      </c>
      <c r="S11" s="10">
        <v>0.3</v>
      </c>
      <c r="T11" s="10">
        <v>0</v>
      </c>
      <c r="U11" s="10">
        <v>0</v>
      </c>
      <c r="V11" s="10">
        <v>0</v>
      </c>
      <c r="W11" s="10">
        <v>0.2</v>
      </c>
      <c r="X11" s="10">
        <v>0.6</v>
      </c>
      <c r="Y11" s="10">
        <v>0</v>
      </c>
      <c r="Z11" s="10">
        <v>0</v>
      </c>
      <c r="AA11" s="10">
        <v>0.1</v>
      </c>
      <c r="AB11" s="26">
        <f t="shared" ref="AB11:AB20" si="0">AC11-SUM(F11:AA11)</f>
        <v>0</v>
      </c>
      <c r="AC11" s="60">
        <f>13.7-0.9</f>
        <v>12.799999999999999</v>
      </c>
      <c r="AD11" s="36">
        <f>SUM(F11:AA11)</f>
        <v>12.799999999999999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82">
        <v>301</v>
      </c>
      <c r="F12" s="10">
        <v>0</v>
      </c>
      <c r="G12" s="10">
        <v>0.8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0.19999999999999996</v>
      </c>
      <c r="AC12" s="10">
        <v>1</v>
      </c>
      <c r="AD12" s="36">
        <f t="shared" ref="AD12:AD20" si="1">SUM(F12:AA12)</f>
        <v>0.8</v>
      </c>
      <c r="AE12" s="3"/>
    </row>
    <row r="13" spans="1:31" ht="15" customHeight="1" x14ac:dyDescent="0.2">
      <c r="A13" s="19"/>
      <c r="B13" s="21"/>
      <c r="C13" s="21" t="s">
        <v>290</v>
      </c>
      <c r="D13" s="3"/>
      <c r="E13" s="82">
        <v>301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0.9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0.9</v>
      </c>
      <c r="AD13" s="36">
        <f t="shared" si="1"/>
        <v>0.9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82">
        <v>201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3.7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3.7</v>
      </c>
      <c r="AD14" s="36">
        <f t="shared" si="1"/>
        <v>3.7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82">
        <v>400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82">
        <v>301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1.5</v>
      </c>
      <c r="O16" s="10">
        <v>0</v>
      </c>
      <c r="P16" s="10">
        <v>1.2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0.9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3.6</v>
      </c>
      <c r="AD16" s="36">
        <f t="shared" si="1"/>
        <v>3.6</v>
      </c>
      <c r="AE16" s="3"/>
    </row>
    <row r="17" spans="1:31" ht="15" customHeight="1" x14ac:dyDescent="0.2">
      <c r="A17" s="19"/>
      <c r="B17" s="21" t="s">
        <v>80</v>
      </c>
      <c r="C17" s="3"/>
      <c r="D17" s="3"/>
      <c r="E17" s="82">
        <v>102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82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82">
        <v>301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82">
        <v>104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0.8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0.2</v>
      </c>
      <c r="L22" s="11">
        <f t="shared" si="2"/>
        <v>0</v>
      </c>
      <c r="M22" s="11">
        <f t="shared" si="2"/>
        <v>0</v>
      </c>
      <c r="N22" s="11">
        <f t="shared" si="2"/>
        <v>11.7</v>
      </c>
      <c r="O22" s="11">
        <f t="shared" si="2"/>
        <v>0.4</v>
      </c>
      <c r="P22" s="11">
        <f t="shared" si="2"/>
        <v>2</v>
      </c>
      <c r="Q22" s="11">
        <f t="shared" si="2"/>
        <v>0</v>
      </c>
      <c r="R22" s="11">
        <f t="shared" si="2"/>
        <v>0</v>
      </c>
      <c r="S22" s="11">
        <f t="shared" si="2"/>
        <v>0.3</v>
      </c>
      <c r="T22" s="11">
        <f t="shared" si="2"/>
        <v>0</v>
      </c>
      <c r="U22" s="11">
        <f t="shared" si="2"/>
        <v>0</v>
      </c>
      <c r="V22" s="11">
        <f t="shared" si="2"/>
        <v>0</v>
      </c>
      <c r="W22" s="11">
        <f t="shared" si="2"/>
        <v>1.1000000000000001</v>
      </c>
      <c r="X22" s="11">
        <f t="shared" si="2"/>
        <v>5.2</v>
      </c>
      <c r="Y22" s="11">
        <f t="shared" si="2"/>
        <v>0</v>
      </c>
      <c r="Z22" s="11">
        <f t="shared" si="2"/>
        <v>0</v>
      </c>
      <c r="AA22" s="11">
        <f t="shared" si="2"/>
        <v>0.1</v>
      </c>
      <c r="AB22" s="11">
        <f t="shared" si="2"/>
        <v>0.19999999999999996</v>
      </c>
      <c r="AC22" s="11">
        <f t="shared" si="2"/>
        <v>22</v>
      </c>
      <c r="AD22" s="11">
        <f t="shared" si="2"/>
        <v>21.8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82">
        <v>306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82">
        <v>306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82">
        <v>306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82">
        <v>301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82">
        <v>306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82">
        <v>401</v>
      </c>
      <c r="F30" s="10">
        <v>0</v>
      </c>
      <c r="G30" s="10">
        <v>0</v>
      </c>
      <c r="H30" s="10">
        <v>0.1</v>
      </c>
      <c r="I30" s="10">
        <v>0.1</v>
      </c>
      <c r="J30" s="10">
        <v>0.1</v>
      </c>
      <c r="K30" s="10">
        <v>0.2</v>
      </c>
      <c r="L30" s="10">
        <v>0</v>
      </c>
      <c r="M30" s="10">
        <v>0.1</v>
      </c>
      <c r="N30" s="10">
        <v>0.1</v>
      </c>
      <c r="O30" s="10">
        <v>0</v>
      </c>
      <c r="P30" s="10">
        <v>0</v>
      </c>
      <c r="Q30" s="10">
        <v>0.2</v>
      </c>
      <c r="R30" s="10">
        <v>0.3</v>
      </c>
      <c r="S30" s="10">
        <v>0.1</v>
      </c>
      <c r="T30" s="10">
        <v>0.1</v>
      </c>
      <c r="U30" s="10">
        <v>0.1</v>
      </c>
      <c r="V30" s="10">
        <v>0.1</v>
      </c>
      <c r="W30" s="10">
        <v>0</v>
      </c>
      <c r="X30" s="10">
        <v>0</v>
      </c>
      <c r="Y30" s="10">
        <v>0.2</v>
      </c>
      <c r="Z30" s="10">
        <v>0</v>
      </c>
      <c r="AA30" s="10">
        <v>0</v>
      </c>
      <c r="AB30" s="26">
        <f t="shared" si="3"/>
        <v>0</v>
      </c>
      <c r="AC30" s="10">
        <v>1.8</v>
      </c>
      <c r="AD30" s="36">
        <f t="shared" si="4"/>
        <v>1.8000000000000003</v>
      </c>
      <c r="AE30" s="3"/>
    </row>
    <row r="31" spans="1:31" ht="15" customHeight="1" x14ac:dyDescent="0.2">
      <c r="A31" s="19"/>
      <c r="B31" s="17"/>
      <c r="C31" s="21" t="s">
        <v>291</v>
      </c>
      <c r="D31" s="3"/>
      <c r="E31" s="82">
        <v>401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9.2-9.2</f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82">
        <v>401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21" t="s">
        <v>289</v>
      </c>
      <c r="C33" s="3"/>
      <c r="D33" s="3"/>
      <c r="E33" s="82">
        <v>308</v>
      </c>
      <c r="F33" s="10">
        <v>0.2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0.2</v>
      </c>
      <c r="AD33" s="36">
        <f t="shared" si="4"/>
        <v>0.2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82">
        <v>305</v>
      </c>
      <c r="F34" s="10">
        <v>0.1</v>
      </c>
      <c r="G34" s="10">
        <v>0</v>
      </c>
      <c r="H34" s="10">
        <v>0</v>
      </c>
      <c r="I34" s="10">
        <v>0</v>
      </c>
      <c r="J34" s="10">
        <v>0.1</v>
      </c>
      <c r="K34" s="10">
        <v>0.1</v>
      </c>
      <c r="L34" s="10">
        <v>0</v>
      </c>
      <c r="M34" s="10">
        <v>0.1</v>
      </c>
      <c r="N34" s="10">
        <v>0</v>
      </c>
      <c r="O34" s="10">
        <v>0.1</v>
      </c>
      <c r="P34" s="10">
        <v>0.2</v>
      </c>
      <c r="Q34" s="10">
        <v>0</v>
      </c>
      <c r="R34" s="10">
        <v>0</v>
      </c>
      <c r="S34" s="10">
        <v>0.1</v>
      </c>
      <c r="T34" s="10">
        <v>0.1</v>
      </c>
      <c r="U34" s="10">
        <v>0</v>
      </c>
      <c r="V34" s="10">
        <v>0.1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26">
        <f t="shared" si="3"/>
        <v>0.50000000000000011</v>
      </c>
      <c r="AC34" s="10">
        <v>1.5</v>
      </c>
      <c r="AD34" s="36">
        <f t="shared" si="4"/>
        <v>0.99999999999999989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82">
        <v>307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82">
        <v>102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">
      <c r="A37" s="19"/>
      <c r="B37" s="21" t="s">
        <v>253</v>
      </c>
      <c r="C37" s="3"/>
      <c r="D37" s="3"/>
      <c r="E37" s="82">
        <v>301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1.8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0.90000000000000013</v>
      </c>
      <c r="AC37" s="10">
        <v>2.7</v>
      </c>
      <c r="AD37" s="36">
        <f t="shared" si="4"/>
        <v>1.8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82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82">
        <v>306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0.30000000000000004</v>
      </c>
      <c r="G41" s="11">
        <f t="shared" si="5"/>
        <v>0</v>
      </c>
      <c r="H41" s="11">
        <f t="shared" si="5"/>
        <v>0.1</v>
      </c>
      <c r="I41" s="11">
        <f t="shared" si="5"/>
        <v>0.1</v>
      </c>
      <c r="J41" s="11">
        <f t="shared" si="5"/>
        <v>0.2</v>
      </c>
      <c r="K41" s="11">
        <f t="shared" si="5"/>
        <v>0.30000000000000004</v>
      </c>
      <c r="L41" s="11">
        <f t="shared" si="5"/>
        <v>0</v>
      </c>
      <c r="M41" s="11">
        <f t="shared" si="5"/>
        <v>0.2</v>
      </c>
      <c r="N41" s="11">
        <f t="shared" si="5"/>
        <v>0.1</v>
      </c>
      <c r="O41" s="11">
        <f t="shared" si="5"/>
        <v>0.1</v>
      </c>
      <c r="P41" s="11">
        <f t="shared" si="5"/>
        <v>0.2</v>
      </c>
      <c r="Q41" s="11">
        <f t="shared" si="5"/>
        <v>0.2</v>
      </c>
      <c r="R41" s="11">
        <f t="shared" si="5"/>
        <v>0.3</v>
      </c>
      <c r="S41" s="11">
        <f t="shared" si="5"/>
        <v>0.2</v>
      </c>
      <c r="T41" s="11">
        <f t="shared" si="5"/>
        <v>0.2</v>
      </c>
      <c r="U41" s="11">
        <f t="shared" si="5"/>
        <v>1.9000000000000001</v>
      </c>
      <c r="V41" s="11">
        <f t="shared" si="5"/>
        <v>0.2</v>
      </c>
      <c r="W41" s="11">
        <f t="shared" si="5"/>
        <v>0</v>
      </c>
      <c r="X41" s="11">
        <f t="shared" si="5"/>
        <v>0</v>
      </c>
      <c r="Y41" s="11">
        <f t="shared" si="5"/>
        <v>0.2</v>
      </c>
      <c r="Z41" s="11">
        <f t="shared" si="5"/>
        <v>0</v>
      </c>
      <c r="AA41" s="11">
        <f t="shared" si="5"/>
        <v>0</v>
      </c>
      <c r="AB41" s="11">
        <f t="shared" si="5"/>
        <v>1.6000000000000003</v>
      </c>
      <c r="AC41" s="11">
        <f t="shared" si="5"/>
        <v>6.4</v>
      </c>
      <c r="AD41" s="11">
        <f t="shared" si="5"/>
        <v>4.8000000000000007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-0.30000000000000004</v>
      </c>
      <c r="G43" s="35">
        <f t="shared" si="6"/>
        <v>0.8</v>
      </c>
      <c r="H43" s="35">
        <f t="shared" si="6"/>
        <v>-0.1</v>
      </c>
      <c r="I43" s="35">
        <f t="shared" si="6"/>
        <v>-0.1</v>
      </c>
      <c r="J43" s="35">
        <f t="shared" si="6"/>
        <v>-0.2</v>
      </c>
      <c r="K43" s="35">
        <f t="shared" si="6"/>
        <v>-0.10000000000000003</v>
      </c>
      <c r="L43" s="35">
        <f t="shared" si="6"/>
        <v>0</v>
      </c>
      <c r="M43" s="35">
        <f t="shared" si="6"/>
        <v>-0.2</v>
      </c>
      <c r="N43" s="35">
        <f t="shared" si="6"/>
        <v>11.6</v>
      </c>
      <c r="O43" s="35">
        <f t="shared" si="6"/>
        <v>0.30000000000000004</v>
      </c>
      <c r="P43" s="35">
        <f t="shared" si="6"/>
        <v>1.8</v>
      </c>
      <c r="Q43" s="35">
        <f t="shared" si="6"/>
        <v>-0.2</v>
      </c>
      <c r="R43" s="35">
        <f t="shared" si="6"/>
        <v>-0.3</v>
      </c>
      <c r="S43" s="35">
        <f t="shared" si="6"/>
        <v>9.9999999999999978E-2</v>
      </c>
      <c r="T43" s="35">
        <f t="shared" si="6"/>
        <v>-0.2</v>
      </c>
      <c r="U43" s="35">
        <f t="shared" si="6"/>
        <v>-1.9000000000000001</v>
      </c>
      <c r="V43" s="35">
        <f t="shared" si="6"/>
        <v>-0.2</v>
      </c>
      <c r="W43" s="35">
        <f t="shared" si="6"/>
        <v>1.1000000000000001</v>
      </c>
      <c r="X43" s="35">
        <f t="shared" si="6"/>
        <v>5.2</v>
      </c>
      <c r="Y43" s="35">
        <f t="shared" si="6"/>
        <v>-0.2</v>
      </c>
      <c r="Z43" s="35">
        <f t="shared" si="6"/>
        <v>0</v>
      </c>
      <c r="AA43" s="35">
        <f t="shared" si="6"/>
        <v>0.1</v>
      </c>
      <c r="AB43" s="35">
        <f t="shared" si="6"/>
        <v>-1.4000000000000004</v>
      </c>
      <c r="AC43" s="35">
        <f t="shared" si="6"/>
        <v>15.6</v>
      </c>
      <c r="AD43" s="35">
        <f t="shared" si="6"/>
        <v>17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'NNG-Aug'!F43</f>
        <v>-2.6999999999999997</v>
      </c>
      <c r="G48" s="75">
        <f>'NNG-Aug'!G43</f>
        <v>-0.20000000000000004</v>
      </c>
      <c r="H48" s="75">
        <f>'NNG-Aug'!H43</f>
        <v>-0.20000000000000007</v>
      </c>
      <c r="I48" s="75">
        <f>'NNG-Aug'!I43</f>
        <v>-0.40000000000000008</v>
      </c>
      <c r="J48" s="75">
        <f>'NNG-Aug'!J43</f>
        <v>-0.20000000000000004</v>
      </c>
      <c r="K48" s="75">
        <f>'NNG-Aug'!K43</f>
        <v>-0.3</v>
      </c>
      <c r="L48" s="75">
        <f>'NNG-Aug'!L43</f>
        <v>1.1000000000000001</v>
      </c>
      <c r="M48" s="75">
        <f>'NNG-Aug'!M43</f>
        <v>-0.1</v>
      </c>
      <c r="N48" s="75">
        <f>'NNG-Aug'!N43</f>
        <v>17.899999999999999</v>
      </c>
      <c r="O48" s="75">
        <f>'NNG-Aug'!O43</f>
        <v>0</v>
      </c>
      <c r="P48" s="75">
        <f>'NNG-Aug'!P43</f>
        <v>-1.3</v>
      </c>
      <c r="Q48" s="75">
        <f>'NNG-Aug'!Q43</f>
        <v>9.9999999999999978E-2</v>
      </c>
      <c r="R48" s="75">
        <f>'NNG-Aug'!R43</f>
        <v>-0.30000000000000004</v>
      </c>
      <c r="S48" s="75">
        <f>'NNG-Aug'!S43</f>
        <v>5.1999999999999993</v>
      </c>
      <c r="T48" s="75">
        <f>'NNG-Aug'!T43</f>
        <v>-0.3</v>
      </c>
      <c r="U48" s="75">
        <f>'NNG-Aug'!U43</f>
        <v>0</v>
      </c>
      <c r="V48" s="75">
        <f>'NNG-Aug'!V43</f>
        <v>-0.30000000000000004</v>
      </c>
      <c r="W48" s="75">
        <f>'NNG-Aug'!W43</f>
        <v>-0.30000000000000004</v>
      </c>
      <c r="X48" s="75">
        <f>'NNG-Aug'!X43</f>
        <v>0.30000000000000004</v>
      </c>
      <c r="Y48" s="75">
        <f>'NNG-Aug'!Y43</f>
        <v>-0.4</v>
      </c>
      <c r="Z48" s="75">
        <f>'NNG-Aug'!Z43</f>
        <v>-0.30000000000000004</v>
      </c>
      <c r="AA48" s="75">
        <f>'NNG-Aug'!AA43</f>
        <v>-0.1</v>
      </c>
      <c r="AB48" s="75">
        <f>'NNG-Aug'!AB43</f>
        <v>0.69999999999999774</v>
      </c>
      <c r="AC48" s="75">
        <f>'NNG-Aug'!AC43</f>
        <v>17.899999999999999</v>
      </c>
      <c r="AD48" s="75">
        <f>'NNG-Aug'!AD43</f>
        <v>17.200000000000003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-0.30000000000000004</v>
      </c>
      <c r="G49" s="75">
        <f t="shared" ref="G49:AD49" si="7">G43</f>
        <v>0.8</v>
      </c>
      <c r="H49" s="75">
        <f t="shared" si="7"/>
        <v>-0.1</v>
      </c>
      <c r="I49" s="75">
        <f t="shared" si="7"/>
        <v>-0.1</v>
      </c>
      <c r="J49" s="75">
        <f t="shared" si="7"/>
        <v>-0.2</v>
      </c>
      <c r="K49" s="75">
        <f t="shared" si="7"/>
        <v>-0.10000000000000003</v>
      </c>
      <c r="L49" s="75">
        <f t="shared" si="7"/>
        <v>0</v>
      </c>
      <c r="M49" s="75">
        <f t="shared" si="7"/>
        <v>-0.2</v>
      </c>
      <c r="N49" s="75">
        <f t="shared" si="7"/>
        <v>11.6</v>
      </c>
      <c r="O49" s="75">
        <f t="shared" si="7"/>
        <v>0.30000000000000004</v>
      </c>
      <c r="P49" s="75">
        <f t="shared" si="7"/>
        <v>1.8</v>
      </c>
      <c r="Q49" s="75">
        <f t="shared" si="7"/>
        <v>-0.2</v>
      </c>
      <c r="R49" s="75">
        <f t="shared" si="7"/>
        <v>-0.3</v>
      </c>
      <c r="S49" s="75">
        <f t="shared" si="7"/>
        <v>9.9999999999999978E-2</v>
      </c>
      <c r="T49" s="75">
        <f t="shared" si="7"/>
        <v>-0.2</v>
      </c>
      <c r="U49" s="75">
        <f t="shared" si="7"/>
        <v>-1.9000000000000001</v>
      </c>
      <c r="V49" s="75">
        <f t="shared" si="7"/>
        <v>-0.2</v>
      </c>
      <c r="W49" s="75">
        <f t="shared" si="7"/>
        <v>1.1000000000000001</v>
      </c>
      <c r="X49" s="75">
        <f t="shared" si="7"/>
        <v>5.2</v>
      </c>
      <c r="Y49" s="75">
        <f t="shared" si="7"/>
        <v>-0.2</v>
      </c>
      <c r="Z49" s="75">
        <f t="shared" si="7"/>
        <v>0</v>
      </c>
      <c r="AA49" s="75">
        <f t="shared" si="7"/>
        <v>0.1</v>
      </c>
      <c r="AB49" s="75">
        <f t="shared" si="7"/>
        <v>-1.4000000000000004</v>
      </c>
      <c r="AC49" s="75">
        <f t="shared" si="7"/>
        <v>15.6</v>
      </c>
      <c r="AD49" s="75">
        <f t="shared" si="7"/>
        <v>17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 t="shared" ref="F50:AB50" si="8">F52-SUM(F48:F49)</f>
        <v>-0.10000000000000009</v>
      </c>
      <c r="G50" s="77">
        <f t="shared" si="8"/>
        <v>-9.9999999999999978E-2</v>
      </c>
      <c r="H50" s="77">
        <f t="shared" si="8"/>
        <v>-0.39999999999999991</v>
      </c>
      <c r="I50" s="77">
        <f t="shared" si="8"/>
        <v>1.7000000000000002</v>
      </c>
      <c r="J50" s="77">
        <f t="shared" si="8"/>
        <v>-0.4</v>
      </c>
      <c r="K50" s="77">
        <f t="shared" si="8"/>
        <v>-4.3999999999999995</v>
      </c>
      <c r="L50" s="77">
        <f t="shared" si="8"/>
        <v>-0.40000000000000013</v>
      </c>
      <c r="M50" s="77">
        <f t="shared" si="8"/>
        <v>-0.19999999999999996</v>
      </c>
      <c r="N50" s="77">
        <f t="shared" si="8"/>
        <v>-5.5</v>
      </c>
      <c r="O50" s="77">
        <f t="shared" si="8"/>
        <v>1.9000000000000001</v>
      </c>
      <c r="P50" s="77">
        <f t="shared" si="8"/>
        <v>6.9</v>
      </c>
      <c r="Q50" s="77">
        <f t="shared" si="8"/>
        <v>-7.2</v>
      </c>
      <c r="R50" s="77">
        <f t="shared" si="8"/>
        <v>0.50000000000000011</v>
      </c>
      <c r="S50" s="77">
        <f t="shared" si="8"/>
        <v>8.5000000000000018</v>
      </c>
      <c r="T50" s="77">
        <f t="shared" si="8"/>
        <v>-0.19999999999999996</v>
      </c>
      <c r="U50" s="77">
        <f t="shared" si="8"/>
        <v>-2.6999999999999993</v>
      </c>
      <c r="V50" s="77">
        <f t="shared" si="8"/>
        <v>-9.9999999999999978E-2</v>
      </c>
      <c r="W50" s="77">
        <f t="shared" si="8"/>
        <v>-0.10000000000000009</v>
      </c>
      <c r="X50" s="77">
        <f t="shared" si="8"/>
        <v>-0.5</v>
      </c>
      <c r="Y50" s="77">
        <f t="shared" si="8"/>
        <v>-0.29999999999999993</v>
      </c>
      <c r="Z50" s="77">
        <f t="shared" si="8"/>
        <v>-1.3</v>
      </c>
      <c r="AA50" s="77">
        <f t="shared" si="8"/>
        <v>-0.1</v>
      </c>
      <c r="AB50" s="77">
        <f t="shared" si="8"/>
        <v>-0.69999999999999729</v>
      </c>
      <c r="AC50" s="80">
        <f>SUM(F50:AB50)</f>
        <v>-5.199999999999994</v>
      </c>
      <c r="AD50" s="78">
        <f>SUM(F50:AA50)</f>
        <v>-4.4999999999999964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-3.1</v>
      </c>
      <c r="G52" s="76">
        <v>0.5</v>
      </c>
      <c r="H52" s="76">
        <v>-0.7</v>
      </c>
      <c r="I52" s="76">
        <v>1.2</v>
      </c>
      <c r="J52" s="76">
        <v>-0.8</v>
      </c>
      <c r="K52" s="76">
        <v>-4.8</v>
      </c>
      <c r="L52" s="76">
        <v>0.7</v>
      </c>
      <c r="M52" s="76">
        <v>-0.5</v>
      </c>
      <c r="N52" s="76">
        <v>24</v>
      </c>
      <c r="O52" s="76">
        <v>2.2000000000000002</v>
      </c>
      <c r="P52" s="76">
        <v>7.4</v>
      </c>
      <c r="Q52" s="76">
        <v>-7.3</v>
      </c>
      <c r="R52" s="76">
        <v>-0.1</v>
      </c>
      <c r="S52" s="76">
        <v>13.8</v>
      </c>
      <c r="T52" s="76">
        <v>-0.7</v>
      </c>
      <c r="U52" s="76">
        <v>-4.5999999999999996</v>
      </c>
      <c r="V52" s="76">
        <v>-0.6</v>
      </c>
      <c r="W52" s="76">
        <v>0.7</v>
      </c>
      <c r="X52" s="76">
        <v>5</v>
      </c>
      <c r="Y52" s="76">
        <v>-0.9</v>
      </c>
      <c r="Z52" s="76">
        <v>-1.6</v>
      </c>
      <c r="AA52" s="76">
        <v>-0.1</v>
      </c>
      <c r="AB52" s="76">
        <v>-1.4</v>
      </c>
      <c r="AC52" s="79">
        <f>SUM(AC48:AC50)</f>
        <v>28.300000000000004</v>
      </c>
      <c r="AD52" s="79">
        <f>SUM(AD48:AD50)</f>
        <v>29.700000000000006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7.7109375" customWidth="1"/>
    <col min="5" max="5" width="6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292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61"/>
      <c r="H7" s="15"/>
      <c r="I7" s="15" t="s">
        <v>3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81" t="s">
        <v>260</v>
      </c>
      <c r="F8" s="15" t="s">
        <v>83</v>
      </c>
      <c r="G8" s="15" t="s">
        <v>83</v>
      </c>
      <c r="H8" s="15" t="s">
        <v>83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293</v>
      </c>
      <c r="AD8" s="31" t="s">
        <v>294</v>
      </c>
      <c r="AE8" s="3"/>
    </row>
    <row r="9" spans="1:31" ht="15" customHeight="1" x14ac:dyDescent="0.2">
      <c r="A9" s="3"/>
      <c r="B9" s="3"/>
      <c r="C9" s="17"/>
      <c r="D9" s="3"/>
      <c r="E9" s="16" t="s">
        <v>263</v>
      </c>
      <c r="F9" s="53" t="s">
        <v>86</v>
      </c>
      <c r="G9" s="53" t="s">
        <v>86</v>
      </c>
      <c r="H9" s="53" t="s">
        <v>86</v>
      </c>
      <c r="I9" s="53" t="s">
        <v>295</v>
      </c>
      <c r="J9" s="57" t="s">
        <v>296</v>
      </c>
      <c r="K9" s="57" t="s">
        <v>297</v>
      </c>
      <c r="L9" s="57" t="s">
        <v>298</v>
      </c>
      <c r="M9" s="57" t="s">
        <v>299</v>
      </c>
      <c r="N9" s="57" t="s">
        <v>300</v>
      </c>
      <c r="O9" s="57" t="s">
        <v>301</v>
      </c>
      <c r="P9" s="57" t="s">
        <v>302</v>
      </c>
      <c r="Q9" s="57" t="s">
        <v>303</v>
      </c>
      <c r="R9" s="53" t="s">
        <v>304</v>
      </c>
      <c r="S9" s="57" t="s">
        <v>305</v>
      </c>
      <c r="T9" s="57" t="s">
        <v>306</v>
      </c>
      <c r="U9" s="57" t="s">
        <v>307</v>
      </c>
      <c r="V9" s="57" t="s">
        <v>308</v>
      </c>
      <c r="W9" s="57" t="s">
        <v>309</v>
      </c>
      <c r="X9" s="57" t="s">
        <v>310</v>
      </c>
      <c r="Y9" s="57" t="s">
        <v>311</v>
      </c>
      <c r="Z9" s="57" t="s">
        <v>312</v>
      </c>
      <c r="AA9" s="53" t="s">
        <v>313</v>
      </c>
      <c r="AB9" s="53" t="s">
        <v>314</v>
      </c>
      <c r="AC9" s="16" t="s">
        <v>36</v>
      </c>
      <c r="AD9" s="52" t="s">
        <v>313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82">
        <v>301</v>
      </c>
      <c r="F11" s="55" t="s">
        <v>40</v>
      </c>
      <c r="G11" s="55" t="s">
        <v>40</v>
      </c>
      <c r="H11" s="55" t="s">
        <v>40</v>
      </c>
      <c r="I11" s="55" t="s">
        <v>40</v>
      </c>
      <c r="J11" s="10">
        <v>0</v>
      </c>
      <c r="K11" s="10">
        <v>0.2</v>
      </c>
      <c r="L11" s="10">
        <v>0</v>
      </c>
      <c r="M11" s="10">
        <v>0.3</v>
      </c>
      <c r="N11" s="10">
        <v>4</v>
      </c>
      <c r="O11" s="10">
        <v>0</v>
      </c>
      <c r="P11" s="10">
        <v>0.1</v>
      </c>
      <c r="Q11" s="10">
        <v>0</v>
      </c>
      <c r="R11" s="10">
        <v>13.9</v>
      </c>
      <c r="S11" s="10">
        <v>0.2</v>
      </c>
      <c r="T11" s="10">
        <v>0.3</v>
      </c>
      <c r="U11" s="10">
        <v>2.5</v>
      </c>
      <c r="V11" s="10">
        <v>0.2</v>
      </c>
      <c r="W11" s="10">
        <v>0.1</v>
      </c>
      <c r="X11" s="62">
        <f>2.8+0.5</f>
        <v>3.3</v>
      </c>
      <c r="Y11" s="10">
        <v>0.8</v>
      </c>
      <c r="Z11" s="10">
        <v>0.4</v>
      </c>
      <c r="AA11" s="10">
        <v>0</v>
      </c>
      <c r="AB11" s="26">
        <f t="shared" ref="AB11:AB20" si="0">AC11-SUM(F11:AA11)</f>
        <v>0.59999999999999787</v>
      </c>
      <c r="AC11" s="60">
        <f>25.9+1</f>
        <v>26.9</v>
      </c>
      <c r="AD11" s="58">
        <f>SUM(F11:AA11)</f>
        <v>26.3</v>
      </c>
      <c r="AE11" s="3"/>
    </row>
    <row r="12" spans="1:31" ht="15" customHeight="1" x14ac:dyDescent="0.2">
      <c r="A12" s="19"/>
      <c r="B12" s="21"/>
      <c r="C12" s="21" t="s">
        <v>287</v>
      </c>
      <c r="D12" s="3"/>
      <c r="E12" s="82">
        <v>201</v>
      </c>
      <c r="F12" s="55" t="s">
        <v>40</v>
      </c>
      <c r="G12" s="55" t="s">
        <v>40</v>
      </c>
      <c r="H12" s="55" t="s">
        <v>40</v>
      </c>
      <c r="I12" s="55" t="s">
        <v>40</v>
      </c>
      <c r="J12" s="10">
        <v>0.3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0.1</v>
      </c>
      <c r="Z12" s="10">
        <v>0</v>
      </c>
      <c r="AA12" s="10">
        <v>0</v>
      </c>
      <c r="AB12" s="26">
        <f t="shared" si="0"/>
        <v>0.29999999999999993</v>
      </c>
      <c r="AC12" s="60">
        <f>0.3+0.1+0.3</f>
        <v>0.7</v>
      </c>
      <c r="AD12" s="58">
        <f t="shared" ref="AD12:AD20" si="1">SUM(F12:AA12)</f>
        <v>0.4</v>
      </c>
    </row>
    <row r="13" spans="1:31" ht="15" customHeight="1" x14ac:dyDescent="0.2">
      <c r="A13" s="19"/>
      <c r="B13" s="21"/>
      <c r="C13" s="21" t="s">
        <v>42</v>
      </c>
      <c r="D13" s="3"/>
      <c r="E13" s="82">
        <v>301</v>
      </c>
      <c r="F13" s="55" t="s">
        <v>40</v>
      </c>
      <c r="G13" s="55" t="s">
        <v>40</v>
      </c>
      <c r="H13" s="55" t="s">
        <v>40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2.5</v>
      </c>
      <c r="Y13" s="10">
        <v>0.5</v>
      </c>
      <c r="Z13" s="10">
        <v>0</v>
      </c>
      <c r="AA13" s="10">
        <v>0</v>
      </c>
      <c r="AB13" s="26">
        <f t="shared" si="0"/>
        <v>0.10000000000000009</v>
      </c>
      <c r="AC13" s="10">
        <v>3.1</v>
      </c>
      <c r="AD13" s="58">
        <f t="shared" si="1"/>
        <v>3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82">
        <v>303</v>
      </c>
      <c r="F14" s="55" t="s">
        <v>40</v>
      </c>
      <c r="G14" s="55" t="s">
        <v>40</v>
      </c>
      <c r="H14" s="55" t="s">
        <v>40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0.8</v>
      </c>
      <c r="AC14" s="10">
        <v>0.8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82">
        <v>400</v>
      </c>
      <c r="F15" s="55" t="s">
        <v>40</v>
      </c>
      <c r="G15" s="55" t="s">
        <v>40</v>
      </c>
      <c r="H15" s="55" t="s">
        <v>40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82">
        <v>400</v>
      </c>
      <c r="F16" s="55" t="s">
        <v>40</v>
      </c>
      <c r="G16" s="55" t="s">
        <v>40</v>
      </c>
      <c r="H16" s="55" t="s">
        <v>40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82">
        <v>401</v>
      </c>
      <c r="F17" s="55" t="s">
        <v>40</v>
      </c>
      <c r="G17" s="55" t="s">
        <v>40</v>
      </c>
      <c r="H17" s="55" t="s">
        <v>40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82"/>
      <c r="F18" s="55" t="s">
        <v>40</v>
      </c>
      <c r="G18" s="55" t="s">
        <v>40</v>
      </c>
      <c r="H18" s="55" t="s">
        <v>40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82">
        <v>301</v>
      </c>
      <c r="F19" s="55" t="s">
        <v>40</v>
      </c>
      <c r="G19" s="55" t="s">
        <v>40</v>
      </c>
      <c r="H19" s="55" t="s">
        <v>40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0.1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0.2</v>
      </c>
      <c r="AA19" s="10">
        <v>0</v>
      </c>
      <c r="AB19" s="26">
        <f t="shared" si="0"/>
        <v>0</v>
      </c>
      <c r="AC19" s="10">
        <v>0.3</v>
      </c>
      <c r="AD19" s="58">
        <f t="shared" si="1"/>
        <v>0.30000000000000004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82">
        <v>104</v>
      </c>
      <c r="F20" s="56" t="s">
        <v>40</v>
      </c>
      <c r="G20" s="56" t="s">
        <v>40</v>
      </c>
      <c r="H20" s="56" t="s">
        <v>40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0.3</v>
      </c>
      <c r="K22" s="11">
        <f t="shared" si="2"/>
        <v>0.2</v>
      </c>
      <c r="L22" s="11">
        <f t="shared" si="2"/>
        <v>0</v>
      </c>
      <c r="M22" s="11">
        <f t="shared" si="2"/>
        <v>0.3</v>
      </c>
      <c r="N22" s="11">
        <f t="shared" si="2"/>
        <v>4</v>
      </c>
      <c r="O22" s="11">
        <f t="shared" si="2"/>
        <v>0</v>
      </c>
      <c r="P22" s="11">
        <f t="shared" si="2"/>
        <v>0.1</v>
      </c>
      <c r="Q22" s="11">
        <f t="shared" si="2"/>
        <v>0</v>
      </c>
      <c r="R22" s="11">
        <f t="shared" si="2"/>
        <v>13.9</v>
      </c>
      <c r="S22" s="11">
        <f t="shared" si="2"/>
        <v>0.30000000000000004</v>
      </c>
      <c r="T22" s="11">
        <f t="shared" si="2"/>
        <v>0.3</v>
      </c>
      <c r="U22" s="11">
        <f t="shared" si="2"/>
        <v>2.5</v>
      </c>
      <c r="V22" s="11">
        <f t="shared" si="2"/>
        <v>0.2</v>
      </c>
      <c r="W22" s="11">
        <f t="shared" si="2"/>
        <v>0.1</v>
      </c>
      <c r="X22" s="11">
        <f t="shared" si="2"/>
        <v>5.8</v>
      </c>
      <c r="Y22" s="11">
        <f t="shared" si="2"/>
        <v>1.4</v>
      </c>
      <c r="Z22" s="11">
        <f t="shared" si="2"/>
        <v>0.60000000000000009</v>
      </c>
      <c r="AA22" s="11">
        <f t="shared" si="2"/>
        <v>0</v>
      </c>
      <c r="AB22" s="11">
        <f t="shared" si="2"/>
        <v>1.799999999999998</v>
      </c>
      <c r="AC22" s="11">
        <f t="shared" si="2"/>
        <v>31.8</v>
      </c>
      <c r="AD22" s="11">
        <f t="shared" si="2"/>
        <v>30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288</v>
      </c>
      <c r="C25" s="3"/>
      <c r="D25" s="3"/>
      <c r="E25" s="82">
        <v>306</v>
      </c>
      <c r="F25" s="55" t="s">
        <v>40</v>
      </c>
      <c r="G25" s="55" t="s">
        <v>40</v>
      </c>
      <c r="H25" s="55" t="s">
        <v>40</v>
      </c>
      <c r="I25" s="55" t="s">
        <v>40</v>
      </c>
      <c r="J25" s="10">
        <v>0.2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1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1.2</v>
      </c>
      <c r="AD25" s="58">
        <f t="shared" ref="AD25:AD39" si="4">SUM(F25:AA25)</f>
        <v>1.2</v>
      </c>
      <c r="AE25" s="3"/>
    </row>
    <row r="26" spans="1:31" ht="15" customHeight="1" x14ac:dyDescent="0.2">
      <c r="A26" s="19"/>
      <c r="B26" s="21"/>
      <c r="C26" s="21" t="s">
        <v>315</v>
      </c>
      <c r="D26" s="3"/>
      <c r="E26" s="82">
        <v>306</v>
      </c>
      <c r="F26" s="55" t="s">
        <v>40</v>
      </c>
      <c r="G26" s="55" t="s">
        <v>40</v>
      </c>
      <c r="H26" s="55" t="s">
        <v>40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2.7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60">
        <f>(2.7+0.3)-0.3</f>
        <v>2.7</v>
      </c>
      <c r="AD26" s="58">
        <f t="shared" si="4"/>
        <v>2.7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82">
        <v>306</v>
      </c>
      <c r="F27" s="55" t="s">
        <v>40</v>
      </c>
      <c r="G27" s="55" t="s">
        <v>40</v>
      </c>
      <c r="H27" s="55" t="s">
        <v>40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82">
        <v>301</v>
      </c>
      <c r="F28" s="55" t="s">
        <v>40</v>
      </c>
      <c r="G28" s="55" t="s">
        <v>40</v>
      </c>
      <c r="H28" s="55" t="s">
        <v>40</v>
      </c>
      <c r="I28" s="55" t="s">
        <v>40</v>
      </c>
      <c r="J28" s="10">
        <v>0</v>
      </c>
      <c r="K28" s="10">
        <v>0</v>
      </c>
      <c r="L28" s="10">
        <v>0.1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0.5</v>
      </c>
      <c r="U28" s="10">
        <v>0</v>
      </c>
      <c r="V28" s="10">
        <v>0</v>
      </c>
      <c r="W28" s="10">
        <v>0</v>
      </c>
      <c r="X28" s="62">
        <f>0.2+0.5</f>
        <v>0.7</v>
      </c>
      <c r="Y28" s="10">
        <v>0.1</v>
      </c>
      <c r="Z28" s="10">
        <v>0</v>
      </c>
      <c r="AA28" s="10">
        <v>0</v>
      </c>
      <c r="AB28" s="26">
        <f t="shared" si="3"/>
        <v>0</v>
      </c>
      <c r="AC28" s="10">
        <v>1.4</v>
      </c>
      <c r="AD28" s="58">
        <f t="shared" si="4"/>
        <v>1.4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82">
        <v>306</v>
      </c>
      <c r="F29" s="55" t="s">
        <v>40</v>
      </c>
      <c r="G29" s="55" t="s">
        <v>40</v>
      </c>
      <c r="H29" s="55" t="s">
        <v>40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82">
        <v>401</v>
      </c>
      <c r="F30" s="55" t="s">
        <v>40</v>
      </c>
      <c r="G30" s="55" t="s">
        <v>40</v>
      </c>
      <c r="H30" s="55" t="s">
        <v>40</v>
      </c>
      <c r="I30" s="55" t="s">
        <v>40</v>
      </c>
      <c r="J30" s="10">
        <v>0.5</v>
      </c>
      <c r="K30" s="10">
        <v>0.4</v>
      </c>
      <c r="L30" s="10">
        <v>0.3</v>
      </c>
      <c r="M30" s="10">
        <v>0.2</v>
      </c>
      <c r="N30" s="10">
        <v>0.1</v>
      </c>
      <c r="O30" s="10">
        <v>0</v>
      </c>
      <c r="P30" s="10">
        <v>0</v>
      </c>
      <c r="Q30" s="10">
        <v>0</v>
      </c>
      <c r="R30" s="10">
        <v>0.3</v>
      </c>
      <c r="S30" s="10">
        <v>0.3</v>
      </c>
      <c r="T30" s="10">
        <v>0.3</v>
      </c>
      <c r="U30" s="10">
        <v>0.6</v>
      </c>
      <c r="V30" s="10">
        <v>0.3</v>
      </c>
      <c r="W30" s="10">
        <v>0.1</v>
      </c>
      <c r="X30" s="10">
        <v>0.2</v>
      </c>
      <c r="Y30" s="10">
        <v>0.6</v>
      </c>
      <c r="Z30" s="10">
        <v>0.1</v>
      </c>
      <c r="AA30" s="10">
        <v>0.1</v>
      </c>
      <c r="AB30" s="26">
        <f t="shared" si="3"/>
        <v>0.20000000000000018</v>
      </c>
      <c r="AC30" s="10">
        <v>4.5999999999999996</v>
      </c>
      <c r="AD30" s="58">
        <f t="shared" si="4"/>
        <v>4.3999999999999995</v>
      </c>
      <c r="AE30" s="3"/>
    </row>
    <row r="31" spans="1:31" ht="15" customHeight="1" x14ac:dyDescent="0.2">
      <c r="A31" s="19"/>
      <c r="B31" s="17"/>
      <c r="C31" s="17" t="s">
        <v>136</v>
      </c>
      <c r="D31" s="3"/>
      <c r="E31" s="82">
        <v>401</v>
      </c>
      <c r="F31" s="55" t="s">
        <v>40</v>
      </c>
      <c r="G31" s="55" t="s">
        <v>40</v>
      </c>
      <c r="H31" s="55" t="s">
        <v>40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82">
        <v>401</v>
      </c>
      <c r="F32" s="55" t="s">
        <v>40</v>
      </c>
      <c r="G32" s="55" t="s">
        <v>40</v>
      </c>
      <c r="H32" s="55" t="s">
        <v>40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21" t="s">
        <v>289</v>
      </c>
      <c r="C33" s="3"/>
      <c r="D33" s="3"/>
      <c r="E33" s="82">
        <v>308</v>
      </c>
      <c r="F33" s="55" t="s">
        <v>40</v>
      </c>
      <c r="G33" s="55" t="s">
        <v>40</v>
      </c>
      <c r="H33" s="55" t="s">
        <v>40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0.2</v>
      </c>
      <c r="Z33" s="10">
        <v>0.2</v>
      </c>
      <c r="AA33" s="10">
        <v>0.3</v>
      </c>
      <c r="AB33" s="26">
        <f t="shared" si="3"/>
        <v>0.7</v>
      </c>
      <c r="AC33" s="10">
        <v>1.4</v>
      </c>
      <c r="AD33" s="58">
        <f t="shared" si="4"/>
        <v>0.7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82">
        <v>305</v>
      </c>
      <c r="F34" s="55" t="s">
        <v>40</v>
      </c>
      <c r="G34" s="55" t="s">
        <v>40</v>
      </c>
      <c r="H34" s="55" t="s">
        <v>40</v>
      </c>
      <c r="I34" s="55" t="s">
        <v>40</v>
      </c>
      <c r="J34" s="10">
        <v>0.2</v>
      </c>
      <c r="K34" s="10">
        <v>0.2</v>
      </c>
      <c r="L34" s="10">
        <v>0.2</v>
      </c>
      <c r="M34" s="10">
        <v>0.1</v>
      </c>
      <c r="N34" s="10">
        <v>0.2</v>
      </c>
      <c r="O34" s="10">
        <v>0.2</v>
      </c>
      <c r="P34" s="10">
        <v>0.1</v>
      </c>
      <c r="Q34" s="10">
        <v>0.1</v>
      </c>
      <c r="R34" s="10">
        <v>1</v>
      </c>
      <c r="S34" s="10">
        <v>0.2</v>
      </c>
      <c r="T34" s="10">
        <v>0.2</v>
      </c>
      <c r="U34" s="10">
        <v>0.1</v>
      </c>
      <c r="V34" s="10">
        <v>0.2</v>
      </c>
      <c r="W34" s="10">
        <v>0.1</v>
      </c>
      <c r="X34" s="10">
        <v>0.2</v>
      </c>
      <c r="Y34" s="10">
        <v>0.2</v>
      </c>
      <c r="Z34" s="10">
        <v>0.3</v>
      </c>
      <c r="AA34" s="10">
        <v>0.2</v>
      </c>
      <c r="AB34" s="26">
        <f t="shared" si="3"/>
        <v>0.89999999999999947</v>
      </c>
      <c r="AC34" s="10">
        <v>4.9000000000000004</v>
      </c>
      <c r="AD34" s="58">
        <f t="shared" si="4"/>
        <v>4.0000000000000009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82">
        <v>307</v>
      </c>
      <c r="F35" s="55" t="s">
        <v>40</v>
      </c>
      <c r="G35" s="55" t="s">
        <v>40</v>
      </c>
      <c r="H35" s="55" t="s">
        <v>40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5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5</v>
      </c>
      <c r="AD35" s="58">
        <f t="shared" si="4"/>
        <v>5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82"/>
      <c r="F36" s="55" t="s">
        <v>40</v>
      </c>
      <c r="G36" s="55" t="s">
        <v>40</v>
      </c>
      <c r="H36" s="55" t="s">
        <v>40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82"/>
      <c r="F37" s="55" t="s">
        <v>40</v>
      </c>
      <c r="G37" s="55" t="s">
        <v>40</v>
      </c>
      <c r="H37" s="55" t="s">
        <v>40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82"/>
      <c r="F38" s="55" t="s">
        <v>40</v>
      </c>
      <c r="G38" s="55" t="s">
        <v>40</v>
      </c>
      <c r="H38" s="55" t="s">
        <v>40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82">
        <v>306</v>
      </c>
      <c r="F39" s="56" t="s">
        <v>40</v>
      </c>
      <c r="G39" s="56" t="s">
        <v>40</v>
      </c>
      <c r="H39" s="56" t="s">
        <v>40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</v>
      </c>
      <c r="I41" s="11">
        <f t="shared" si="5"/>
        <v>0</v>
      </c>
      <c r="J41" s="11">
        <f t="shared" si="5"/>
        <v>0.89999999999999991</v>
      </c>
      <c r="K41" s="11">
        <f t="shared" si="5"/>
        <v>0.60000000000000009</v>
      </c>
      <c r="L41" s="11">
        <f t="shared" si="5"/>
        <v>0.60000000000000009</v>
      </c>
      <c r="M41" s="11">
        <f t="shared" si="5"/>
        <v>0.30000000000000004</v>
      </c>
      <c r="N41" s="11">
        <f t="shared" si="5"/>
        <v>0.30000000000000004</v>
      </c>
      <c r="O41" s="11">
        <f t="shared" si="5"/>
        <v>2.9000000000000004</v>
      </c>
      <c r="P41" s="11">
        <f t="shared" si="5"/>
        <v>0.1</v>
      </c>
      <c r="Q41" s="11">
        <f t="shared" si="5"/>
        <v>0.1</v>
      </c>
      <c r="R41" s="11">
        <f t="shared" si="5"/>
        <v>1.3</v>
      </c>
      <c r="S41" s="11">
        <f t="shared" si="5"/>
        <v>5.5</v>
      </c>
      <c r="T41" s="11">
        <f t="shared" si="5"/>
        <v>1</v>
      </c>
      <c r="U41" s="11">
        <f t="shared" si="5"/>
        <v>0.7</v>
      </c>
      <c r="V41" s="11">
        <f t="shared" si="5"/>
        <v>1.5</v>
      </c>
      <c r="W41" s="11">
        <f t="shared" si="5"/>
        <v>0.2</v>
      </c>
      <c r="X41" s="11">
        <f t="shared" si="5"/>
        <v>1.0999999999999999</v>
      </c>
      <c r="Y41" s="11">
        <f t="shared" si="5"/>
        <v>1.0999999999999999</v>
      </c>
      <c r="Z41" s="11">
        <f t="shared" si="5"/>
        <v>0.60000000000000009</v>
      </c>
      <c r="AA41" s="11">
        <f t="shared" si="5"/>
        <v>0.60000000000000009</v>
      </c>
      <c r="AB41" s="11">
        <f t="shared" si="5"/>
        <v>1.7999999999999996</v>
      </c>
      <c r="AC41" s="11">
        <f t="shared" si="5"/>
        <v>21.200000000000003</v>
      </c>
      <c r="AD41" s="11">
        <f t="shared" si="5"/>
        <v>19.399999999999999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0</v>
      </c>
      <c r="I43" s="35">
        <f t="shared" si="6"/>
        <v>0</v>
      </c>
      <c r="J43" s="35">
        <f t="shared" si="6"/>
        <v>-0.59999999999999987</v>
      </c>
      <c r="K43" s="35">
        <f t="shared" si="6"/>
        <v>-0.40000000000000008</v>
      </c>
      <c r="L43" s="35">
        <f t="shared" si="6"/>
        <v>-0.60000000000000009</v>
      </c>
      <c r="M43" s="35">
        <f t="shared" si="6"/>
        <v>0</v>
      </c>
      <c r="N43" s="35">
        <f t="shared" si="6"/>
        <v>3.7</v>
      </c>
      <c r="O43" s="35">
        <f t="shared" si="6"/>
        <v>-2.9000000000000004</v>
      </c>
      <c r="P43" s="35">
        <f t="shared" si="6"/>
        <v>0</v>
      </c>
      <c r="Q43" s="35">
        <f t="shared" si="6"/>
        <v>-0.1</v>
      </c>
      <c r="R43" s="35">
        <f t="shared" si="6"/>
        <v>12.6</v>
      </c>
      <c r="S43" s="35">
        <f t="shared" si="6"/>
        <v>-5.2</v>
      </c>
      <c r="T43" s="35">
        <f t="shared" si="6"/>
        <v>-0.7</v>
      </c>
      <c r="U43" s="35">
        <f t="shared" si="6"/>
        <v>1.8</v>
      </c>
      <c r="V43" s="35">
        <f t="shared" si="6"/>
        <v>-1.3</v>
      </c>
      <c r="W43" s="35">
        <f t="shared" si="6"/>
        <v>-0.1</v>
      </c>
      <c r="X43" s="35">
        <f t="shared" si="6"/>
        <v>4.7</v>
      </c>
      <c r="Y43" s="35">
        <f t="shared" si="6"/>
        <v>0.30000000000000004</v>
      </c>
      <c r="Z43" s="35">
        <f t="shared" si="6"/>
        <v>0</v>
      </c>
      <c r="AA43" s="35">
        <f t="shared" si="6"/>
        <v>-0.60000000000000009</v>
      </c>
      <c r="AB43" s="35">
        <f t="shared" si="6"/>
        <v>0</v>
      </c>
      <c r="AC43" s="35">
        <f t="shared" si="6"/>
        <v>10.599999999999998</v>
      </c>
      <c r="AD43" s="35">
        <f t="shared" si="6"/>
        <v>10.600000000000001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7.7109375" customWidth="1"/>
    <col min="5" max="5" width="6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'NNG-Sep'!A2</f>
        <v>SEPTEMBER,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'NNG-Sep'!A3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'NNG-Sep'!F7</f>
        <v>0</v>
      </c>
      <c r="G7" s="48">
        <f>'NNG-Sep'!G7</f>
        <v>0</v>
      </c>
      <c r="H7" s="48">
        <f>'NNG-Sep'!H7</f>
        <v>0</v>
      </c>
      <c r="I7" s="48" t="str">
        <f>'NNG-Sep'!I7</f>
        <v>B.C.</v>
      </c>
      <c r="J7" s="48" t="str">
        <f>'NNG-Sep'!J7</f>
        <v>Act</v>
      </c>
      <c r="K7" s="48" t="str">
        <f>'NNG-Sep'!K7</f>
        <v>Act</v>
      </c>
      <c r="L7" s="48" t="str">
        <f>'NNG-Sep'!L7</f>
        <v>Act</v>
      </c>
      <c r="M7" s="48" t="str">
        <f>'NNG-Sep'!M7</f>
        <v>Act</v>
      </c>
      <c r="N7" s="48" t="str">
        <f>'NNG-Sep'!N7</f>
        <v>Act</v>
      </c>
      <c r="O7" s="48" t="str">
        <f>'NNG-Sep'!O7</f>
        <v>Act</v>
      </c>
      <c r="P7" s="48" t="str">
        <f>'NNG-Sep'!P7</f>
        <v>Act</v>
      </c>
      <c r="Q7" s="48" t="str">
        <f>'NNG-Sep'!Q7</f>
        <v>Act</v>
      </c>
      <c r="R7" s="48" t="str">
        <f>'NNG-Sep'!R7</f>
        <v>Act</v>
      </c>
      <c r="S7" s="48" t="str">
        <f>'NNG-Sep'!S7</f>
        <v>Act</v>
      </c>
      <c r="T7" s="48" t="str">
        <f>'NNG-Sep'!T7</f>
        <v>Act</v>
      </c>
      <c r="U7" s="48" t="str">
        <f>'NNG-Sep'!U7</f>
        <v>Act</v>
      </c>
      <c r="V7" s="48" t="str">
        <f>'NNG-Sep'!V7</f>
        <v>Act</v>
      </c>
      <c r="W7" s="48" t="str">
        <f>'NNG-Sep'!W7</f>
        <v>Act</v>
      </c>
      <c r="X7" s="48" t="str">
        <f>'NNG-Sep'!X7</f>
        <v>Act</v>
      </c>
      <c r="Y7" s="48" t="str">
        <f>'NNG-Sep'!Y7</f>
        <v>Act</v>
      </c>
      <c r="Z7" s="48" t="str">
        <f>'NNG-Sep'!Z7</f>
        <v>Act</v>
      </c>
      <c r="AA7" s="48" t="str">
        <f>'NNG-Sep'!AA7</f>
        <v>Act</v>
      </c>
      <c r="AB7" s="48" t="str">
        <f>'NNG-Sep'!AB7</f>
        <v>Act</v>
      </c>
      <c r="AC7" s="48"/>
      <c r="AD7" s="48" t="str">
        <f>'NNG-Sep'!AD7</f>
        <v>ACT.</v>
      </c>
      <c r="AE7" s="3"/>
    </row>
    <row r="8" spans="1:31" ht="15" customHeight="1" x14ac:dyDescent="0.2">
      <c r="A8" s="3"/>
      <c r="B8" s="3"/>
      <c r="C8" s="3"/>
      <c r="D8" s="3"/>
      <c r="E8" s="81" t="s">
        <v>260</v>
      </c>
      <c r="F8" s="48" t="str">
        <f>'NNG-Sep'!F8</f>
        <v>Day</v>
      </c>
      <c r="G8" s="48" t="str">
        <f>'NNG-Sep'!G8</f>
        <v>Day</v>
      </c>
      <c r="H8" s="48" t="str">
        <f>'NNG-Sep'!H8</f>
        <v>Day</v>
      </c>
      <c r="I8" s="48" t="str">
        <f>'NNG-Sep'!I8</f>
        <v>Mon</v>
      </c>
      <c r="J8" s="48" t="str">
        <f>'NNG-Sep'!J8</f>
        <v>Tue</v>
      </c>
      <c r="K8" s="48" t="str">
        <f>'NNG-Sep'!K8</f>
        <v>Wed</v>
      </c>
      <c r="L8" s="48" t="str">
        <f>'NNG-Sep'!L8</f>
        <v>Thu</v>
      </c>
      <c r="M8" s="48" t="str">
        <f>'NNG-Sep'!M8</f>
        <v>Fri</v>
      </c>
      <c r="N8" s="48" t="str">
        <f>'NNG-Sep'!N8</f>
        <v>Mon</v>
      </c>
      <c r="O8" s="48" t="str">
        <f>'NNG-Sep'!O8</f>
        <v>Tue</v>
      </c>
      <c r="P8" s="48" t="str">
        <f>'NNG-Sep'!P8</f>
        <v>Wed</v>
      </c>
      <c r="Q8" s="48" t="str">
        <f>'NNG-Sep'!Q8</f>
        <v>Thu</v>
      </c>
      <c r="R8" s="48" t="str">
        <f>'NNG-Sep'!R8</f>
        <v>Fri</v>
      </c>
      <c r="S8" s="48" t="str">
        <f>'NNG-Sep'!S8</f>
        <v>Mon</v>
      </c>
      <c r="T8" s="48" t="str">
        <f>'NNG-Sep'!T8</f>
        <v>Tue</v>
      </c>
      <c r="U8" s="48" t="str">
        <f>'NNG-Sep'!U8</f>
        <v>Wed</v>
      </c>
      <c r="V8" s="48" t="str">
        <f>'NNG-Sep'!V8</f>
        <v>Thu</v>
      </c>
      <c r="W8" s="48" t="str">
        <f>'NNG-Sep'!W8</f>
        <v>Fri</v>
      </c>
      <c r="X8" s="48" t="str">
        <f>'NNG-Sep'!X8</f>
        <v>Mon</v>
      </c>
      <c r="Y8" s="48" t="str">
        <f>'NNG-Sep'!Y8</f>
        <v>Tue</v>
      </c>
      <c r="Z8" s="48" t="str">
        <f>'NNG-Sep'!Z8</f>
        <v>Wed</v>
      </c>
      <c r="AA8" s="48" t="str">
        <f>'NNG-Sep'!AA8</f>
        <v>Thu</v>
      </c>
      <c r="AB8" s="48" t="str">
        <f>'NNG-Sep'!AB8</f>
        <v>Fri</v>
      </c>
      <c r="AC8" s="48" t="str">
        <f>'NNG-Sep'!AC8</f>
        <v>SEPT.</v>
      </c>
      <c r="AD8" s="48" t="str">
        <f>'NNG-Sep'!AD8</f>
        <v>9/1 Thru</v>
      </c>
      <c r="AE8" s="3"/>
    </row>
    <row r="9" spans="1:31" ht="15" customHeight="1" x14ac:dyDescent="0.2">
      <c r="A9" s="3"/>
      <c r="B9" s="3"/>
      <c r="C9" s="17"/>
      <c r="D9" s="3"/>
      <c r="E9" s="16" t="s">
        <v>263</v>
      </c>
      <c r="F9" s="49" t="str">
        <f>'NNG-Sep'!F9</f>
        <v>0/0</v>
      </c>
      <c r="G9" s="49" t="str">
        <f>'NNG-Sep'!G9</f>
        <v>0/0</v>
      </c>
      <c r="H9" s="49" t="str">
        <f>'NNG-Sep'!H9</f>
        <v>0/0</v>
      </c>
      <c r="I9" s="49" t="str">
        <f>'NNG-Sep'!I9</f>
        <v>9/3</v>
      </c>
      <c r="J9" s="49" t="str">
        <f>'NNG-Sep'!J9</f>
        <v>9/4</v>
      </c>
      <c r="K9" s="49" t="str">
        <f>'NNG-Sep'!K9</f>
        <v>9/5</v>
      </c>
      <c r="L9" s="49" t="str">
        <f>'NNG-Sep'!L9</f>
        <v>9/6</v>
      </c>
      <c r="M9" s="49" t="str">
        <f>'NNG-Sep'!M9</f>
        <v>9/7</v>
      </c>
      <c r="N9" s="49" t="str">
        <f>'NNG-Sep'!N9</f>
        <v>9/10</v>
      </c>
      <c r="O9" s="49" t="str">
        <f>'NNG-Sep'!O9</f>
        <v>9/11</v>
      </c>
      <c r="P9" s="49" t="str">
        <f>'NNG-Sep'!P9</f>
        <v>9/12</v>
      </c>
      <c r="Q9" s="49" t="str">
        <f>'NNG-Sep'!Q9</f>
        <v>9/13</v>
      </c>
      <c r="R9" s="49" t="str">
        <f>'NNG-Sep'!R9</f>
        <v>9/14</v>
      </c>
      <c r="S9" s="49" t="str">
        <f>'NNG-Sep'!S9</f>
        <v>9/17</v>
      </c>
      <c r="T9" s="49" t="str">
        <f>'NNG-Sep'!T9</f>
        <v>9/18</v>
      </c>
      <c r="U9" s="49" t="str">
        <f>'NNG-Sep'!U9</f>
        <v>9/19</v>
      </c>
      <c r="V9" s="49" t="str">
        <f>'NNG-Sep'!V9</f>
        <v>9/20</v>
      </c>
      <c r="W9" s="49" t="str">
        <f>'NNG-Sep'!W9</f>
        <v>9/21</v>
      </c>
      <c r="X9" s="49" t="str">
        <f>'NNG-Sep'!X9</f>
        <v>9/24</v>
      </c>
      <c r="Y9" s="49" t="str">
        <f>'NNG-Sep'!Y9</f>
        <v>9/25</v>
      </c>
      <c r="Z9" s="49" t="str">
        <f>'NNG-Sep'!Z9</f>
        <v>9/26</v>
      </c>
      <c r="AA9" s="49" t="str">
        <f>'NNG-Sep'!AA9</f>
        <v>9/27</v>
      </c>
      <c r="AB9" s="49" t="str">
        <f>'NNG-Sep'!AB9</f>
        <v>9/28</v>
      </c>
      <c r="AC9" s="49" t="str">
        <f>'NNG-Sep'!AC9</f>
        <v>TOTAL</v>
      </c>
      <c r="AD9" s="49" t="str">
        <f>'NNG-Sep'!AD9</f>
        <v>9/27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82">
        <v>301</v>
      </c>
      <c r="F11" s="55" t="s">
        <v>40</v>
      </c>
      <c r="G11" s="55" t="s">
        <v>40</v>
      </c>
      <c r="H11" s="55" t="s">
        <v>40</v>
      </c>
      <c r="I11" s="55" t="s">
        <v>40</v>
      </c>
      <c r="J11" s="10">
        <v>0.1</v>
      </c>
      <c r="K11" s="10">
        <v>0</v>
      </c>
      <c r="L11" s="10">
        <v>0</v>
      </c>
      <c r="M11" s="10">
        <v>0</v>
      </c>
      <c r="N11" s="10">
        <v>0</v>
      </c>
      <c r="O11" s="10">
        <v>0.1</v>
      </c>
      <c r="P11" s="10">
        <v>0</v>
      </c>
      <c r="Q11" s="10">
        <v>0</v>
      </c>
      <c r="R11" s="10">
        <v>5.7</v>
      </c>
      <c r="S11" s="10">
        <v>3.7</v>
      </c>
      <c r="T11" s="10">
        <v>0.4</v>
      </c>
      <c r="U11" s="10">
        <v>1.2</v>
      </c>
      <c r="V11" s="10">
        <v>0.1</v>
      </c>
      <c r="W11" s="10">
        <v>0</v>
      </c>
      <c r="X11" s="10">
        <v>0.1</v>
      </c>
      <c r="Y11" s="10">
        <v>0.3</v>
      </c>
      <c r="Z11" s="10">
        <v>0.1</v>
      </c>
      <c r="AA11" s="10">
        <v>0</v>
      </c>
      <c r="AB11" s="26">
        <f t="shared" ref="AB11:AB20" si="0">AC11-SUM(F11:AA11)</f>
        <v>0.69999999999999929</v>
      </c>
      <c r="AC11" s="60">
        <f>13.8-1.3</f>
        <v>12.5</v>
      </c>
      <c r="AD11" s="36">
        <f>SUM(F11:AA11)</f>
        <v>11.8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82">
        <v>301</v>
      </c>
      <c r="F12" s="55" t="s">
        <v>40</v>
      </c>
      <c r="G12" s="55" t="s">
        <v>40</v>
      </c>
      <c r="H12" s="55" t="s">
        <v>40</v>
      </c>
      <c r="I12" s="55" t="s">
        <v>40</v>
      </c>
      <c r="J12" s="10">
        <v>0</v>
      </c>
      <c r="K12" s="10">
        <v>0</v>
      </c>
      <c r="L12" s="10">
        <v>0.2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0.1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0.1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0.4</v>
      </c>
      <c r="AD12" s="36">
        <f t="shared" ref="AD12:AD20" si="1">SUM(F12:AA12)</f>
        <v>0.4</v>
      </c>
      <c r="AE12" s="3"/>
    </row>
    <row r="13" spans="1:31" ht="15" customHeight="1" x14ac:dyDescent="0.2">
      <c r="A13" s="19"/>
      <c r="B13" s="21"/>
      <c r="C13" s="21" t="s">
        <v>316</v>
      </c>
      <c r="D13" s="3"/>
      <c r="E13" s="82">
        <v>301</v>
      </c>
      <c r="F13" s="55" t="s">
        <v>40</v>
      </c>
      <c r="G13" s="55" t="s">
        <v>40</v>
      </c>
      <c r="H13" s="55" t="s">
        <v>40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0.9</v>
      </c>
      <c r="Z13" s="10">
        <v>0</v>
      </c>
      <c r="AA13" s="10">
        <v>0</v>
      </c>
      <c r="AB13" s="26">
        <f t="shared" si="0"/>
        <v>0</v>
      </c>
      <c r="AC13" s="10">
        <v>0.9</v>
      </c>
      <c r="AD13" s="36">
        <f t="shared" si="1"/>
        <v>0.9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82">
        <v>201</v>
      </c>
      <c r="F14" s="55" t="s">
        <v>40</v>
      </c>
      <c r="G14" s="55" t="s">
        <v>40</v>
      </c>
      <c r="H14" s="55" t="s">
        <v>40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3.4</v>
      </c>
      <c r="Z14" s="10">
        <v>0</v>
      </c>
      <c r="AA14" s="10">
        <v>0</v>
      </c>
      <c r="AB14" s="26">
        <f t="shared" si="0"/>
        <v>0</v>
      </c>
      <c r="AC14" s="10">
        <v>3.4</v>
      </c>
      <c r="AD14" s="36">
        <f t="shared" si="1"/>
        <v>3.4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82">
        <v>400</v>
      </c>
      <c r="F15" s="55" t="s">
        <v>40</v>
      </c>
      <c r="G15" s="55" t="s">
        <v>40</v>
      </c>
      <c r="H15" s="55" t="s">
        <v>40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82">
        <v>301</v>
      </c>
      <c r="F16" s="55" t="s">
        <v>40</v>
      </c>
      <c r="G16" s="55" t="s">
        <v>40</v>
      </c>
      <c r="H16" s="55" t="s">
        <v>40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2.2000000000000002</v>
      </c>
      <c r="T16" s="10">
        <v>0</v>
      </c>
      <c r="U16" s="10">
        <v>0.9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3.1</v>
      </c>
      <c r="AD16" s="36">
        <f t="shared" si="1"/>
        <v>3.1</v>
      </c>
      <c r="AE16" s="3"/>
    </row>
    <row r="17" spans="1:31" ht="15" customHeight="1" x14ac:dyDescent="0.2">
      <c r="A17" s="19"/>
      <c r="B17" s="21" t="s">
        <v>80</v>
      </c>
      <c r="C17" s="3"/>
      <c r="D17" s="3"/>
      <c r="E17" s="82">
        <v>102</v>
      </c>
      <c r="F17" s="55" t="s">
        <v>40</v>
      </c>
      <c r="G17" s="55" t="s">
        <v>40</v>
      </c>
      <c r="H17" s="55" t="s">
        <v>40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0.7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0.7</v>
      </c>
      <c r="AD17" s="36">
        <f t="shared" si="1"/>
        <v>0.7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82"/>
      <c r="F18" s="55" t="s">
        <v>40</v>
      </c>
      <c r="G18" s="55" t="s">
        <v>40</v>
      </c>
      <c r="H18" s="55" t="s">
        <v>40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82">
        <v>301</v>
      </c>
      <c r="F19" s="55" t="s">
        <v>40</v>
      </c>
      <c r="G19" s="55" t="s">
        <v>40</v>
      </c>
      <c r="H19" s="55" t="s">
        <v>40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0.1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0.1</v>
      </c>
      <c r="AD19" s="36">
        <f t="shared" si="1"/>
        <v>0.1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82">
        <v>104</v>
      </c>
      <c r="F20" s="56" t="s">
        <v>40</v>
      </c>
      <c r="G20" s="56" t="s">
        <v>40</v>
      </c>
      <c r="H20" s="56" t="s">
        <v>40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0.1</v>
      </c>
      <c r="K22" s="11">
        <f t="shared" si="2"/>
        <v>0</v>
      </c>
      <c r="L22" s="11">
        <f t="shared" si="2"/>
        <v>0.2</v>
      </c>
      <c r="M22" s="11">
        <f t="shared" si="2"/>
        <v>0</v>
      </c>
      <c r="N22" s="11">
        <f t="shared" si="2"/>
        <v>0</v>
      </c>
      <c r="O22" s="11">
        <f t="shared" si="2"/>
        <v>0.1</v>
      </c>
      <c r="P22" s="11">
        <f t="shared" si="2"/>
        <v>0</v>
      </c>
      <c r="Q22" s="11">
        <f t="shared" si="2"/>
        <v>0</v>
      </c>
      <c r="R22" s="11">
        <f t="shared" si="2"/>
        <v>5.8</v>
      </c>
      <c r="S22" s="11">
        <f t="shared" si="2"/>
        <v>6</v>
      </c>
      <c r="T22" s="11">
        <f t="shared" si="2"/>
        <v>1.1000000000000001</v>
      </c>
      <c r="U22" s="11">
        <f t="shared" si="2"/>
        <v>2.1</v>
      </c>
      <c r="V22" s="11">
        <f t="shared" si="2"/>
        <v>0.1</v>
      </c>
      <c r="W22" s="11">
        <f t="shared" si="2"/>
        <v>0</v>
      </c>
      <c r="X22" s="11">
        <f t="shared" si="2"/>
        <v>0.2</v>
      </c>
      <c r="Y22" s="11">
        <f t="shared" si="2"/>
        <v>4.5999999999999996</v>
      </c>
      <c r="Z22" s="11">
        <f t="shared" si="2"/>
        <v>0.1</v>
      </c>
      <c r="AA22" s="11">
        <f t="shared" si="2"/>
        <v>0</v>
      </c>
      <c r="AB22" s="11">
        <f t="shared" si="2"/>
        <v>0.69999999999999929</v>
      </c>
      <c r="AC22" s="11">
        <f t="shared" si="2"/>
        <v>21.1</v>
      </c>
      <c r="AD22" s="11">
        <f t="shared" si="2"/>
        <v>20.400000000000002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82">
        <v>306</v>
      </c>
      <c r="F25" s="55" t="s">
        <v>40</v>
      </c>
      <c r="G25" s="55" t="s">
        <v>40</v>
      </c>
      <c r="H25" s="55" t="s">
        <v>40</v>
      </c>
      <c r="I25" s="55" t="s">
        <v>40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315</v>
      </c>
      <c r="D26" s="3"/>
      <c r="E26" s="82">
        <v>306</v>
      </c>
      <c r="F26" s="55" t="s">
        <v>40</v>
      </c>
      <c r="G26" s="55" t="s">
        <v>40</v>
      </c>
      <c r="H26" s="55" t="s">
        <v>40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1.3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60">
        <f>(1.3+0.2)-0.2</f>
        <v>1.3</v>
      </c>
      <c r="AD26" s="36">
        <f t="shared" si="4"/>
        <v>1.3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82">
        <v>306</v>
      </c>
      <c r="F27" s="55" t="s">
        <v>40</v>
      </c>
      <c r="G27" s="55" t="s">
        <v>40</v>
      </c>
      <c r="H27" s="55" t="s">
        <v>40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82">
        <v>301</v>
      </c>
      <c r="F28" s="55" t="s">
        <v>40</v>
      </c>
      <c r="G28" s="55" t="s">
        <v>40</v>
      </c>
      <c r="H28" s="55" t="s">
        <v>40</v>
      </c>
      <c r="I28" s="55" t="s">
        <v>40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0.1</v>
      </c>
      <c r="AB28" s="26">
        <f t="shared" si="3"/>
        <v>0</v>
      </c>
      <c r="AC28" s="10">
        <v>0.1</v>
      </c>
      <c r="AD28" s="36">
        <f t="shared" si="4"/>
        <v>0.1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82">
        <v>306</v>
      </c>
      <c r="F29" s="55" t="s">
        <v>40</v>
      </c>
      <c r="G29" s="55" t="s">
        <v>40</v>
      </c>
      <c r="H29" s="55" t="s">
        <v>40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82">
        <v>401</v>
      </c>
      <c r="F30" s="55" t="s">
        <v>40</v>
      </c>
      <c r="G30" s="55" t="s">
        <v>40</v>
      </c>
      <c r="H30" s="55" t="s">
        <v>40</v>
      </c>
      <c r="I30" s="55" t="s">
        <v>40</v>
      </c>
      <c r="J30" s="10">
        <v>0.1</v>
      </c>
      <c r="K30" s="10">
        <v>0.1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0.1</v>
      </c>
      <c r="U30" s="10">
        <v>0</v>
      </c>
      <c r="V30" s="10">
        <v>0.1</v>
      </c>
      <c r="W30" s="10">
        <v>0</v>
      </c>
      <c r="X30" s="10">
        <v>0</v>
      </c>
      <c r="Y30" s="10">
        <v>0</v>
      </c>
      <c r="Z30" s="10">
        <v>0.1</v>
      </c>
      <c r="AA30" s="10">
        <v>0</v>
      </c>
      <c r="AB30" s="26">
        <f t="shared" si="3"/>
        <v>0</v>
      </c>
      <c r="AC30" s="10">
        <v>0.5</v>
      </c>
      <c r="AD30" s="36">
        <f t="shared" si="4"/>
        <v>0.5</v>
      </c>
      <c r="AE30" s="3"/>
    </row>
    <row r="31" spans="1:31" ht="15" customHeight="1" x14ac:dyDescent="0.2">
      <c r="A31" s="19"/>
      <c r="B31" s="17"/>
      <c r="C31" s="21" t="s">
        <v>291</v>
      </c>
      <c r="D31" s="3"/>
      <c r="E31" s="82">
        <v>401</v>
      </c>
      <c r="F31" s="55" t="s">
        <v>40</v>
      </c>
      <c r="G31" s="55" t="s">
        <v>40</v>
      </c>
      <c r="H31" s="55" t="s">
        <v>40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6.6</v>
      </c>
      <c r="X31" s="10">
        <v>1.3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v>7.9</v>
      </c>
      <c r="AD31" s="36">
        <f t="shared" si="4"/>
        <v>7.8999999999999995</v>
      </c>
      <c r="AE31" s="3"/>
    </row>
    <row r="32" spans="1:31" ht="15" customHeight="1" x14ac:dyDescent="0.2">
      <c r="A32" s="19"/>
      <c r="B32" s="21"/>
      <c r="C32" s="21" t="s">
        <v>317</v>
      </c>
      <c r="D32" s="3"/>
      <c r="E32" s="82">
        <v>401</v>
      </c>
      <c r="F32" s="55" t="s">
        <v>40</v>
      </c>
      <c r="G32" s="55" t="s">
        <v>40</v>
      </c>
      <c r="H32" s="55" t="s">
        <v>40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21" t="s">
        <v>289</v>
      </c>
      <c r="C33" s="3"/>
      <c r="D33" s="3"/>
      <c r="E33" s="82">
        <v>308</v>
      </c>
      <c r="F33" s="55" t="s">
        <v>40</v>
      </c>
      <c r="G33" s="55" t="s">
        <v>40</v>
      </c>
      <c r="H33" s="55" t="s">
        <v>40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36">
        <f t="shared" si="4"/>
        <v>0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82">
        <v>305</v>
      </c>
      <c r="F34" s="55" t="s">
        <v>40</v>
      </c>
      <c r="G34" s="55" t="s">
        <v>40</v>
      </c>
      <c r="H34" s="55" t="s">
        <v>40</v>
      </c>
      <c r="I34" s="55" t="s">
        <v>40</v>
      </c>
      <c r="J34" s="10">
        <v>0</v>
      </c>
      <c r="K34" s="10">
        <v>0</v>
      </c>
      <c r="L34" s="10">
        <v>0.1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0.2</v>
      </c>
      <c r="S34" s="10">
        <v>0.1</v>
      </c>
      <c r="T34" s="10">
        <v>0.1</v>
      </c>
      <c r="U34" s="10">
        <v>0.1</v>
      </c>
      <c r="V34" s="10">
        <v>0</v>
      </c>
      <c r="W34" s="10">
        <v>0</v>
      </c>
      <c r="X34" s="10">
        <v>0.3</v>
      </c>
      <c r="Y34" s="10">
        <v>0.1</v>
      </c>
      <c r="Z34" s="10">
        <v>0</v>
      </c>
      <c r="AA34" s="10">
        <v>0</v>
      </c>
      <c r="AB34" s="26">
        <f t="shared" si="3"/>
        <v>0.20000000000000007</v>
      </c>
      <c r="AC34" s="10">
        <v>1.2</v>
      </c>
      <c r="AD34" s="36">
        <f t="shared" si="4"/>
        <v>0.99999999999999989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82">
        <v>307</v>
      </c>
      <c r="F35" s="55" t="s">
        <v>40</v>
      </c>
      <c r="G35" s="55" t="s">
        <v>40</v>
      </c>
      <c r="H35" s="55" t="s">
        <v>40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318</v>
      </c>
      <c r="C36" s="3"/>
      <c r="D36" s="3"/>
      <c r="E36" s="82">
        <v>102</v>
      </c>
      <c r="F36" s="55" t="s">
        <v>40</v>
      </c>
      <c r="G36" s="55" t="s">
        <v>40</v>
      </c>
      <c r="H36" s="55" t="s">
        <v>40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">
      <c r="A37" s="19"/>
      <c r="B37" s="21" t="s">
        <v>253</v>
      </c>
      <c r="C37" s="3"/>
      <c r="D37" s="3"/>
      <c r="E37" s="82">
        <v>301</v>
      </c>
      <c r="F37" s="55" t="s">
        <v>40</v>
      </c>
      <c r="G37" s="55" t="s">
        <v>40</v>
      </c>
      <c r="H37" s="55" t="s">
        <v>40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2.1</v>
      </c>
      <c r="AB37" s="26">
        <f t="shared" si="3"/>
        <v>0</v>
      </c>
      <c r="AC37" s="10">
        <v>2.1</v>
      </c>
      <c r="AD37" s="36">
        <f t="shared" si="4"/>
        <v>2.1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82"/>
      <c r="F38" s="55" t="s">
        <v>40</v>
      </c>
      <c r="G38" s="55" t="s">
        <v>40</v>
      </c>
      <c r="H38" s="55" t="s">
        <v>40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82">
        <v>306</v>
      </c>
      <c r="F39" s="56" t="s">
        <v>40</v>
      </c>
      <c r="G39" s="56" t="s">
        <v>40</v>
      </c>
      <c r="H39" s="56" t="s">
        <v>40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</v>
      </c>
      <c r="I41" s="11">
        <f t="shared" si="5"/>
        <v>0</v>
      </c>
      <c r="J41" s="11">
        <f t="shared" si="5"/>
        <v>0.1</v>
      </c>
      <c r="K41" s="11">
        <f t="shared" si="5"/>
        <v>0.1</v>
      </c>
      <c r="L41" s="11">
        <f t="shared" si="5"/>
        <v>0.1</v>
      </c>
      <c r="M41" s="11">
        <f t="shared" si="5"/>
        <v>0</v>
      </c>
      <c r="N41" s="11">
        <f t="shared" si="5"/>
        <v>0</v>
      </c>
      <c r="O41" s="11">
        <f t="shared" si="5"/>
        <v>1.3</v>
      </c>
      <c r="P41" s="11">
        <f t="shared" si="5"/>
        <v>0</v>
      </c>
      <c r="Q41" s="11">
        <f t="shared" si="5"/>
        <v>0</v>
      </c>
      <c r="R41" s="11">
        <f t="shared" si="5"/>
        <v>0.2</v>
      </c>
      <c r="S41" s="11">
        <f t="shared" si="5"/>
        <v>0.1</v>
      </c>
      <c r="T41" s="11">
        <f t="shared" si="5"/>
        <v>0.2</v>
      </c>
      <c r="U41" s="11">
        <f t="shared" si="5"/>
        <v>0.1</v>
      </c>
      <c r="V41" s="11">
        <f t="shared" si="5"/>
        <v>0.1</v>
      </c>
      <c r="W41" s="11">
        <f t="shared" si="5"/>
        <v>6.6</v>
      </c>
      <c r="X41" s="11">
        <f t="shared" si="5"/>
        <v>1.6</v>
      </c>
      <c r="Y41" s="11">
        <f t="shared" si="5"/>
        <v>0.1</v>
      </c>
      <c r="Z41" s="11">
        <f t="shared" si="5"/>
        <v>0.1</v>
      </c>
      <c r="AA41" s="11">
        <f t="shared" si="5"/>
        <v>2.2000000000000002</v>
      </c>
      <c r="AB41" s="11">
        <f t="shared" si="5"/>
        <v>0.20000000000000007</v>
      </c>
      <c r="AC41" s="11">
        <f t="shared" si="5"/>
        <v>13.1</v>
      </c>
      <c r="AD41" s="11">
        <f t="shared" si="5"/>
        <v>12.899999999999999</v>
      </c>
      <c r="AE41" s="3"/>
    </row>
    <row r="42" spans="1:31" ht="15" customHeight="1" x14ac:dyDescent="0.2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0</v>
      </c>
      <c r="I43" s="35">
        <f t="shared" si="6"/>
        <v>0</v>
      </c>
      <c r="J43" s="35">
        <f t="shared" si="6"/>
        <v>0</v>
      </c>
      <c r="K43" s="35">
        <f t="shared" si="6"/>
        <v>-0.1</v>
      </c>
      <c r="L43" s="35">
        <f t="shared" si="6"/>
        <v>0.1</v>
      </c>
      <c r="M43" s="35">
        <f t="shared" si="6"/>
        <v>0</v>
      </c>
      <c r="N43" s="35">
        <f t="shared" si="6"/>
        <v>0</v>
      </c>
      <c r="O43" s="35">
        <f t="shared" si="6"/>
        <v>-1.2</v>
      </c>
      <c r="P43" s="35">
        <f t="shared" si="6"/>
        <v>0</v>
      </c>
      <c r="Q43" s="35">
        <f t="shared" si="6"/>
        <v>0</v>
      </c>
      <c r="R43" s="35">
        <f t="shared" si="6"/>
        <v>5.6</v>
      </c>
      <c r="S43" s="35">
        <f t="shared" si="6"/>
        <v>5.9</v>
      </c>
      <c r="T43" s="35">
        <f t="shared" si="6"/>
        <v>0.90000000000000013</v>
      </c>
      <c r="U43" s="35">
        <f t="shared" si="6"/>
        <v>2</v>
      </c>
      <c r="V43" s="35">
        <f t="shared" si="6"/>
        <v>0</v>
      </c>
      <c r="W43" s="35">
        <f t="shared" si="6"/>
        <v>-6.6</v>
      </c>
      <c r="X43" s="35">
        <f t="shared" si="6"/>
        <v>-1.4000000000000001</v>
      </c>
      <c r="Y43" s="35">
        <f t="shared" si="6"/>
        <v>4.5</v>
      </c>
      <c r="Z43" s="35">
        <f t="shared" si="6"/>
        <v>0</v>
      </c>
      <c r="AA43" s="35">
        <f t="shared" si="6"/>
        <v>-2.2000000000000002</v>
      </c>
      <c r="AB43" s="35">
        <f t="shared" si="6"/>
        <v>0.49999999999999922</v>
      </c>
      <c r="AC43" s="35">
        <f t="shared" si="6"/>
        <v>8.0000000000000018</v>
      </c>
      <c r="AD43" s="35">
        <f t="shared" si="6"/>
        <v>7.5000000000000036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'NNG-Sep'!F43</f>
        <v>0</v>
      </c>
      <c r="G48" s="75">
        <f>'NNG-Sep'!G43</f>
        <v>0</v>
      </c>
      <c r="H48" s="75">
        <f>'NNG-Sep'!H43</f>
        <v>0</v>
      </c>
      <c r="I48" s="75">
        <f>'NNG-Sep'!I43</f>
        <v>0</v>
      </c>
      <c r="J48" s="75">
        <f>'NNG-Sep'!J43</f>
        <v>-0.59999999999999987</v>
      </c>
      <c r="K48" s="75">
        <f>'NNG-Sep'!K43</f>
        <v>-0.40000000000000008</v>
      </c>
      <c r="L48" s="75">
        <f>'NNG-Sep'!L43</f>
        <v>-0.60000000000000009</v>
      </c>
      <c r="M48" s="75">
        <f>'NNG-Sep'!M43</f>
        <v>0</v>
      </c>
      <c r="N48" s="75">
        <f>'NNG-Sep'!N43</f>
        <v>3.7</v>
      </c>
      <c r="O48" s="75">
        <f>'NNG-Sep'!O43</f>
        <v>-2.9000000000000004</v>
      </c>
      <c r="P48" s="75">
        <f>'NNG-Sep'!P43</f>
        <v>0</v>
      </c>
      <c r="Q48" s="75">
        <f>'NNG-Sep'!Q43</f>
        <v>-0.1</v>
      </c>
      <c r="R48" s="75">
        <f>'NNG-Sep'!R43</f>
        <v>12.6</v>
      </c>
      <c r="S48" s="75">
        <f>'NNG-Sep'!S43</f>
        <v>-5.2</v>
      </c>
      <c r="T48" s="75">
        <f>'NNG-Sep'!T43</f>
        <v>-0.7</v>
      </c>
      <c r="U48" s="75">
        <f>'NNG-Sep'!U43</f>
        <v>1.8</v>
      </c>
      <c r="V48" s="75">
        <f>'NNG-Sep'!V43</f>
        <v>-1.3</v>
      </c>
      <c r="W48" s="75">
        <f>'NNG-Sep'!W43</f>
        <v>-0.1</v>
      </c>
      <c r="X48" s="75">
        <f>'NNG-Sep'!X43</f>
        <v>4.7</v>
      </c>
      <c r="Y48" s="75">
        <f>'NNG-Sep'!Y43</f>
        <v>0.30000000000000004</v>
      </c>
      <c r="Z48" s="75">
        <f>'NNG-Sep'!Z43</f>
        <v>0</v>
      </c>
      <c r="AA48" s="75">
        <f>'NNG-Sep'!AA43</f>
        <v>-0.60000000000000009</v>
      </c>
      <c r="AB48" s="75">
        <f>'NNG-Sep'!AB43</f>
        <v>0</v>
      </c>
      <c r="AC48" s="75">
        <f>'NNG-Sep'!AC43</f>
        <v>10.599999999999998</v>
      </c>
      <c r="AD48" s="75">
        <f>'NNG-Sep'!AD43</f>
        <v>10.600000000000001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0</v>
      </c>
      <c r="H49" s="75">
        <f t="shared" si="7"/>
        <v>0</v>
      </c>
      <c r="I49" s="75">
        <f t="shared" si="7"/>
        <v>0</v>
      </c>
      <c r="J49" s="75">
        <f t="shared" si="7"/>
        <v>0</v>
      </c>
      <c r="K49" s="75">
        <f t="shared" si="7"/>
        <v>-0.1</v>
      </c>
      <c r="L49" s="75">
        <f t="shared" si="7"/>
        <v>0.1</v>
      </c>
      <c r="M49" s="75">
        <f t="shared" si="7"/>
        <v>0</v>
      </c>
      <c r="N49" s="75">
        <f t="shared" si="7"/>
        <v>0</v>
      </c>
      <c r="O49" s="75">
        <f t="shared" si="7"/>
        <v>-1.2</v>
      </c>
      <c r="P49" s="75">
        <f t="shared" si="7"/>
        <v>0</v>
      </c>
      <c r="Q49" s="75">
        <f t="shared" si="7"/>
        <v>0</v>
      </c>
      <c r="R49" s="75">
        <f t="shared" si="7"/>
        <v>5.6</v>
      </c>
      <c r="S49" s="75">
        <f t="shared" si="7"/>
        <v>5.9</v>
      </c>
      <c r="T49" s="75">
        <f t="shared" si="7"/>
        <v>0.90000000000000013</v>
      </c>
      <c r="U49" s="75">
        <f t="shared" si="7"/>
        <v>2</v>
      </c>
      <c r="V49" s="75">
        <f t="shared" si="7"/>
        <v>0</v>
      </c>
      <c r="W49" s="75">
        <f t="shared" si="7"/>
        <v>-6.6</v>
      </c>
      <c r="X49" s="75">
        <f t="shared" si="7"/>
        <v>-1.4000000000000001</v>
      </c>
      <c r="Y49" s="75">
        <f t="shared" si="7"/>
        <v>4.5</v>
      </c>
      <c r="Z49" s="75">
        <f t="shared" si="7"/>
        <v>0</v>
      </c>
      <c r="AA49" s="75">
        <f t="shared" si="7"/>
        <v>-2.2000000000000002</v>
      </c>
      <c r="AB49" s="75">
        <f t="shared" si="7"/>
        <v>0.49999999999999922</v>
      </c>
      <c r="AC49" s="75">
        <f t="shared" si="7"/>
        <v>8.0000000000000018</v>
      </c>
      <c r="AD49" s="75">
        <f t="shared" si="7"/>
        <v>7.5000000000000036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0</v>
      </c>
      <c r="H50" s="77">
        <f t="shared" si="8"/>
        <v>0</v>
      </c>
      <c r="I50" s="77">
        <f t="shared" si="8"/>
        <v>0</v>
      </c>
      <c r="J50" s="77">
        <f t="shared" si="8"/>
        <v>-0.60000000000000009</v>
      </c>
      <c r="K50" s="77">
        <f t="shared" si="8"/>
        <v>-0.29999999999999993</v>
      </c>
      <c r="L50" s="77">
        <f t="shared" si="8"/>
        <v>1.8000000000000003</v>
      </c>
      <c r="M50" s="77">
        <f t="shared" si="8"/>
        <v>-0.4</v>
      </c>
      <c r="N50" s="77">
        <f t="shared" si="8"/>
        <v>4.9999999999999991</v>
      </c>
      <c r="O50" s="77">
        <f t="shared" si="8"/>
        <v>-0.29999999999999982</v>
      </c>
      <c r="P50" s="77">
        <f t="shared" si="8"/>
        <v>0</v>
      </c>
      <c r="Q50" s="77">
        <f t="shared" si="8"/>
        <v>1.8</v>
      </c>
      <c r="R50" s="77">
        <f t="shared" si="8"/>
        <v>-1</v>
      </c>
      <c r="S50" s="77">
        <f t="shared" si="8"/>
        <v>0.19999999999999984</v>
      </c>
      <c r="T50" s="77">
        <f t="shared" si="8"/>
        <v>-0.10000000000000017</v>
      </c>
      <c r="U50" s="77">
        <f t="shared" si="8"/>
        <v>-0.39999999999999991</v>
      </c>
      <c r="V50" s="77">
        <f t="shared" si="8"/>
        <v>-4.4000000000000004</v>
      </c>
      <c r="W50" s="77">
        <f t="shared" si="8"/>
        <v>3.4999999999999991</v>
      </c>
      <c r="X50" s="77">
        <f t="shared" si="8"/>
        <v>-0.19999999999999973</v>
      </c>
      <c r="Y50" s="77">
        <f t="shared" si="8"/>
        <v>1.6000000000000005</v>
      </c>
      <c r="Z50" s="77">
        <f t="shared" si="8"/>
        <v>-1.4</v>
      </c>
      <c r="AA50" s="77">
        <f t="shared" si="8"/>
        <v>-0.19999999999999973</v>
      </c>
      <c r="AB50" s="77">
        <f t="shared" si="8"/>
        <v>56.4</v>
      </c>
      <c r="AC50" s="80">
        <f>SUM(F50:AB50)</f>
        <v>61</v>
      </c>
      <c r="AD50" s="78">
        <f>SUM(F50:N50)</f>
        <v>5.4999999999999991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0</v>
      </c>
      <c r="G52" s="76">
        <v>0</v>
      </c>
      <c r="H52" s="76">
        <v>0</v>
      </c>
      <c r="I52" s="76">
        <v>0</v>
      </c>
      <c r="J52" s="76">
        <v>-1.2</v>
      </c>
      <c r="K52" s="76">
        <v>-0.8</v>
      </c>
      <c r="L52" s="76">
        <v>1.3</v>
      </c>
      <c r="M52" s="76">
        <v>-0.4</v>
      </c>
      <c r="N52" s="76">
        <v>8.6999999999999993</v>
      </c>
      <c r="O52" s="76">
        <v>-4.4000000000000004</v>
      </c>
      <c r="P52" s="76">
        <v>0</v>
      </c>
      <c r="Q52" s="76">
        <v>1.7</v>
      </c>
      <c r="R52" s="76">
        <v>17.2</v>
      </c>
      <c r="S52" s="76">
        <v>0.9</v>
      </c>
      <c r="T52" s="76">
        <v>0.1</v>
      </c>
      <c r="U52" s="76">
        <v>3.4</v>
      </c>
      <c r="V52" s="76">
        <v>-5.7</v>
      </c>
      <c r="W52" s="76">
        <v>-3.2</v>
      </c>
      <c r="X52" s="76">
        <v>3.1</v>
      </c>
      <c r="Y52" s="76">
        <v>6.4</v>
      </c>
      <c r="Z52" s="76">
        <v>-1.4</v>
      </c>
      <c r="AA52" s="76">
        <v>-3</v>
      </c>
      <c r="AB52" s="76">
        <v>56.9</v>
      </c>
      <c r="AC52" s="79">
        <f>SUM(AC48:AC50)</f>
        <v>79.599999999999994</v>
      </c>
      <c r="AD52" s="79">
        <f>SUM(AD48:AD50)</f>
        <v>23.600000000000005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319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 t="s">
        <v>4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3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6</v>
      </c>
      <c r="G8" s="15" t="s">
        <v>7</v>
      </c>
      <c r="H8" s="15" t="s">
        <v>8</v>
      </c>
      <c r="I8" s="15" t="s">
        <v>9</v>
      </c>
      <c r="J8" s="15" t="s">
        <v>10</v>
      </c>
      <c r="K8" s="15" t="s">
        <v>6</v>
      </c>
      <c r="L8" s="15" t="s">
        <v>7</v>
      </c>
      <c r="M8" s="15" t="s">
        <v>8</v>
      </c>
      <c r="N8" s="15" t="s">
        <v>9</v>
      </c>
      <c r="O8" s="15" t="s">
        <v>10</v>
      </c>
      <c r="P8" s="15" t="s">
        <v>6</v>
      </c>
      <c r="Q8" s="15" t="s">
        <v>7</v>
      </c>
      <c r="R8" s="15" t="s">
        <v>8</v>
      </c>
      <c r="S8" s="15" t="s">
        <v>9</v>
      </c>
      <c r="T8" s="15" t="s">
        <v>10</v>
      </c>
      <c r="U8" s="15" t="s">
        <v>6</v>
      </c>
      <c r="V8" s="15" t="s">
        <v>7</v>
      </c>
      <c r="W8" s="15" t="s">
        <v>8</v>
      </c>
      <c r="X8" s="15" t="s">
        <v>9</v>
      </c>
      <c r="Y8" s="15" t="s">
        <v>10</v>
      </c>
      <c r="Z8" s="15" t="s">
        <v>6</v>
      </c>
      <c r="AA8" s="15" t="s">
        <v>7</v>
      </c>
      <c r="AB8" s="15" t="s">
        <v>8</v>
      </c>
      <c r="AC8" s="30" t="s">
        <v>320</v>
      </c>
      <c r="AD8" s="31" t="s">
        <v>321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322</v>
      </c>
      <c r="G9" s="53" t="s">
        <v>323</v>
      </c>
      <c r="H9" s="57" t="s">
        <v>324</v>
      </c>
      <c r="I9" s="57" t="s">
        <v>325</v>
      </c>
      <c r="J9" s="57" t="s">
        <v>326</v>
      </c>
      <c r="K9" s="57" t="s">
        <v>327</v>
      </c>
      <c r="L9" s="57" t="s">
        <v>328</v>
      </c>
      <c r="M9" s="57" t="s">
        <v>329</v>
      </c>
      <c r="N9" s="57" t="s">
        <v>330</v>
      </c>
      <c r="O9" s="57" t="s">
        <v>331</v>
      </c>
      <c r="P9" s="57" t="s">
        <v>332</v>
      </c>
      <c r="Q9" s="57" t="s">
        <v>333</v>
      </c>
      <c r="R9" s="57" t="s">
        <v>334</v>
      </c>
      <c r="S9" s="57" t="s">
        <v>335</v>
      </c>
      <c r="T9" s="57" t="s">
        <v>336</v>
      </c>
      <c r="U9" s="57" t="s">
        <v>337</v>
      </c>
      <c r="V9" s="57" t="s">
        <v>338</v>
      </c>
      <c r="W9" s="57" t="s">
        <v>339</v>
      </c>
      <c r="X9" s="57" t="s">
        <v>340</v>
      </c>
      <c r="Y9" s="53" t="s">
        <v>341</v>
      </c>
      <c r="Z9" s="57" t="s">
        <v>342</v>
      </c>
      <c r="AA9" s="57" t="s">
        <v>343</v>
      </c>
      <c r="AB9" s="57" t="s">
        <v>344</v>
      </c>
      <c r="AC9" s="16" t="s">
        <v>36</v>
      </c>
      <c r="AD9" s="52" t="s">
        <v>343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62">
        <f>0.2+0.1</f>
        <v>0.30000000000000004</v>
      </c>
      <c r="G11" s="10">
        <v>0</v>
      </c>
      <c r="H11" s="10">
        <v>0</v>
      </c>
      <c r="I11" s="10">
        <v>0</v>
      </c>
      <c r="J11" s="62">
        <f>0.1+0.1</f>
        <v>0.2</v>
      </c>
      <c r="K11" s="55" t="s">
        <v>40</v>
      </c>
      <c r="L11" s="10">
        <v>0.1</v>
      </c>
      <c r="M11" s="10">
        <v>0.3</v>
      </c>
      <c r="N11" s="62">
        <f>19.6+0.2</f>
        <v>19.8</v>
      </c>
      <c r="O11" s="10">
        <v>0.5</v>
      </c>
      <c r="P11" s="10">
        <v>0.1</v>
      </c>
      <c r="Q11" s="10">
        <v>0.1</v>
      </c>
      <c r="R11" s="10">
        <v>0.2</v>
      </c>
      <c r="S11" s="10">
        <v>0.1</v>
      </c>
      <c r="T11" s="10">
        <v>0</v>
      </c>
      <c r="U11" s="62">
        <f>2.4+0.8</f>
        <v>3.2</v>
      </c>
      <c r="V11" s="10">
        <v>0.1</v>
      </c>
      <c r="W11" s="10">
        <v>0.1</v>
      </c>
      <c r="X11" s="62">
        <f>0.7+0.1</f>
        <v>0.79999999999999993</v>
      </c>
      <c r="Y11" s="10">
        <v>0.1</v>
      </c>
      <c r="Z11" s="10">
        <v>0</v>
      </c>
      <c r="AA11" s="62">
        <f>0.2+0.1</f>
        <v>0.30000000000000004</v>
      </c>
      <c r="AB11" s="26">
        <f t="shared" ref="AB11:AB20" si="0">AC11-SUM(F11:AA11)</f>
        <v>0</v>
      </c>
      <c r="AC11" s="60">
        <f>25.7+0.6</f>
        <v>26.3</v>
      </c>
      <c r="AD11" s="58">
        <f>SUM(F11:AA11)</f>
        <v>26.300000000000008</v>
      </c>
      <c r="AE11" s="3"/>
    </row>
    <row r="12" spans="1:31" ht="15" customHeight="1" x14ac:dyDescent="0.2">
      <c r="A12" s="19"/>
      <c r="B12" s="21"/>
      <c r="C12" s="21" t="s">
        <v>287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55" t="s">
        <v>40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0.2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0.2</v>
      </c>
      <c r="AD12" s="58">
        <f t="shared" ref="AD12:AD20" si="1">SUM(F12:AA12)</f>
        <v>0.2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10">
        <v>0.1</v>
      </c>
      <c r="G13" s="10">
        <v>0</v>
      </c>
      <c r="H13" s="10">
        <v>0</v>
      </c>
      <c r="I13" s="10">
        <v>0</v>
      </c>
      <c r="J13" s="10">
        <v>0</v>
      </c>
      <c r="K13" s="55" t="s">
        <v>40</v>
      </c>
      <c r="L13" s="10">
        <v>0</v>
      </c>
      <c r="M13" s="10">
        <v>0.2</v>
      </c>
      <c r="N13" s="10">
        <v>0</v>
      </c>
      <c r="O13" s="10">
        <v>0.2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1.1000000000000001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1.6</v>
      </c>
      <c r="AD13" s="58">
        <f t="shared" si="1"/>
        <v>1.6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55" t="s">
        <v>40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55" t="s">
        <v>40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55" t="s">
        <v>40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55" t="s">
        <v>40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55" t="s">
        <v>40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10">
        <v>0</v>
      </c>
      <c r="G19" s="10">
        <v>0</v>
      </c>
      <c r="H19" s="10">
        <v>0.1</v>
      </c>
      <c r="I19" s="10">
        <v>0</v>
      </c>
      <c r="J19" s="10">
        <v>0</v>
      </c>
      <c r="K19" s="55" t="s">
        <v>40</v>
      </c>
      <c r="L19" s="10">
        <v>0.1</v>
      </c>
      <c r="M19" s="10">
        <v>0</v>
      </c>
      <c r="N19" s="10">
        <v>0</v>
      </c>
      <c r="O19" s="10">
        <v>0</v>
      </c>
      <c r="P19" s="10">
        <v>0</v>
      </c>
      <c r="Q19" s="10">
        <v>0.1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0.3</v>
      </c>
      <c r="AD19" s="58">
        <f t="shared" si="1"/>
        <v>0.30000000000000004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56" t="s">
        <v>40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0.4</v>
      </c>
      <c r="G22" s="11">
        <f t="shared" si="2"/>
        <v>0</v>
      </c>
      <c r="H22" s="11">
        <f t="shared" si="2"/>
        <v>0.1</v>
      </c>
      <c r="I22" s="11">
        <f t="shared" si="2"/>
        <v>0</v>
      </c>
      <c r="J22" s="11">
        <f t="shared" si="2"/>
        <v>0.2</v>
      </c>
      <c r="K22" s="11">
        <f t="shared" si="2"/>
        <v>0</v>
      </c>
      <c r="L22" s="11">
        <f t="shared" si="2"/>
        <v>0.2</v>
      </c>
      <c r="M22" s="11">
        <f t="shared" si="2"/>
        <v>0.5</v>
      </c>
      <c r="N22" s="11">
        <f t="shared" si="2"/>
        <v>19.8</v>
      </c>
      <c r="O22" s="11">
        <f t="shared" si="2"/>
        <v>0.7</v>
      </c>
      <c r="P22" s="11">
        <f t="shared" si="2"/>
        <v>0.1</v>
      </c>
      <c r="Q22" s="11">
        <f t="shared" si="2"/>
        <v>0.2</v>
      </c>
      <c r="R22" s="11">
        <f t="shared" si="2"/>
        <v>0.2</v>
      </c>
      <c r="S22" s="11">
        <f t="shared" si="2"/>
        <v>0.1</v>
      </c>
      <c r="T22" s="11">
        <f t="shared" si="2"/>
        <v>0</v>
      </c>
      <c r="U22" s="11">
        <f t="shared" si="2"/>
        <v>4.3000000000000007</v>
      </c>
      <c r="V22" s="11">
        <f t="shared" si="2"/>
        <v>0.1</v>
      </c>
      <c r="W22" s="11">
        <f t="shared" si="2"/>
        <v>0.30000000000000004</v>
      </c>
      <c r="X22" s="11">
        <f t="shared" si="2"/>
        <v>0.79999999999999993</v>
      </c>
      <c r="Y22" s="11">
        <f t="shared" si="2"/>
        <v>0.1</v>
      </c>
      <c r="Z22" s="11">
        <f t="shared" si="2"/>
        <v>0</v>
      </c>
      <c r="AA22" s="11">
        <f t="shared" si="2"/>
        <v>0.30000000000000004</v>
      </c>
      <c r="AB22" s="11">
        <f t="shared" si="2"/>
        <v>0</v>
      </c>
      <c r="AC22" s="11">
        <f t="shared" si="2"/>
        <v>28.400000000000002</v>
      </c>
      <c r="AD22" s="11">
        <f t="shared" si="2"/>
        <v>28.400000000000009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10">
        <v>0.2</v>
      </c>
      <c r="G25" s="10">
        <v>0</v>
      </c>
      <c r="H25" s="10">
        <v>0</v>
      </c>
      <c r="I25" s="10">
        <v>0</v>
      </c>
      <c r="J25" s="10">
        <v>0</v>
      </c>
      <c r="K25" s="55" t="s">
        <v>40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1.3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1.5</v>
      </c>
      <c r="AD25" s="58">
        <f t="shared" ref="AD25:AD39" si="4">SUM(F25:AA25)</f>
        <v>1.5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10">
        <v>0.3</v>
      </c>
      <c r="G26" s="10">
        <v>0</v>
      </c>
      <c r="H26" s="10">
        <v>0</v>
      </c>
      <c r="I26" s="10">
        <v>0</v>
      </c>
      <c r="J26" s="10">
        <v>0</v>
      </c>
      <c r="K26" s="55" t="s">
        <v>40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</v>
      </c>
      <c r="AC26" s="60">
        <f>0.3+0.3</f>
        <v>0.6</v>
      </c>
      <c r="AD26" s="58">
        <f t="shared" si="4"/>
        <v>0.3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55" t="s">
        <v>40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62">
        <v>0.1</v>
      </c>
      <c r="G28" s="10">
        <v>0</v>
      </c>
      <c r="H28" s="10">
        <v>0</v>
      </c>
      <c r="I28" s="10">
        <v>0</v>
      </c>
      <c r="J28" s="62">
        <f>0.2+0.1</f>
        <v>0.30000000000000004</v>
      </c>
      <c r="K28" s="55" t="s">
        <v>40</v>
      </c>
      <c r="L28" s="10">
        <v>0</v>
      </c>
      <c r="M28" s="10">
        <v>0</v>
      </c>
      <c r="N28" s="62">
        <v>0.2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62">
        <f>0.3+0.8</f>
        <v>1.1000000000000001</v>
      </c>
      <c r="V28" s="10">
        <v>0</v>
      </c>
      <c r="W28" s="10">
        <v>0</v>
      </c>
      <c r="X28" s="62">
        <v>0.1</v>
      </c>
      <c r="Y28" s="10">
        <v>0.1</v>
      </c>
      <c r="Z28" s="10">
        <v>0</v>
      </c>
      <c r="AA28" s="62">
        <f>0.2+0.1</f>
        <v>0.30000000000000004</v>
      </c>
      <c r="AB28" s="26">
        <f t="shared" si="3"/>
        <v>9.9999999999999645E-2</v>
      </c>
      <c r="AC28" s="10">
        <v>2.2999999999999998</v>
      </c>
      <c r="AD28" s="58">
        <f t="shared" si="4"/>
        <v>2.2000000000000002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55" t="s">
        <v>40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3.4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3.4</v>
      </c>
      <c r="AD29" s="58">
        <f t="shared" si="4"/>
        <v>3.4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36">
        <f>0.2+1.2</f>
        <v>1.4</v>
      </c>
      <c r="G30" s="10">
        <v>0.7</v>
      </c>
      <c r="H30" s="10">
        <v>0.3</v>
      </c>
      <c r="I30" s="10">
        <v>0.4</v>
      </c>
      <c r="J30" s="10">
        <v>0.1</v>
      </c>
      <c r="K30" s="55" t="s">
        <v>40</v>
      </c>
      <c r="L30" s="10">
        <v>0.3</v>
      </c>
      <c r="M30" s="10">
        <v>0.6</v>
      </c>
      <c r="N30" s="10">
        <v>0.4</v>
      </c>
      <c r="O30" s="10">
        <v>0.2</v>
      </c>
      <c r="P30" s="10">
        <v>0.1</v>
      </c>
      <c r="Q30" s="10">
        <v>0.3</v>
      </c>
      <c r="R30" s="10">
        <v>0.7</v>
      </c>
      <c r="S30" s="10">
        <v>0.2</v>
      </c>
      <c r="T30" s="10">
        <v>0.1</v>
      </c>
      <c r="U30" s="10">
        <v>0.1</v>
      </c>
      <c r="V30" s="10">
        <v>0.4</v>
      </c>
      <c r="W30" s="10">
        <v>0.8</v>
      </c>
      <c r="X30" s="10">
        <v>0.1</v>
      </c>
      <c r="Y30" s="10">
        <v>0.4</v>
      </c>
      <c r="Z30" s="10">
        <v>0.2</v>
      </c>
      <c r="AA30" s="10">
        <v>1</v>
      </c>
      <c r="AB30" s="26">
        <f t="shared" si="3"/>
        <v>1.0000000000000018</v>
      </c>
      <c r="AC30" s="36">
        <v>9.8000000000000007</v>
      </c>
      <c r="AD30" s="58">
        <f t="shared" si="4"/>
        <v>8.7999999999999989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55" t="s">
        <v>40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55" t="s">
        <v>40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0.5</v>
      </c>
      <c r="G33" s="10">
        <v>0.2</v>
      </c>
      <c r="H33" s="10">
        <v>0.4</v>
      </c>
      <c r="I33" s="10">
        <v>0.1</v>
      </c>
      <c r="J33" s="10">
        <v>0</v>
      </c>
      <c r="K33" s="55" t="s">
        <v>40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0.1</v>
      </c>
      <c r="R33" s="10">
        <v>0.3</v>
      </c>
      <c r="S33" s="10">
        <v>0.8</v>
      </c>
      <c r="T33" s="10">
        <v>0</v>
      </c>
      <c r="U33" s="10">
        <v>0</v>
      </c>
      <c r="V33" s="10">
        <v>0.1</v>
      </c>
      <c r="W33" s="10">
        <v>0</v>
      </c>
      <c r="X33" s="10">
        <v>0.1</v>
      </c>
      <c r="Y33" s="10">
        <v>0.1</v>
      </c>
      <c r="Z33" s="10">
        <v>0</v>
      </c>
      <c r="AA33" s="10">
        <v>0</v>
      </c>
      <c r="AB33" s="26">
        <f t="shared" si="3"/>
        <v>9.9999999999999645E-2</v>
      </c>
      <c r="AC33" s="60">
        <f>1.3+1.8-0.3</f>
        <v>2.8000000000000003</v>
      </c>
      <c r="AD33" s="58">
        <f t="shared" si="4"/>
        <v>2.7000000000000006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10">
        <v>0.1</v>
      </c>
      <c r="G34" s="10">
        <v>0.2</v>
      </c>
      <c r="H34" s="10">
        <v>0.1</v>
      </c>
      <c r="I34" s="10">
        <v>0.2</v>
      </c>
      <c r="J34" s="10">
        <v>0.1</v>
      </c>
      <c r="K34" s="55" t="s">
        <v>40</v>
      </c>
      <c r="L34" s="10">
        <v>0.2</v>
      </c>
      <c r="M34" s="10">
        <v>0.2</v>
      </c>
      <c r="N34" s="10">
        <v>0.1</v>
      </c>
      <c r="O34" s="10">
        <v>0.1</v>
      </c>
      <c r="P34" s="10">
        <v>1</v>
      </c>
      <c r="Q34" s="10">
        <v>0.1</v>
      </c>
      <c r="R34" s="10">
        <v>0.1</v>
      </c>
      <c r="S34" s="10">
        <v>0.1</v>
      </c>
      <c r="T34" s="10">
        <v>0.2</v>
      </c>
      <c r="U34" s="10">
        <v>0.2</v>
      </c>
      <c r="V34" s="10">
        <v>0.2</v>
      </c>
      <c r="W34" s="10">
        <v>0.2</v>
      </c>
      <c r="X34" s="10">
        <v>0.2</v>
      </c>
      <c r="Y34" s="10">
        <v>0.1</v>
      </c>
      <c r="Z34" s="10">
        <v>0.1</v>
      </c>
      <c r="AA34" s="10">
        <v>0.1</v>
      </c>
      <c r="AB34" s="26">
        <f t="shared" si="3"/>
        <v>0.99999999999999867</v>
      </c>
      <c r="AC34" s="10">
        <v>4.9000000000000004</v>
      </c>
      <c r="AD34" s="58">
        <f t="shared" si="4"/>
        <v>3.9000000000000017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55" t="s">
        <v>40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55" t="s">
        <v>40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55" t="s">
        <v>40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55" t="s">
        <v>40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56" t="s">
        <v>40</v>
      </c>
      <c r="L39" s="29">
        <v>0.1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0.1</v>
      </c>
      <c r="AD39" s="59">
        <f t="shared" si="4"/>
        <v>0.1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2.6</v>
      </c>
      <c r="G41" s="11">
        <f t="shared" si="5"/>
        <v>1.0999999999999999</v>
      </c>
      <c r="H41" s="11">
        <f t="shared" si="5"/>
        <v>0.79999999999999993</v>
      </c>
      <c r="I41" s="11">
        <f t="shared" si="5"/>
        <v>0.7</v>
      </c>
      <c r="J41" s="11">
        <f t="shared" si="5"/>
        <v>0.5</v>
      </c>
      <c r="K41" s="11">
        <f t="shared" si="5"/>
        <v>0</v>
      </c>
      <c r="L41" s="11">
        <f t="shared" si="5"/>
        <v>0.6</v>
      </c>
      <c r="M41" s="11">
        <f t="shared" si="5"/>
        <v>0.8</v>
      </c>
      <c r="N41" s="11">
        <f t="shared" si="5"/>
        <v>0.70000000000000007</v>
      </c>
      <c r="O41" s="11">
        <f t="shared" si="5"/>
        <v>0.30000000000000004</v>
      </c>
      <c r="P41" s="11">
        <f t="shared" si="5"/>
        <v>1.1000000000000001</v>
      </c>
      <c r="Q41" s="11">
        <f t="shared" si="5"/>
        <v>0.5</v>
      </c>
      <c r="R41" s="11">
        <f t="shared" si="5"/>
        <v>1.1000000000000001</v>
      </c>
      <c r="S41" s="11">
        <f t="shared" si="5"/>
        <v>1.1000000000000001</v>
      </c>
      <c r="T41" s="11">
        <f t="shared" si="5"/>
        <v>0.30000000000000004</v>
      </c>
      <c r="U41" s="11">
        <f t="shared" si="5"/>
        <v>2.7000000000000006</v>
      </c>
      <c r="V41" s="11">
        <f t="shared" si="5"/>
        <v>0.7</v>
      </c>
      <c r="W41" s="11">
        <f t="shared" si="5"/>
        <v>1</v>
      </c>
      <c r="X41" s="11">
        <f t="shared" si="5"/>
        <v>3.9000000000000004</v>
      </c>
      <c r="Y41" s="11">
        <f t="shared" si="5"/>
        <v>0.7</v>
      </c>
      <c r="Z41" s="11">
        <f t="shared" si="5"/>
        <v>0.30000000000000004</v>
      </c>
      <c r="AA41" s="11">
        <f t="shared" si="5"/>
        <v>1.4000000000000001</v>
      </c>
      <c r="AB41" s="11">
        <f t="shared" si="5"/>
        <v>2.5</v>
      </c>
      <c r="AC41" s="11">
        <f t="shared" si="5"/>
        <v>25.400000000000006</v>
      </c>
      <c r="AD41" s="11">
        <f t="shared" si="5"/>
        <v>22.900000000000002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-2.2000000000000002</v>
      </c>
      <c r="G43" s="35">
        <f t="shared" si="6"/>
        <v>-1.0999999999999999</v>
      </c>
      <c r="H43" s="35">
        <f t="shared" si="6"/>
        <v>-0.7</v>
      </c>
      <c r="I43" s="35">
        <f t="shared" si="6"/>
        <v>-0.7</v>
      </c>
      <c r="J43" s="35">
        <f t="shared" si="6"/>
        <v>-0.3</v>
      </c>
      <c r="K43" s="35">
        <f t="shared" si="6"/>
        <v>0</v>
      </c>
      <c r="L43" s="35">
        <f t="shared" si="6"/>
        <v>-0.39999999999999997</v>
      </c>
      <c r="M43" s="35">
        <f t="shared" si="6"/>
        <v>-0.30000000000000004</v>
      </c>
      <c r="N43" s="35">
        <f t="shared" si="6"/>
        <v>19.100000000000001</v>
      </c>
      <c r="O43" s="35">
        <f t="shared" si="6"/>
        <v>0.39999999999999991</v>
      </c>
      <c r="P43" s="35">
        <f t="shared" si="6"/>
        <v>-1</v>
      </c>
      <c r="Q43" s="35">
        <f t="shared" si="6"/>
        <v>-0.3</v>
      </c>
      <c r="R43" s="35">
        <f t="shared" si="6"/>
        <v>-0.90000000000000013</v>
      </c>
      <c r="S43" s="35">
        <f t="shared" si="6"/>
        <v>-1</v>
      </c>
      <c r="T43" s="35">
        <f t="shared" si="6"/>
        <v>-0.30000000000000004</v>
      </c>
      <c r="U43" s="35">
        <f t="shared" si="6"/>
        <v>1.6</v>
      </c>
      <c r="V43" s="35">
        <f t="shared" si="6"/>
        <v>-0.6</v>
      </c>
      <c r="W43" s="35">
        <f t="shared" si="6"/>
        <v>-0.7</v>
      </c>
      <c r="X43" s="35">
        <f t="shared" si="6"/>
        <v>-3.1000000000000005</v>
      </c>
      <c r="Y43" s="35">
        <f t="shared" si="6"/>
        <v>-0.6</v>
      </c>
      <c r="Z43" s="35">
        <f t="shared" si="6"/>
        <v>-0.30000000000000004</v>
      </c>
      <c r="AA43" s="35">
        <f t="shared" si="6"/>
        <v>-1.1000000000000001</v>
      </c>
      <c r="AB43" s="35">
        <f t="shared" si="6"/>
        <v>-2.5</v>
      </c>
      <c r="AC43" s="35">
        <f t="shared" si="6"/>
        <v>2.9999999999999964</v>
      </c>
      <c r="AD43" s="35">
        <f t="shared" si="6"/>
        <v>5.5000000000000071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56"/>
      <c r="G45" s="56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'NNG-Jan.'!A2</f>
        <v>JANUARY,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'NNG-Jan.'!A3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 t="str">
        <f>'NNG-Jan.'!F7</f>
        <v>B.C.</v>
      </c>
      <c r="G7" s="48" t="str">
        <f>'NNG-Jan.'!G7</f>
        <v>Act</v>
      </c>
      <c r="H7" s="48" t="str">
        <f>'NNG-Jan.'!H7</f>
        <v>Act</v>
      </c>
      <c r="I7" s="48" t="str">
        <f>'NNG-Jan.'!I7</f>
        <v>Act</v>
      </c>
      <c r="J7" s="48" t="str">
        <f>'NNG-Jan.'!J7</f>
        <v>Act</v>
      </c>
      <c r="K7" s="48" t="str">
        <f>'NNG-Jan.'!K7</f>
        <v>Act</v>
      </c>
      <c r="L7" s="48" t="str">
        <f>'NNG-Jan.'!L7</f>
        <v>Act</v>
      </c>
      <c r="M7" s="48" t="str">
        <f>'NNG-Jan.'!M7</f>
        <v>Act</v>
      </c>
      <c r="N7" s="48" t="str">
        <f>'NNG-Jan.'!N7</f>
        <v>Act</v>
      </c>
      <c r="O7" s="48" t="str">
        <f>'NNG-Jan.'!O7</f>
        <v>Act</v>
      </c>
      <c r="P7" s="48" t="str">
        <f>'NNG-Jan.'!P7</f>
        <v>B.C.</v>
      </c>
      <c r="Q7" s="48" t="str">
        <f>'NNG-Jan.'!Q7</f>
        <v>Act</v>
      </c>
      <c r="R7" s="48" t="str">
        <f>'NNG-Jan.'!R7</f>
        <v>Act</v>
      </c>
      <c r="S7" s="48" t="str">
        <f>'NNG-Jan.'!S7</f>
        <v>Act</v>
      </c>
      <c r="T7" s="48" t="str">
        <f>'NNG-Jan.'!T7</f>
        <v>Act</v>
      </c>
      <c r="U7" s="48" t="str">
        <f>'NNG-Jan.'!U7</f>
        <v>Act</v>
      </c>
      <c r="V7" s="48" t="str">
        <f>'NNG-Jan.'!V7</f>
        <v>Act</v>
      </c>
      <c r="W7" s="48" t="str">
        <f>'NNG-Jan.'!W7</f>
        <v>Act</v>
      </c>
      <c r="X7" s="48" t="str">
        <f>'NNG-Jan.'!X7</f>
        <v>Act</v>
      </c>
      <c r="Y7" s="48" t="str">
        <f>'NNG-Jan.'!Y7</f>
        <v>Act</v>
      </c>
      <c r="Z7" s="48" t="str">
        <f>'NNG-Jan.'!Z7</f>
        <v>Act</v>
      </c>
      <c r="AA7" s="48" t="str">
        <f>'NNG-Jan.'!AA7</f>
        <v>Act</v>
      </c>
      <c r="AB7" s="48" t="str">
        <f>'NNG-Jan.'!AB7</f>
        <v>Act</v>
      </c>
      <c r="AC7" s="48"/>
      <c r="AD7" s="48" t="str">
        <f>'NNG-Jan.'!AD7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'NNG-Jan.'!F8</f>
        <v>Mon</v>
      </c>
      <c r="G8" s="48" t="str">
        <f>'NNG-Jan.'!G8</f>
        <v>Tue</v>
      </c>
      <c r="H8" s="48" t="str">
        <f>'NNG-Jan.'!H8</f>
        <v>Wed</v>
      </c>
      <c r="I8" s="48" t="str">
        <f>'NNG-Jan.'!I8</f>
        <v>Thu</v>
      </c>
      <c r="J8" s="48" t="str">
        <f>'NNG-Jan.'!J8</f>
        <v>Fri</v>
      </c>
      <c r="K8" s="48" t="str">
        <f>'NNG-Jan.'!K8</f>
        <v>Mon</v>
      </c>
      <c r="L8" s="48" t="str">
        <f>'NNG-Jan.'!L8</f>
        <v>Tue</v>
      </c>
      <c r="M8" s="48" t="str">
        <f>'NNG-Jan.'!M8</f>
        <v>Wed</v>
      </c>
      <c r="N8" s="48" t="str">
        <f>'NNG-Jan.'!N8</f>
        <v>Thu</v>
      </c>
      <c r="O8" s="48" t="str">
        <f>'NNG-Jan.'!O8</f>
        <v>Fri</v>
      </c>
      <c r="P8" s="48" t="str">
        <f>'NNG-Jan.'!P8</f>
        <v>Mon</v>
      </c>
      <c r="Q8" s="48" t="str">
        <f>'NNG-Jan.'!Q8</f>
        <v>Tue</v>
      </c>
      <c r="R8" s="48" t="str">
        <f>'NNG-Jan.'!R8</f>
        <v>Wed</v>
      </c>
      <c r="S8" s="48" t="str">
        <f>'NNG-Jan.'!S8</f>
        <v>Thu</v>
      </c>
      <c r="T8" s="48" t="str">
        <f>'NNG-Jan.'!T8</f>
        <v>Fri</v>
      </c>
      <c r="U8" s="48" t="str">
        <f>'NNG-Jan.'!U8</f>
        <v>Mon</v>
      </c>
      <c r="V8" s="48" t="str">
        <f>'NNG-Jan.'!V8</f>
        <v>Tue</v>
      </c>
      <c r="W8" s="48" t="str">
        <f>'NNG-Jan.'!W8</f>
        <v>Wed</v>
      </c>
      <c r="X8" s="48" t="str">
        <f>'NNG-Jan.'!X8</f>
        <v>Thu</v>
      </c>
      <c r="Y8" s="48" t="str">
        <f>'NNG-Jan.'!Y8</f>
        <v>Fri</v>
      </c>
      <c r="Z8" s="48" t="str">
        <f>'NNG-Jan.'!Z8</f>
        <v>Mon</v>
      </c>
      <c r="AA8" s="48" t="str">
        <f>'NNG-Jan.'!AA8</f>
        <v>Tue</v>
      </c>
      <c r="AB8" s="48" t="str">
        <f>'NNG-Jan.'!AB8</f>
        <v>Wed</v>
      </c>
      <c r="AC8" s="48" t="str">
        <f>'NNG-Jan.'!AC8</f>
        <v>JAN.</v>
      </c>
      <c r="AD8" s="48" t="str">
        <f>'NNG-Jan.'!AD8</f>
        <v>1/1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'NNG-Jan.'!F9</f>
        <v>1/1</v>
      </c>
      <c r="G9" s="49" t="str">
        <f>'NNG-Jan.'!G9</f>
        <v>1/2</v>
      </c>
      <c r="H9" s="49" t="str">
        <f>'NNG-Jan.'!H9</f>
        <v>1/3</v>
      </c>
      <c r="I9" s="49" t="str">
        <f>'NNG-Jan.'!I9</f>
        <v>1/4</v>
      </c>
      <c r="J9" s="49" t="str">
        <f>'NNG-Jan.'!J9</f>
        <v>1/5</v>
      </c>
      <c r="K9" s="49" t="str">
        <f>'NNG-Jan.'!K9</f>
        <v>1/8</v>
      </c>
      <c r="L9" s="49" t="str">
        <f>'NNG-Jan.'!L9</f>
        <v>1/9</v>
      </c>
      <c r="M9" s="49" t="str">
        <f>'NNG-Jan.'!M9</f>
        <v>1/10</v>
      </c>
      <c r="N9" s="49" t="str">
        <f>'NNG-Jan.'!N9</f>
        <v>1/11</v>
      </c>
      <c r="O9" s="49" t="str">
        <f>'NNG-Jan.'!O9</f>
        <v>1/12</v>
      </c>
      <c r="P9" s="49" t="str">
        <f>'NNG-Jan.'!P9</f>
        <v>1/15</v>
      </c>
      <c r="Q9" s="49" t="str">
        <f>'NNG-Jan.'!Q9</f>
        <v>1/16</v>
      </c>
      <c r="R9" s="49" t="str">
        <f>'NNG-Jan.'!R9</f>
        <v>1/17</v>
      </c>
      <c r="S9" s="49" t="str">
        <f>'NNG-Jan.'!S9</f>
        <v>1/18</v>
      </c>
      <c r="T9" s="49" t="str">
        <f>'NNG-Jan.'!T9</f>
        <v>1/19</v>
      </c>
      <c r="U9" s="49" t="str">
        <f>'NNG-Jan.'!U9</f>
        <v>1/22</v>
      </c>
      <c r="V9" s="49" t="str">
        <f>'NNG-Jan.'!V9</f>
        <v>1/23</v>
      </c>
      <c r="W9" s="49" t="str">
        <f>'NNG-Jan.'!W9</f>
        <v>1/24</v>
      </c>
      <c r="X9" s="49" t="str">
        <f>'NNG-Jan.'!X9</f>
        <v>1/25</v>
      </c>
      <c r="Y9" s="49" t="str">
        <f>'NNG-Jan.'!Y9</f>
        <v>1/26</v>
      </c>
      <c r="Z9" s="49" t="str">
        <f>'NNG-Jan.'!Z9</f>
        <v>1/29</v>
      </c>
      <c r="AA9" s="49" t="str">
        <f>'NNG-Jan.'!AA9</f>
        <v>1/30</v>
      </c>
      <c r="AB9" s="49" t="str">
        <f>'NNG-Jan.'!AB9</f>
        <v>1/31</v>
      </c>
      <c r="AC9" s="49" t="str">
        <f>'NNG-Jan.'!AC9</f>
        <v>TOTAL</v>
      </c>
      <c r="AD9" s="49" t="str">
        <f>'NNG-Jan.'!AD9</f>
        <v>1/30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</v>
      </c>
      <c r="I11" s="10">
        <v>0</v>
      </c>
      <c r="J11" s="10">
        <v>0</v>
      </c>
      <c r="K11" s="10">
        <v>0.1</v>
      </c>
      <c r="L11" s="10">
        <v>0</v>
      </c>
      <c r="M11" s="10">
        <v>0</v>
      </c>
      <c r="N11" s="10">
        <v>0.6</v>
      </c>
      <c r="O11" s="10">
        <v>10</v>
      </c>
      <c r="P11" s="55" t="s">
        <v>40</v>
      </c>
      <c r="Q11" s="10">
        <v>2.2000000000000002</v>
      </c>
      <c r="R11" s="10">
        <v>0</v>
      </c>
      <c r="S11" s="10">
        <v>0.1</v>
      </c>
      <c r="T11" s="10">
        <v>0.4</v>
      </c>
      <c r="U11" s="10">
        <v>0.1</v>
      </c>
      <c r="V11" s="10">
        <v>0.1</v>
      </c>
      <c r="W11" s="10">
        <v>0</v>
      </c>
      <c r="X11" s="10">
        <v>0.2</v>
      </c>
      <c r="Y11" s="10">
        <v>0.1</v>
      </c>
      <c r="Z11" s="10">
        <v>0</v>
      </c>
      <c r="AA11" s="10">
        <v>0</v>
      </c>
      <c r="AB11" s="26">
        <f>AC11-SUM(F11:AA11)</f>
        <v>0.1000000000000032</v>
      </c>
      <c r="AC11" s="60">
        <f>13.4+0.6</f>
        <v>14</v>
      </c>
      <c r="AD11" s="36">
        <f>SUM(F11:AA11)</f>
        <v>13.899999999999997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55" t="s">
        <v>40</v>
      </c>
      <c r="Q12" s="10">
        <v>0</v>
      </c>
      <c r="R12" s="10">
        <v>0</v>
      </c>
      <c r="S12" s="10">
        <v>0</v>
      </c>
      <c r="T12" s="10">
        <v>0</v>
      </c>
      <c r="U12" s="10">
        <v>0.3</v>
      </c>
      <c r="V12" s="10">
        <v>0</v>
      </c>
      <c r="W12" s="10">
        <v>0</v>
      </c>
      <c r="X12" s="10">
        <v>0</v>
      </c>
      <c r="Y12" s="10">
        <v>0.1</v>
      </c>
      <c r="Z12" s="10">
        <v>0.2</v>
      </c>
      <c r="AA12" s="10">
        <v>0</v>
      </c>
      <c r="AB12" s="26">
        <f t="shared" ref="AB12:AB20" si="0">AC12-SUM(F12:AA12)</f>
        <v>0</v>
      </c>
      <c r="AC12" s="10">
        <v>0.6</v>
      </c>
      <c r="AD12" s="36">
        <f t="shared" ref="AD12:AD20" si="1">SUM(F12:AA12)</f>
        <v>0.60000000000000009</v>
      </c>
      <c r="AE12" s="3"/>
    </row>
    <row r="13" spans="1:31" ht="15" customHeight="1" x14ac:dyDescent="0.2">
      <c r="A13" s="19"/>
      <c r="B13" s="21"/>
      <c r="C13" s="21" t="s">
        <v>71</v>
      </c>
      <c r="D13" s="3"/>
      <c r="E13" s="3"/>
      <c r="F13" s="55" t="s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55" t="s">
        <v>40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1.9</v>
      </c>
      <c r="AB13" s="26">
        <f t="shared" si="0"/>
        <v>0</v>
      </c>
      <c r="AC13" s="10">
        <v>1.9</v>
      </c>
      <c r="AD13" s="36">
        <f t="shared" si="1"/>
        <v>1.9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5" t="s">
        <v>40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5.0999999999999996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5.0999999999999996</v>
      </c>
      <c r="AD14" s="36">
        <f t="shared" si="1"/>
        <v>5.0999999999999996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55" t="s">
        <v>40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55" t="s">
        <v>40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21" t="s">
        <v>75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55" t="s">
        <v>40</v>
      </c>
      <c r="Q17" s="10">
        <v>0</v>
      </c>
      <c r="R17" s="10">
        <v>0</v>
      </c>
      <c r="S17" s="10">
        <v>0</v>
      </c>
      <c r="T17" s="10">
        <v>0</v>
      </c>
      <c r="U17" s="10">
        <v>0.6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0.6</v>
      </c>
      <c r="AD17" s="36">
        <f t="shared" si="1"/>
        <v>0.6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55" t="s">
        <v>40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55" t="s">
        <v>40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f>0</f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49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56" t="s">
        <v>40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0.1</v>
      </c>
      <c r="AC20" s="14">
        <v>0.1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P22" si="2">SUM(F11:F20)</f>
        <v>0</v>
      </c>
      <c r="G22" s="11">
        <f>SUM(G11:G20)</f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0.1</v>
      </c>
      <c r="L22" s="11">
        <f t="shared" si="2"/>
        <v>0</v>
      </c>
      <c r="M22" s="11">
        <f t="shared" si="2"/>
        <v>0</v>
      </c>
      <c r="N22" s="11">
        <f t="shared" si="2"/>
        <v>0.6</v>
      </c>
      <c r="O22" s="11">
        <f t="shared" si="2"/>
        <v>10</v>
      </c>
      <c r="P22" s="11">
        <f t="shared" si="2"/>
        <v>0</v>
      </c>
      <c r="Q22" s="11">
        <f t="shared" ref="Q22:AD22" si="3">SUM(Q11:Q20)</f>
        <v>2.2000000000000002</v>
      </c>
      <c r="R22" s="11">
        <f>SUM(R11:R20)</f>
        <v>0</v>
      </c>
      <c r="S22" s="11">
        <f t="shared" si="3"/>
        <v>0.1</v>
      </c>
      <c r="T22" s="11">
        <f t="shared" si="3"/>
        <v>0.4</v>
      </c>
      <c r="U22" s="11">
        <f t="shared" si="3"/>
        <v>1</v>
      </c>
      <c r="V22" s="11">
        <f t="shared" si="3"/>
        <v>0.1</v>
      </c>
      <c r="W22" s="11">
        <f t="shared" si="3"/>
        <v>0</v>
      </c>
      <c r="X22" s="11">
        <f t="shared" si="3"/>
        <v>5.3</v>
      </c>
      <c r="Y22" s="11">
        <f t="shared" si="3"/>
        <v>0.2</v>
      </c>
      <c r="Z22" s="11">
        <f t="shared" si="3"/>
        <v>0.2</v>
      </c>
      <c r="AA22" s="11">
        <f t="shared" si="3"/>
        <v>1.9</v>
      </c>
      <c r="AB22" s="11">
        <f t="shared" si="3"/>
        <v>0.2000000000000032</v>
      </c>
      <c r="AC22" s="11">
        <f t="shared" si="3"/>
        <v>22.300000000000004</v>
      </c>
      <c r="AD22" s="11">
        <f t="shared" si="3"/>
        <v>22.099999999999994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55" t="s">
        <v>40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0</v>
      </c>
      <c r="AD25" s="36">
        <f t="shared" ref="AD25:AD39" si="5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55" t="s">
        <v>40</v>
      </c>
      <c r="Q26" s="10">
        <v>0</v>
      </c>
      <c r="R26" s="10">
        <v>0</v>
      </c>
      <c r="S26" s="10">
        <v>0</v>
      </c>
      <c r="T26" s="10">
        <f>0</f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0.2</v>
      </c>
      <c r="AC26" s="10">
        <v>0.2</v>
      </c>
      <c r="AD26" s="36">
        <f t="shared" si="5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55" t="s">
        <v>40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36">
        <f t="shared" si="5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55" t="s">
        <v>40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4"/>
        <v>0</v>
      </c>
      <c r="AC28" s="10">
        <v>0</v>
      </c>
      <c r="AD28" s="36">
        <f t="shared" si="5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55" t="s">
        <v>40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4"/>
        <v>0</v>
      </c>
      <c r="AC29" s="10">
        <v>0</v>
      </c>
      <c r="AD29" s="36">
        <f t="shared" si="5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55" t="s">
        <v>40</v>
      </c>
      <c r="Q30" s="10">
        <v>0.1</v>
      </c>
      <c r="R30" s="10">
        <v>0</v>
      </c>
      <c r="S30" s="10">
        <v>0.1</v>
      </c>
      <c r="T30" s="10">
        <v>0.1</v>
      </c>
      <c r="U30" s="10">
        <v>0</v>
      </c>
      <c r="V30" s="10">
        <v>0</v>
      </c>
      <c r="W30" s="10">
        <v>0.1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4"/>
        <v>0</v>
      </c>
      <c r="AC30" s="10">
        <v>0.4</v>
      </c>
      <c r="AD30" s="36">
        <f t="shared" si="5"/>
        <v>0.4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55" t="s">
        <v>40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4"/>
        <v>0</v>
      </c>
      <c r="AC31" s="10">
        <v>0</v>
      </c>
      <c r="AD31" s="36">
        <f t="shared" si="5"/>
        <v>0</v>
      </c>
      <c r="AE31" s="3"/>
    </row>
    <row r="32" spans="1:31" ht="15" customHeight="1" x14ac:dyDescent="0.2">
      <c r="A32" s="19"/>
      <c r="B32" s="21"/>
      <c r="C32" s="21" t="s">
        <v>59</v>
      </c>
      <c r="D32" s="3"/>
      <c r="E32" s="3"/>
      <c r="F32" s="55" t="s">
        <v>40</v>
      </c>
      <c r="G32" s="10">
        <v>0</v>
      </c>
      <c r="H32" s="10">
        <v>0</v>
      </c>
      <c r="I32" s="10">
        <v>0.1</v>
      </c>
      <c r="J32" s="10">
        <v>0</v>
      </c>
      <c r="K32" s="10">
        <v>0.1</v>
      </c>
      <c r="L32" s="10">
        <v>0.1</v>
      </c>
      <c r="M32" s="10">
        <v>0</v>
      </c>
      <c r="N32" s="10">
        <v>0.1</v>
      </c>
      <c r="O32" s="10">
        <v>0</v>
      </c>
      <c r="P32" s="55" t="s">
        <v>40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0.4</v>
      </c>
      <c r="AD32" s="36">
        <f t="shared" si="5"/>
        <v>0.4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55" t="s">
        <v>40</v>
      </c>
      <c r="Q33" s="10">
        <v>0</v>
      </c>
      <c r="R33" s="10">
        <v>0</v>
      </c>
      <c r="S33" s="10">
        <v>0</v>
      </c>
      <c r="T33" s="10">
        <v>0.3</v>
      </c>
      <c r="U33" s="10">
        <v>0.3</v>
      </c>
      <c r="V33" s="10">
        <v>0</v>
      </c>
      <c r="W33" s="10">
        <v>0</v>
      </c>
      <c r="X33" s="10">
        <v>0</v>
      </c>
      <c r="Y33" s="10">
        <v>0</v>
      </c>
      <c r="Z33" s="10">
        <v>0.5</v>
      </c>
      <c r="AA33" s="10">
        <v>0</v>
      </c>
      <c r="AB33" s="26">
        <f t="shared" si="4"/>
        <v>0</v>
      </c>
      <c r="AC33" s="10">
        <v>1.1000000000000001</v>
      </c>
      <c r="AD33" s="36">
        <f t="shared" si="5"/>
        <v>1.1000000000000001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10">
        <v>0</v>
      </c>
      <c r="H34" s="10">
        <v>0</v>
      </c>
      <c r="I34" s="10">
        <v>0</v>
      </c>
      <c r="J34" s="10">
        <v>0.2</v>
      </c>
      <c r="K34" s="10">
        <v>0</v>
      </c>
      <c r="L34" s="10">
        <v>0.1</v>
      </c>
      <c r="M34" s="10">
        <v>0</v>
      </c>
      <c r="N34" s="10">
        <v>0</v>
      </c>
      <c r="O34" s="10">
        <v>0.3</v>
      </c>
      <c r="P34" s="55" t="s">
        <v>40</v>
      </c>
      <c r="Q34" s="10">
        <v>0</v>
      </c>
      <c r="R34" s="10">
        <v>0.1</v>
      </c>
      <c r="S34" s="10">
        <v>0</v>
      </c>
      <c r="T34" s="10">
        <v>0</v>
      </c>
      <c r="U34" s="10">
        <v>0.1</v>
      </c>
      <c r="V34" s="10">
        <v>0.1</v>
      </c>
      <c r="W34" s="10">
        <v>0</v>
      </c>
      <c r="X34" s="10">
        <v>0.2</v>
      </c>
      <c r="Y34" s="10">
        <v>0.1</v>
      </c>
      <c r="Z34" s="10">
        <v>0</v>
      </c>
      <c r="AA34" s="10">
        <v>0.1</v>
      </c>
      <c r="AB34" s="26">
        <f t="shared" si="4"/>
        <v>0.19999999999999973</v>
      </c>
      <c r="AC34" s="10">
        <v>1.5</v>
      </c>
      <c r="AD34" s="36">
        <f t="shared" si="5"/>
        <v>1.3000000000000003</v>
      </c>
      <c r="AE34" s="3"/>
    </row>
    <row r="35" spans="1:31" ht="15" customHeight="1" x14ac:dyDescent="0.2">
      <c r="A35" s="19"/>
      <c r="B35" s="21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55" t="s">
        <v>40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36">
        <f t="shared" si="5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1.8</v>
      </c>
      <c r="M36" s="10">
        <v>0</v>
      </c>
      <c r="N36" s="10">
        <v>0</v>
      </c>
      <c r="O36" s="10">
        <v>0</v>
      </c>
      <c r="P36" s="55" t="s">
        <v>40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1.8</v>
      </c>
      <c r="AD36" s="36">
        <f t="shared" si="5"/>
        <v>1.8</v>
      </c>
      <c r="AE36" s="3"/>
    </row>
    <row r="37" spans="1:31" ht="15" customHeight="1" x14ac:dyDescent="0.2">
      <c r="A37" s="19"/>
      <c r="B37" s="21" t="s">
        <v>74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55" t="s">
        <v>40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4"/>
        <v>0</v>
      </c>
      <c r="AC37" s="10">
        <v>0</v>
      </c>
      <c r="AD37" s="36">
        <f t="shared" si="5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55" t="s">
        <v>40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36">
        <f t="shared" si="5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56" t="s">
        <v>40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38">
        <f t="shared" si="5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P41" si="6">SUM(F25:F39)</f>
        <v>0</v>
      </c>
      <c r="G41" s="11">
        <f t="shared" si="6"/>
        <v>0</v>
      </c>
      <c r="H41" s="11">
        <f t="shared" si="6"/>
        <v>0</v>
      </c>
      <c r="I41" s="11">
        <f t="shared" si="6"/>
        <v>0.1</v>
      </c>
      <c r="J41" s="11">
        <f t="shared" si="6"/>
        <v>0.2</v>
      </c>
      <c r="K41" s="11">
        <f t="shared" si="6"/>
        <v>0.1</v>
      </c>
      <c r="L41" s="11">
        <f t="shared" si="6"/>
        <v>2</v>
      </c>
      <c r="M41" s="11">
        <f t="shared" si="6"/>
        <v>0</v>
      </c>
      <c r="N41" s="11">
        <f t="shared" si="6"/>
        <v>0.1</v>
      </c>
      <c r="O41" s="11">
        <f t="shared" si="6"/>
        <v>0.3</v>
      </c>
      <c r="P41" s="11">
        <f t="shared" si="6"/>
        <v>0</v>
      </c>
      <c r="Q41" s="11">
        <f t="shared" ref="Q41:AD41" si="7">SUM(Q25:Q39)</f>
        <v>0.1</v>
      </c>
      <c r="R41" s="11">
        <f t="shared" si="7"/>
        <v>0.1</v>
      </c>
      <c r="S41" s="11">
        <f t="shared" si="7"/>
        <v>0.1</v>
      </c>
      <c r="T41" s="11">
        <f t="shared" si="7"/>
        <v>0.4</v>
      </c>
      <c r="U41" s="11">
        <f t="shared" si="7"/>
        <v>0.4</v>
      </c>
      <c r="V41" s="11">
        <f t="shared" si="7"/>
        <v>0.1</v>
      </c>
      <c r="W41" s="11">
        <f t="shared" si="7"/>
        <v>0.1</v>
      </c>
      <c r="X41" s="11">
        <f t="shared" si="7"/>
        <v>0.2</v>
      </c>
      <c r="Y41" s="11">
        <f t="shared" si="7"/>
        <v>0.1</v>
      </c>
      <c r="Z41" s="11">
        <f t="shared" si="7"/>
        <v>0.5</v>
      </c>
      <c r="AA41" s="11">
        <f t="shared" si="7"/>
        <v>0.1</v>
      </c>
      <c r="AB41" s="11">
        <f t="shared" si="7"/>
        <v>0.39999999999999974</v>
      </c>
      <c r="AC41" s="11">
        <f t="shared" si="7"/>
        <v>5.4</v>
      </c>
      <c r="AD41" s="11">
        <f t="shared" si="7"/>
        <v>5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P43" si="8">F22-F41</f>
        <v>0</v>
      </c>
      <c r="G43" s="35">
        <f t="shared" si="8"/>
        <v>0</v>
      </c>
      <c r="H43" s="35">
        <f t="shared" si="8"/>
        <v>0</v>
      </c>
      <c r="I43" s="35">
        <f t="shared" si="8"/>
        <v>-0.1</v>
      </c>
      <c r="J43" s="35">
        <f t="shared" si="8"/>
        <v>-0.2</v>
      </c>
      <c r="K43" s="35">
        <f t="shared" si="8"/>
        <v>0</v>
      </c>
      <c r="L43" s="35">
        <f t="shared" si="8"/>
        <v>-2</v>
      </c>
      <c r="M43" s="35">
        <f t="shared" si="8"/>
        <v>0</v>
      </c>
      <c r="N43" s="35">
        <f t="shared" si="8"/>
        <v>0.5</v>
      </c>
      <c r="O43" s="35">
        <f t="shared" si="8"/>
        <v>9.6999999999999993</v>
      </c>
      <c r="P43" s="35">
        <f t="shared" si="8"/>
        <v>0</v>
      </c>
      <c r="Q43" s="35">
        <f t="shared" ref="Q43:AD43" si="9">Q22-Q41</f>
        <v>2.1</v>
      </c>
      <c r="R43" s="35">
        <f t="shared" si="9"/>
        <v>-0.1</v>
      </c>
      <c r="S43" s="35">
        <f t="shared" si="9"/>
        <v>0</v>
      </c>
      <c r="T43" s="35">
        <f t="shared" si="9"/>
        <v>0</v>
      </c>
      <c r="U43" s="35">
        <f t="shared" si="9"/>
        <v>0.6</v>
      </c>
      <c r="V43" s="35">
        <f t="shared" si="9"/>
        <v>0</v>
      </c>
      <c r="W43" s="35">
        <f t="shared" si="9"/>
        <v>-0.1</v>
      </c>
      <c r="X43" s="35">
        <f t="shared" si="9"/>
        <v>5.0999999999999996</v>
      </c>
      <c r="Y43" s="35">
        <f t="shared" si="9"/>
        <v>0.1</v>
      </c>
      <c r="Z43" s="35">
        <f t="shared" si="9"/>
        <v>-0.3</v>
      </c>
      <c r="AA43" s="35">
        <f t="shared" si="9"/>
        <v>1.7999999999999998</v>
      </c>
      <c r="AB43" s="35">
        <f t="shared" si="9"/>
        <v>-0.19999999999999654</v>
      </c>
      <c r="AC43" s="35">
        <f t="shared" si="9"/>
        <v>16.900000000000006</v>
      </c>
      <c r="AD43" s="35">
        <f t="shared" si="9"/>
        <v>17.099999999999994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0</v>
      </c>
      <c r="H47" s="35">
        <f t="shared" si="10"/>
        <v>0</v>
      </c>
      <c r="I47" s="35">
        <f t="shared" si="10"/>
        <v>-0.1</v>
      </c>
      <c r="J47" s="35">
        <f t="shared" si="10"/>
        <v>-0.2</v>
      </c>
      <c r="K47" s="35">
        <f t="shared" si="10"/>
        <v>0</v>
      </c>
      <c r="L47" s="35">
        <f t="shared" si="10"/>
        <v>-2</v>
      </c>
      <c r="M47" s="35">
        <f t="shared" si="10"/>
        <v>0</v>
      </c>
      <c r="N47" s="35">
        <f t="shared" si="10"/>
        <v>0.5</v>
      </c>
      <c r="O47" s="35">
        <f t="shared" si="10"/>
        <v>9.6999999999999993</v>
      </c>
      <c r="P47" s="35">
        <f t="shared" si="10"/>
        <v>0</v>
      </c>
      <c r="Q47" s="35">
        <f t="shared" si="10"/>
        <v>2.1</v>
      </c>
      <c r="R47" s="35">
        <f t="shared" si="10"/>
        <v>-0.1</v>
      </c>
      <c r="S47" s="35">
        <f t="shared" si="10"/>
        <v>0</v>
      </c>
      <c r="T47" s="35">
        <f t="shared" si="10"/>
        <v>0</v>
      </c>
      <c r="U47" s="35">
        <f t="shared" si="10"/>
        <v>0.6</v>
      </c>
      <c r="V47" s="35">
        <f t="shared" si="10"/>
        <v>0</v>
      </c>
      <c r="W47" s="35">
        <f t="shared" si="10"/>
        <v>-0.1</v>
      </c>
      <c r="X47" s="35">
        <f t="shared" si="10"/>
        <v>5.0999999999999996</v>
      </c>
      <c r="Y47" s="35">
        <f t="shared" si="10"/>
        <v>0.1</v>
      </c>
      <c r="Z47" s="35">
        <f t="shared" si="10"/>
        <v>-0.3</v>
      </c>
      <c r="AA47" s="35">
        <f t="shared" si="10"/>
        <v>1.7999999999999998</v>
      </c>
      <c r="AB47" s="35">
        <f t="shared" si="10"/>
        <v>-0.19999999999999654</v>
      </c>
      <c r="AC47" s="35">
        <f t="shared" si="10"/>
        <v>16.900000000000006</v>
      </c>
      <c r="AD47" s="35">
        <f t="shared" si="10"/>
        <v>17.099999999999994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'NNG-Oct'!A2</f>
        <v>OCTOBER,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'NNG-Oct'!A3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 t="str">
        <f>'NNG-Oct'!F7</f>
        <v>Act</v>
      </c>
      <c r="G7" s="48" t="str">
        <f>'NNG-Oct'!G7</f>
        <v>Act</v>
      </c>
      <c r="H7" s="48" t="str">
        <f>'NNG-Oct'!H7</f>
        <v>Act</v>
      </c>
      <c r="I7" s="48" t="str">
        <f>'NNG-Oct'!I7</f>
        <v>Act</v>
      </c>
      <c r="J7" s="48" t="str">
        <f>'NNG-Oct'!J7</f>
        <v>Act</v>
      </c>
      <c r="K7" s="48" t="str">
        <f>'NNG-Oct'!K7</f>
        <v>B.C.</v>
      </c>
      <c r="L7" s="48" t="str">
        <f>'NNG-Oct'!L7</f>
        <v>Act</v>
      </c>
      <c r="M7" s="48" t="str">
        <f>'NNG-Oct'!M7</f>
        <v>Act</v>
      </c>
      <c r="N7" s="48" t="str">
        <f>'NNG-Oct'!N7</f>
        <v>Act</v>
      </c>
      <c r="O7" s="48" t="str">
        <f>'NNG-Oct'!O7</f>
        <v>Act</v>
      </c>
      <c r="P7" s="48" t="str">
        <f>'NNG-Oct'!P7</f>
        <v>Act</v>
      </c>
      <c r="Q7" s="48" t="str">
        <f>'NNG-Oct'!Q7</f>
        <v>Act</v>
      </c>
      <c r="R7" s="48" t="str">
        <f>'NNG-Oct'!R7</f>
        <v>Act</v>
      </c>
      <c r="S7" s="48" t="str">
        <f>'NNG-Oct'!S7</f>
        <v>Act</v>
      </c>
      <c r="T7" s="48" t="str">
        <f>'NNG-Oct'!T7</f>
        <v>Act</v>
      </c>
      <c r="U7" s="48" t="str">
        <f>'NNG-Oct'!U7</f>
        <v>Act</v>
      </c>
      <c r="V7" s="48" t="str">
        <f>'NNG-Oct'!V7</f>
        <v>Act</v>
      </c>
      <c r="W7" s="48" t="str">
        <f>'NNG-Oct'!W7</f>
        <v>Act</v>
      </c>
      <c r="X7" s="48" t="str">
        <f>'NNG-Oct'!X7</f>
        <v>Act</v>
      </c>
      <c r="Y7" s="48" t="str">
        <f>'NNG-Oct'!Y7</f>
        <v>Act</v>
      </c>
      <c r="Z7" s="48" t="str">
        <f>'NNG-Oct'!Z7</f>
        <v>Act</v>
      </c>
      <c r="AA7" s="48" t="str">
        <f>'NNG-Oct'!AA7</f>
        <v>Act</v>
      </c>
      <c r="AB7" s="48" t="str">
        <f>'NNG-Oct'!AB7</f>
        <v>Act</v>
      </c>
      <c r="AC7" s="48"/>
      <c r="AD7" s="48" t="str">
        <f>'NNG-Oct'!AD7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'NNG-Oct'!F8</f>
        <v>Mon</v>
      </c>
      <c r="G8" s="48" t="str">
        <f>'NNG-Oct'!G8</f>
        <v>Tue</v>
      </c>
      <c r="H8" s="48" t="str">
        <f>'NNG-Oct'!H8</f>
        <v>Wed</v>
      </c>
      <c r="I8" s="48" t="str">
        <f>'NNG-Oct'!I8</f>
        <v>Thu</v>
      </c>
      <c r="J8" s="48" t="str">
        <f>'NNG-Oct'!J8</f>
        <v>Fri</v>
      </c>
      <c r="K8" s="48" t="str">
        <f>'NNG-Oct'!K8</f>
        <v>Mon</v>
      </c>
      <c r="L8" s="48" t="str">
        <f>'NNG-Oct'!L8</f>
        <v>Tue</v>
      </c>
      <c r="M8" s="48" t="str">
        <f>'NNG-Oct'!M8</f>
        <v>Wed</v>
      </c>
      <c r="N8" s="48" t="str">
        <f>'NNG-Oct'!N8</f>
        <v>Thu</v>
      </c>
      <c r="O8" s="48" t="str">
        <f>'NNG-Oct'!O8</f>
        <v>Fri</v>
      </c>
      <c r="P8" s="48" t="str">
        <f>'NNG-Oct'!P8</f>
        <v>Mon</v>
      </c>
      <c r="Q8" s="48" t="str">
        <f>'NNG-Oct'!Q8</f>
        <v>Tue</v>
      </c>
      <c r="R8" s="48" t="str">
        <f>'NNG-Oct'!R8</f>
        <v>Wed</v>
      </c>
      <c r="S8" s="48" t="str">
        <f>'NNG-Oct'!S8</f>
        <v>Thu</v>
      </c>
      <c r="T8" s="48" t="str">
        <f>'NNG-Oct'!T8</f>
        <v>Fri</v>
      </c>
      <c r="U8" s="48" t="str">
        <f>'NNG-Oct'!U8</f>
        <v>Mon</v>
      </c>
      <c r="V8" s="48" t="str">
        <f>'NNG-Oct'!V8</f>
        <v>Tue</v>
      </c>
      <c r="W8" s="48" t="str">
        <f>'NNG-Oct'!W8</f>
        <v>Wed</v>
      </c>
      <c r="X8" s="48" t="str">
        <f>'NNG-Oct'!X8</f>
        <v>Thu</v>
      </c>
      <c r="Y8" s="48" t="str">
        <f>'NNG-Oct'!Y8</f>
        <v>Fri</v>
      </c>
      <c r="Z8" s="48" t="str">
        <f>'NNG-Oct'!Z8</f>
        <v>Mon</v>
      </c>
      <c r="AA8" s="48" t="str">
        <f>'NNG-Oct'!AA8</f>
        <v>Tue</v>
      </c>
      <c r="AB8" s="48" t="str">
        <f>'NNG-Oct'!AB8</f>
        <v>Wed</v>
      </c>
      <c r="AC8" s="48" t="str">
        <f>'NNG-Oct'!AC8</f>
        <v>OCT.</v>
      </c>
      <c r="AD8" s="48" t="str">
        <f>'NNG-Oct'!AD8</f>
        <v>10/1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'NNG-Oct'!F9</f>
        <v>10/1</v>
      </c>
      <c r="G9" s="49" t="str">
        <f>'NNG-Oct'!G9</f>
        <v>10/2</v>
      </c>
      <c r="H9" s="49" t="str">
        <f>'NNG-Oct'!H9</f>
        <v>10/3</v>
      </c>
      <c r="I9" s="49" t="str">
        <f>'NNG-Oct'!I9</f>
        <v>10/4</v>
      </c>
      <c r="J9" s="49" t="str">
        <f>'NNG-Oct'!J9</f>
        <v>10/5</v>
      </c>
      <c r="K9" s="49" t="str">
        <f>'NNG-Oct'!K9</f>
        <v>10/8</v>
      </c>
      <c r="L9" s="49" t="str">
        <f>'NNG-Oct'!L9</f>
        <v>10/9</v>
      </c>
      <c r="M9" s="49" t="str">
        <f>'NNG-Oct'!M9</f>
        <v>10/10</v>
      </c>
      <c r="N9" s="49" t="str">
        <f>'NNG-Oct'!N9</f>
        <v>10/11</v>
      </c>
      <c r="O9" s="49" t="str">
        <f>'NNG-Oct'!O9</f>
        <v>10/12</v>
      </c>
      <c r="P9" s="49" t="str">
        <f>'NNG-Oct'!P9</f>
        <v>10/15</v>
      </c>
      <c r="Q9" s="49" t="str">
        <f>'NNG-Oct'!Q9</f>
        <v>10/16</v>
      </c>
      <c r="R9" s="49" t="str">
        <f>'NNG-Oct'!R9</f>
        <v>10/17</v>
      </c>
      <c r="S9" s="49" t="str">
        <f>'NNG-Oct'!S9</f>
        <v>10/18</v>
      </c>
      <c r="T9" s="49" t="str">
        <f>'NNG-Oct'!T9</f>
        <v>10/19</v>
      </c>
      <c r="U9" s="49" t="str">
        <f>'NNG-Oct'!U9</f>
        <v>10/22</v>
      </c>
      <c r="V9" s="49" t="str">
        <f>'NNG-Oct'!V9</f>
        <v>10/23</v>
      </c>
      <c r="W9" s="49" t="str">
        <f>'NNG-Oct'!W9</f>
        <v>10/24</v>
      </c>
      <c r="X9" s="49" t="str">
        <f>'NNG-Oct'!X9</f>
        <v>10/25</v>
      </c>
      <c r="Y9" s="49" t="str">
        <f>'NNG-Oct'!Y9</f>
        <v>10/26</v>
      </c>
      <c r="Z9" s="49" t="str">
        <f>'NNG-Oct'!Z9</f>
        <v>10/29</v>
      </c>
      <c r="AA9" s="49" t="str">
        <f>'NNG-Oct'!AA9</f>
        <v>10/30</v>
      </c>
      <c r="AB9" s="49" t="str">
        <f>'NNG-Oct'!AB9</f>
        <v>10/31</v>
      </c>
      <c r="AC9" s="49" t="str">
        <f>'NNG-Oct'!AC9</f>
        <v>TOTAL</v>
      </c>
      <c r="AD9" s="49" t="str">
        <f>'NNG-Oct'!AD9</f>
        <v>10/30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55" t="s">
        <v>40</v>
      </c>
      <c r="L11" s="10">
        <v>0</v>
      </c>
      <c r="M11" s="10">
        <v>0</v>
      </c>
      <c r="N11" s="10">
        <v>0.9</v>
      </c>
      <c r="O11" s="10">
        <v>9.6</v>
      </c>
      <c r="P11" s="10">
        <v>0.1</v>
      </c>
      <c r="Q11" s="10">
        <v>0.3</v>
      </c>
      <c r="R11" s="10">
        <v>0.2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0.1</v>
      </c>
      <c r="Z11" s="10">
        <v>0</v>
      </c>
      <c r="AA11" s="10">
        <v>0</v>
      </c>
      <c r="AB11" s="26">
        <f t="shared" ref="AB11:AB20" si="0">AC11-SUM(F11:AA11)</f>
        <v>0.19999999999999929</v>
      </c>
      <c r="AC11" s="60">
        <f>13.6-2.2</f>
        <v>11.399999999999999</v>
      </c>
      <c r="AD11" s="36">
        <f>SUM(F11:AA11)</f>
        <v>11.2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55" t="s">
        <v>40</v>
      </c>
      <c r="L12" s="10">
        <v>0.2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0.1</v>
      </c>
      <c r="AA12" s="10">
        <v>0</v>
      </c>
      <c r="AB12" s="26">
        <f t="shared" si="0"/>
        <v>0</v>
      </c>
      <c r="AC12" s="10">
        <v>0.3</v>
      </c>
      <c r="AD12" s="36">
        <f t="shared" ref="AD12:AD20" si="1">SUM(F12:AA12)</f>
        <v>0.30000000000000004</v>
      </c>
      <c r="AE12" s="3"/>
    </row>
    <row r="13" spans="1:31" ht="15" customHeight="1" x14ac:dyDescent="0.2">
      <c r="A13" s="19"/>
      <c r="B13" s="21"/>
      <c r="C13" s="21" t="s">
        <v>345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55" t="s">
        <v>40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1.7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1.7</v>
      </c>
      <c r="AD13" s="36">
        <f t="shared" si="1"/>
        <v>1.7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55" t="s">
        <v>40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1.4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1.4</v>
      </c>
      <c r="AD14" s="36">
        <f t="shared" si="1"/>
        <v>1.4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55" t="s">
        <v>40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55" t="s">
        <v>40</v>
      </c>
      <c r="L16" s="10">
        <v>0</v>
      </c>
      <c r="M16" s="10">
        <v>0</v>
      </c>
      <c r="N16" s="10">
        <v>0.1</v>
      </c>
      <c r="O16" s="10">
        <v>1.2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1.3</v>
      </c>
      <c r="AD16" s="36">
        <f t="shared" si="1"/>
        <v>1.3</v>
      </c>
      <c r="AE16" s="3"/>
    </row>
    <row r="17" spans="1:31" ht="15" customHeight="1" x14ac:dyDescent="0.2">
      <c r="A17" s="19"/>
      <c r="B17" s="21" t="s">
        <v>80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55" t="s">
        <v>40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1.2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1.2</v>
      </c>
      <c r="AD17" s="36">
        <f t="shared" si="1"/>
        <v>1.2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55" t="s">
        <v>40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55" t="s">
        <v>40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56" t="s">
        <v>40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0.2</v>
      </c>
      <c r="M22" s="11">
        <f t="shared" si="2"/>
        <v>0</v>
      </c>
      <c r="N22" s="11">
        <f t="shared" si="2"/>
        <v>1</v>
      </c>
      <c r="O22" s="11">
        <f t="shared" si="2"/>
        <v>10.799999999999999</v>
      </c>
      <c r="P22" s="11">
        <f t="shared" si="2"/>
        <v>0.1</v>
      </c>
      <c r="Q22" s="11">
        <f t="shared" si="2"/>
        <v>0.3</v>
      </c>
      <c r="R22" s="11">
        <f t="shared" si="2"/>
        <v>0.2</v>
      </c>
      <c r="S22" s="11">
        <f t="shared" si="2"/>
        <v>0</v>
      </c>
      <c r="T22" s="11">
        <f t="shared" si="2"/>
        <v>0</v>
      </c>
      <c r="U22" s="11">
        <f t="shared" si="2"/>
        <v>0</v>
      </c>
      <c r="V22" s="11">
        <f t="shared" si="2"/>
        <v>1.2</v>
      </c>
      <c r="W22" s="11">
        <f t="shared" si="2"/>
        <v>0</v>
      </c>
      <c r="X22" s="11">
        <f t="shared" si="2"/>
        <v>3.0999999999999996</v>
      </c>
      <c r="Y22" s="11">
        <f t="shared" si="2"/>
        <v>0.1</v>
      </c>
      <c r="Z22" s="11">
        <f t="shared" si="2"/>
        <v>0.1</v>
      </c>
      <c r="AA22" s="11">
        <f t="shared" si="2"/>
        <v>0</v>
      </c>
      <c r="AB22" s="11">
        <f t="shared" si="2"/>
        <v>0.19999999999999929</v>
      </c>
      <c r="AC22" s="11">
        <f t="shared" si="2"/>
        <v>17.299999999999997</v>
      </c>
      <c r="AD22" s="11">
        <f t="shared" si="2"/>
        <v>17.100000000000001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55" t="s">
        <v>40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55" t="s">
        <v>40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0.30000000000000004</v>
      </c>
      <c r="AC26" s="60">
        <f>0.2+0.1</f>
        <v>0.30000000000000004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55" t="s">
        <v>40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55" t="s">
        <v>40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55" t="s">
        <v>40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10">
        <v>0.1</v>
      </c>
      <c r="G30" s="10">
        <v>0.1</v>
      </c>
      <c r="H30" s="10">
        <v>0</v>
      </c>
      <c r="I30" s="10">
        <v>0</v>
      </c>
      <c r="J30" s="10">
        <v>0.2</v>
      </c>
      <c r="K30" s="55" t="s">
        <v>40</v>
      </c>
      <c r="L30" s="10">
        <v>0</v>
      </c>
      <c r="M30" s="10">
        <v>0.2</v>
      </c>
      <c r="N30" s="10">
        <v>0.3</v>
      </c>
      <c r="O30" s="10">
        <v>0</v>
      </c>
      <c r="P30" s="10">
        <v>0.1</v>
      </c>
      <c r="Q30" s="10">
        <v>0</v>
      </c>
      <c r="R30" s="10">
        <v>0.2</v>
      </c>
      <c r="S30" s="10">
        <v>0</v>
      </c>
      <c r="T30" s="10">
        <v>0</v>
      </c>
      <c r="U30" s="10">
        <v>0.3</v>
      </c>
      <c r="V30" s="10">
        <v>0.1</v>
      </c>
      <c r="W30" s="10">
        <v>0</v>
      </c>
      <c r="X30" s="10">
        <v>0</v>
      </c>
      <c r="Y30" s="10">
        <v>0</v>
      </c>
      <c r="Z30" s="10">
        <v>0.1</v>
      </c>
      <c r="AA30" s="10">
        <v>0</v>
      </c>
      <c r="AB30" s="26">
        <f t="shared" si="3"/>
        <v>0.19999999999999951</v>
      </c>
      <c r="AC30" s="60">
        <f>2.9-1</f>
        <v>1.9</v>
      </c>
      <c r="AD30" s="36">
        <f t="shared" si="4"/>
        <v>1.7000000000000004</v>
      </c>
      <c r="AE30" s="3"/>
    </row>
    <row r="31" spans="1:31" ht="15" customHeight="1" x14ac:dyDescent="0.2">
      <c r="A31" s="19"/>
      <c r="B31" s="17"/>
      <c r="C31" s="21" t="s">
        <v>252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55" t="s">
        <v>40</v>
      </c>
      <c r="L31" s="83">
        <v>7.9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83">
        <v>-7.9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2.5-2.5</f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21" t="s">
        <v>346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55" t="s">
        <v>40</v>
      </c>
      <c r="L32" s="10">
        <v>0</v>
      </c>
      <c r="M32" s="10">
        <v>3.6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3.6</v>
      </c>
      <c r="AD32" s="36">
        <f t="shared" si="4"/>
        <v>3.6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55" t="s">
        <v>40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60">
        <f>0.2-0.2</f>
        <v>0</v>
      </c>
      <c r="AD33" s="36">
        <f t="shared" si="4"/>
        <v>0</v>
      </c>
      <c r="AE33" s="3"/>
    </row>
    <row r="34" spans="1:31" ht="15" customHeight="1" x14ac:dyDescent="0.2">
      <c r="A34" s="19"/>
      <c r="B34" s="21" t="s">
        <v>347</v>
      </c>
      <c r="C34" s="3"/>
      <c r="D34" s="3"/>
      <c r="E34" s="3"/>
      <c r="F34" s="10">
        <v>0.4</v>
      </c>
      <c r="G34" s="10">
        <v>0</v>
      </c>
      <c r="H34" s="10">
        <v>0.1</v>
      </c>
      <c r="I34" s="10">
        <v>0</v>
      </c>
      <c r="J34" s="10">
        <v>0</v>
      </c>
      <c r="K34" s="55" t="s">
        <v>40</v>
      </c>
      <c r="L34" s="10">
        <v>0.1</v>
      </c>
      <c r="M34" s="10">
        <v>0</v>
      </c>
      <c r="N34" s="10">
        <v>0.1</v>
      </c>
      <c r="O34" s="10">
        <v>0</v>
      </c>
      <c r="P34" s="10">
        <v>0.2</v>
      </c>
      <c r="Q34" s="10">
        <v>0.1</v>
      </c>
      <c r="R34" s="10">
        <v>0</v>
      </c>
      <c r="S34" s="10">
        <v>0.1</v>
      </c>
      <c r="T34" s="10">
        <v>0</v>
      </c>
      <c r="U34" s="10">
        <v>0</v>
      </c>
      <c r="V34" s="10">
        <v>0</v>
      </c>
      <c r="W34" s="10">
        <v>0.1</v>
      </c>
      <c r="X34" s="10">
        <v>0.1</v>
      </c>
      <c r="Y34" s="10">
        <v>0</v>
      </c>
      <c r="Z34" s="10">
        <v>0.1</v>
      </c>
      <c r="AA34" s="10">
        <v>0</v>
      </c>
      <c r="AB34" s="26">
        <f t="shared" si="3"/>
        <v>0.49999999999999978</v>
      </c>
      <c r="AC34" s="10">
        <f>1.5+0.4</f>
        <v>1.9</v>
      </c>
      <c r="AD34" s="36">
        <f t="shared" si="4"/>
        <v>1.4000000000000001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55" t="s">
        <v>40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318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55" t="s">
        <v>40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">
      <c r="A37" s="19"/>
      <c r="B37" s="21" t="s">
        <v>253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55" t="s">
        <v>40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0.3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0.3</v>
      </c>
      <c r="AD37" s="36">
        <f t="shared" si="4"/>
        <v>0.3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55" t="s">
        <v>40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56" t="s">
        <v>40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0.5</v>
      </c>
      <c r="G41" s="11">
        <f t="shared" si="5"/>
        <v>0.1</v>
      </c>
      <c r="H41" s="11">
        <f t="shared" si="5"/>
        <v>0.1</v>
      </c>
      <c r="I41" s="11">
        <f t="shared" si="5"/>
        <v>0</v>
      </c>
      <c r="J41" s="11">
        <f t="shared" si="5"/>
        <v>0.2</v>
      </c>
      <c r="K41" s="11">
        <f t="shared" si="5"/>
        <v>0</v>
      </c>
      <c r="L41" s="11">
        <f t="shared" si="5"/>
        <v>8</v>
      </c>
      <c r="M41" s="11">
        <f t="shared" si="5"/>
        <v>3.8000000000000003</v>
      </c>
      <c r="N41" s="11">
        <f t="shared" si="5"/>
        <v>0.4</v>
      </c>
      <c r="O41" s="11">
        <f t="shared" si="5"/>
        <v>0</v>
      </c>
      <c r="P41" s="11">
        <f t="shared" si="5"/>
        <v>0.30000000000000004</v>
      </c>
      <c r="Q41" s="11">
        <f t="shared" si="5"/>
        <v>0.1</v>
      </c>
      <c r="R41" s="11">
        <f t="shared" si="5"/>
        <v>0.2</v>
      </c>
      <c r="S41" s="11">
        <f t="shared" si="5"/>
        <v>-7.8000000000000007</v>
      </c>
      <c r="T41" s="11">
        <f t="shared" si="5"/>
        <v>0</v>
      </c>
      <c r="U41" s="11">
        <f t="shared" si="5"/>
        <v>0.3</v>
      </c>
      <c r="V41" s="11">
        <f t="shared" si="5"/>
        <v>0.1</v>
      </c>
      <c r="W41" s="11">
        <f t="shared" si="5"/>
        <v>0.4</v>
      </c>
      <c r="X41" s="11">
        <f t="shared" si="5"/>
        <v>0.1</v>
      </c>
      <c r="Y41" s="11">
        <f t="shared" si="5"/>
        <v>0</v>
      </c>
      <c r="Z41" s="11">
        <f t="shared" si="5"/>
        <v>0.2</v>
      </c>
      <c r="AA41" s="11">
        <f t="shared" si="5"/>
        <v>0</v>
      </c>
      <c r="AB41" s="11">
        <f t="shared" si="5"/>
        <v>0.99999999999999933</v>
      </c>
      <c r="AC41" s="11">
        <f t="shared" si="5"/>
        <v>8.0000000000000018</v>
      </c>
      <c r="AD41" s="11">
        <f t="shared" si="5"/>
        <v>7.0000000000000009</v>
      </c>
      <c r="AE41" s="3"/>
    </row>
    <row r="42" spans="1:31" ht="15" customHeight="1" x14ac:dyDescent="0.2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-0.5</v>
      </c>
      <c r="G43" s="35">
        <f t="shared" si="6"/>
        <v>-0.1</v>
      </c>
      <c r="H43" s="35">
        <f t="shared" si="6"/>
        <v>-0.1</v>
      </c>
      <c r="I43" s="35">
        <f t="shared" si="6"/>
        <v>0</v>
      </c>
      <c r="J43" s="35">
        <f t="shared" si="6"/>
        <v>-0.2</v>
      </c>
      <c r="K43" s="35">
        <f t="shared" si="6"/>
        <v>0</v>
      </c>
      <c r="L43" s="35">
        <f t="shared" si="6"/>
        <v>-7.8</v>
      </c>
      <c r="M43" s="35">
        <f t="shared" si="6"/>
        <v>-3.8000000000000003</v>
      </c>
      <c r="N43" s="35">
        <f t="shared" si="6"/>
        <v>0.6</v>
      </c>
      <c r="O43" s="35">
        <f t="shared" si="6"/>
        <v>10.799999999999999</v>
      </c>
      <c r="P43" s="35">
        <f t="shared" si="6"/>
        <v>-0.20000000000000004</v>
      </c>
      <c r="Q43" s="35">
        <f t="shared" si="6"/>
        <v>0.19999999999999998</v>
      </c>
      <c r="R43" s="35">
        <f t="shared" si="6"/>
        <v>0</v>
      </c>
      <c r="S43" s="35">
        <f t="shared" si="6"/>
        <v>7.8000000000000007</v>
      </c>
      <c r="T43" s="35">
        <f t="shared" si="6"/>
        <v>0</v>
      </c>
      <c r="U43" s="35">
        <f t="shared" si="6"/>
        <v>-0.3</v>
      </c>
      <c r="V43" s="35">
        <f t="shared" si="6"/>
        <v>1.0999999999999999</v>
      </c>
      <c r="W43" s="35">
        <f t="shared" si="6"/>
        <v>-0.4</v>
      </c>
      <c r="X43" s="35">
        <f t="shared" si="6"/>
        <v>2.9999999999999996</v>
      </c>
      <c r="Y43" s="35">
        <f t="shared" si="6"/>
        <v>0.1</v>
      </c>
      <c r="Z43" s="35">
        <f t="shared" si="6"/>
        <v>-0.1</v>
      </c>
      <c r="AA43" s="35">
        <f t="shared" si="6"/>
        <v>0</v>
      </c>
      <c r="AB43" s="35">
        <f t="shared" si="6"/>
        <v>-0.8</v>
      </c>
      <c r="AC43" s="35">
        <f t="shared" si="6"/>
        <v>9.2999999999999954</v>
      </c>
      <c r="AD43" s="35">
        <f t="shared" si="6"/>
        <v>10.100000000000001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'NNG-Oct'!F43</f>
        <v>-2.2000000000000002</v>
      </c>
      <c r="G48" s="75">
        <f>'NNG-Oct'!G43</f>
        <v>-1.0999999999999999</v>
      </c>
      <c r="H48" s="75">
        <f>'NNG-Oct'!H43</f>
        <v>-0.7</v>
      </c>
      <c r="I48" s="75">
        <f>'NNG-Oct'!I43</f>
        <v>-0.7</v>
      </c>
      <c r="J48" s="75">
        <f>'NNG-Oct'!J43</f>
        <v>-0.3</v>
      </c>
      <c r="K48" s="75">
        <f>'NNG-Oct'!K43</f>
        <v>0</v>
      </c>
      <c r="L48" s="75">
        <f>'NNG-Oct'!L43</f>
        <v>-0.39999999999999997</v>
      </c>
      <c r="M48" s="75">
        <f>'NNG-Oct'!M43</f>
        <v>-0.30000000000000004</v>
      </c>
      <c r="N48" s="75">
        <f>'NNG-Oct'!N43</f>
        <v>19.100000000000001</v>
      </c>
      <c r="O48" s="75">
        <f>'NNG-Oct'!O43</f>
        <v>0.39999999999999991</v>
      </c>
      <c r="P48" s="75">
        <f>'NNG-Oct'!P43</f>
        <v>-1</v>
      </c>
      <c r="Q48" s="75">
        <f>'NNG-Oct'!Q43</f>
        <v>-0.3</v>
      </c>
      <c r="R48" s="75">
        <f>'NNG-Oct'!R43</f>
        <v>-0.90000000000000013</v>
      </c>
      <c r="S48" s="75">
        <f>'NNG-Oct'!S43</f>
        <v>-1</v>
      </c>
      <c r="T48" s="75">
        <f>'NNG-Oct'!T43</f>
        <v>-0.30000000000000004</v>
      </c>
      <c r="U48" s="75">
        <f>'NNG-Oct'!U43</f>
        <v>1.6</v>
      </c>
      <c r="V48" s="75">
        <f>'NNG-Oct'!V43</f>
        <v>-0.6</v>
      </c>
      <c r="W48" s="75">
        <f>'NNG-Oct'!W43</f>
        <v>-0.7</v>
      </c>
      <c r="X48" s="75">
        <f>'NNG-Oct'!X43</f>
        <v>-3.1000000000000005</v>
      </c>
      <c r="Y48" s="75">
        <f>'NNG-Oct'!Y43</f>
        <v>-0.6</v>
      </c>
      <c r="Z48" s="75">
        <f>'NNG-Oct'!Z43</f>
        <v>-0.30000000000000004</v>
      </c>
      <c r="AA48" s="75">
        <f>'NNG-Oct'!AA43</f>
        <v>-1.1000000000000001</v>
      </c>
      <c r="AB48" s="75">
        <f>'NNG-Oct'!AB43</f>
        <v>-2.5</v>
      </c>
      <c r="AC48" s="75">
        <f>'NNG-Oct'!AC43</f>
        <v>2.9999999999999964</v>
      </c>
      <c r="AD48" s="75">
        <f>'NNG-Oct'!AD43</f>
        <v>5.5000000000000071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-0.5</v>
      </c>
      <c r="G49" s="75">
        <f t="shared" ref="G49:AD49" si="7">G43</f>
        <v>-0.1</v>
      </c>
      <c r="H49" s="75">
        <f t="shared" si="7"/>
        <v>-0.1</v>
      </c>
      <c r="I49" s="75">
        <f t="shared" si="7"/>
        <v>0</v>
      </c>
      <c r="J49" s="75">
        <f t="shared" si="7"/>
        <v>-0.2</v>
      </c>
      <c r="K49" s="75">
        <f t="shared" si="7"/>
        <v>0</v>
      </c>
      <c r="L49" s="75">
        <f t="shared" si="7"/>
        <v>-7.8</v>
      </c>
      <c r="M49" s="75">
        <f t="shared" si="7"/>
        <v>-3.8000000000000003</v>
      </c>
      <c r="N49" s="75">
        <f t="shared" si="7"/>
        <v>0.6</v>
      </c>
      <c r="O49" s="75">
        <f t="shared" si="7"/>
        <v>10.799999999999999</v>
      </c>
      <c r="P49" s="75">
        <f t="shared" si="7"/>
        <v>-0.20000000000000004</v>
      </c>
      <c r="Q49" s="75">
        <f t="shared" si="7"/>
        <v>0.19999999999999998</v>
      </c>
      <c r="R49" s="75">
        <f t="shared" si="7"/>
        <v>0</v>
      </c>
      <c r="S49" s="75">
        <f t="shared" si="7"/>
        <v>7.8000000000000007</v>
      </c>
      <c r="T49" s="75">
        <f t="shared" si="7"/>
        <v>0</v>
      </c>
      <c r="U49" s="75">
        <f t="shared" si="7"/>
        <v>-0.3</v>
      </c>
      <c r="V49" s="75">
        <f t="shared" si="7"/>
        <v>1.0999999999999999</v>
      </c>
      <c r="W49" s="75">
        <f t="shared" si="7"/>
        <v>-0.4</v>
      </c>
      <c r="X49" s="75">
        <f t="shared" si="7"/>
        <v>2.9999999999999996</v>
      </c>
      <c r="Y49" s="75">
        <f t="shared" si="7"/>
        <v>0.1</v>
      </c>
      <c r="Z49" s="75">
        <f t="shared" si="7"/>
        <v>-0.1</v>
      </c>
      <c r="AA49" s="75">
        <f t="shared" si="7"/>
        <v>0</v>
      </c>
      <c r="AB49" s="75">
        <f t="shared" si="7"/>
        <v>-0.8</v>
      </c>
      <c r="AC49" s="75">
        <f t="shared" si="7"/>
        <v>9.2999999999999954</v>
      </c>
      <c r="AD49" s="75">
        <f t="shared" si="7"/>
        <v>10.100000000000001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-0.30000000000000004</v>
      </c>
      <c r="H50" s="77">
        <f t="shared" si="8"/>
        <v>2</v>
      </c>
      <c r="I50" s="77">
        <f t="shared" si="8"/>
        <v>-0.40000000000000013</v>
      </c>
      <c r="J50" s="77">
        <f t="shared" si="8"/>
        <v>-0.30000000000000004</v>
      </c>
      <c r="K50" s="77">
        <f t="shared" si="8"/>
        <v>0</v>
      </c>
      <c r="L50" s="77">
        <f t="shared" si="8"/>
        <v>-0.5</v>
      </c>
      <c r="M50" s="77">
        <f t="shared" si="8"/>
        <v>-0.59999999999999964</v>
      </c>
      <c r="N50" s="77">
        <f t="shared" si="8"/>
        <v>-0.40000000000000213</v>
      </c>
      <c r="O50" s="77">
        <f t="shared" si="8"/>
        <v>-0.29999999999999893</v>
      </c>
      <c r="P50" s="77">
        <f t="shared" si="8"/>
        <v>-0.60000000000000009</v>
      </c>
      <c r="Q50" s="77">
        <f t="shared" si="8"/>
        <v>-0.19999999999999998</v>
      </c>
      <c r="R50" s="77">
        <f t="shared" si="8"/>
        <v>-1.2</v>
      </c>
      <c r="S50" s="77">
        <f t="shared" si="8"/>
        <v>-0.30000000000000071</v>
      </c>
      <c r="T50" s="77">
        <f t="shared" si="8"/>
        <v>4.2</v>
      </c>
      <c r="U50" s="77">
        <f t="shared" si="8"/>
        <v>-0.30000000000000004</v>
      </c>
      <c r="V50" s="77">
        <f t="shared" si="8"/>
        <v>-0.1999999999999999</v>
      </c>
      <c r="W50" s="77">
        <f t="shared" si="8"/>
        <v>-0.39999999999999991</v>
      </c>
      <c r="X50" s="77">
        <f t="shared" si="8"/>
        <v>-0.19999999999999901</v>
      </c>
      <c r="Y50" s="77">
        <f t="shared" si="8"/>
        <v>-9.9999999999999978E-2</v>
      </c>
      <c r="Z50" s="77">
        <f t="shared" si="8"/>
        <v>-0.4</v>
      </c>
      <c r="AA50" s="77">
        <f t="shared" si="8"/>
        <v>-0.39999999999999991</v>
      </c>
      <c r="AB50" s="77">
        <f t="shared" si="8"/>
        <v>1.9999999999999998</v>
      </c>
      <c r="AC50" s="80">
        <f>SUM(F50:AB50)</f>
        <v>1.0999999999999996</v>
      </c>
      <c r="AD50" s="78">
        <f>SUM(F50:Z50)</f>
        <v>-0.50000000000000022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-2.7</v>
      </c>
      <c r="G52" s="76">
        <v>-1.5</v>
      </c>
      <c r="H52" s="76">
        <v>1.2</v>
      </c>
      <c r="I52" s="76">
        <v>-1.1000000000000001</v>
      </c>
      <c r="J52" s="76">
        <v>-0.8</v>
      </c>
      <c r="K52" s="76">
        <v>0</v>
      </c>
      <c r="L52" s="76">
        <v>-8.6999999999999993</v>
      </c>
      <c r="M52" s="76">
        <v>-4.7</v>
      </c>
      <c r="N52" s="76">
        <v>19.3</v>
      </c>
      <c r="O52" s="76">
        <v>10.9</v>
      </c>
      <c r="P52" s="76">
        <v>-1.8</v>
      </c>
      <c r="Q52" s="76">
        <v>-0.3</v>
      </c>
      <c r="R52" s="76">
        <v>-2.1</v>
      </c>
      <c r="S52" s="76">
        <v>6.5</v>
      </c>
      <c r="T52" s="76">
        <v>3.9</v>
      </c>
      <c r="U52" s="76">
        <v>1</v>
      </c>
      <c r="V52" s="76">
        <v>0.3</v>
      </c>
      <c r="W52" s="76">
        <v>-1.5</v>
      </c>
      <c r="X52" s="76">
        <v>-0.3</v>
      </c>
      <c r="Y52" s="76">
        <v>-0.6</v>
      </c>
      <c r="Z52" s="76">
        <v>-0.8</v>
      </c>
      <c r="AA52" s="76">
        <v>-1.5</v>
      </c>
      <c r="AB52" s="76">
        <v>-1.3</v>
      </c>
      <c r="AC52" s="79">
        <f>SUM(AC48:AC50)</f>
        <v>13.399999999999991</v>
      </c>
      <c r="AD52" s="79">
        <f>SUM(AD48:AD50)</f>
        <v>15.100000000000009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abSelected="1" topLeftCell="A7" workbookViewId="0">
      <pane xSplit="5" ySplit="3" topLeftCell="Y10" activePane="bottomRight" state="frozen"/>
      <selection activeCell="A7" sqref="A7"/>
      <selection pane="topRight" activeCell="F7" sqref="F7"/>
      <selection pane="bottomLeft" activeCell="A10" sqref="A10"/>
      <selection pane="bottomRight" activeCell="Y11" sqref="Y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14" width="5.7109375" customWidth="1"/>
    <col min="15" max="15" width="7.7109375" customWidth="1"/>
    <col min="1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348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3</v>
      </c>
      <c r="O7" s="15" t="s">
        <v>4</v>
      </c>
      <c r="P7" s="15" t="s">
        <v>4</v>
      </c>
      <c r="Q7" s="15" t="s">
        <v>4</v>
      </c>
      <c r="R7" s="15"/>
      <c r="S7" s="15"/>
      <c r="T7" s="15"/>
      <c r="U7" s="15"/>
      <c r="V7" s="15" t="s">
        <v>3</v>
      </c>
      <c r="W7" s="15"/>
      <c r="X7" s="15"/>
      <c r="Y7" s="15"/>
      <c r="Z7" s="15"/>
      <c r="AA7" s="15"/>
      <c r="AB7" s="15"/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9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349</v>
      </c>
      <c r="AD8" s="31" t="s">
        <v>350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7" t="s">
        <v>351</v>
      </c>
      <c r="H9" s="53" t="s">
        <v>352</v>
      </c>
      <c r="I9" s="57" t="s">
        <v>353</v>
      </c>
      <c r="J9" s="57" t="s">
        <v>354</v>
      </c>
      <c r="K9" s="57" t="s">
        <v>355</v>
      </c>
      <c r="L9" s="57" t="s">
        <v>356</v>
      </c>
      <c r="M9" s="57" t="s">
        <v>357</v>
      </c>
      <c r="N9" s="57" t="s">
        <v>358</v>
      </c>
      <c r="O9" s="57" t="s">
        <v>359</v>
      </c>
      <c r="P9" s="57" t="s">
        <v>360</v>
      </c>
      <c r="Q9" s="57" t="s">
        <v>361</v>
      </c>
      <c r="R9" s="57" t="s">
        <v>362</v>
      </c>
      <c r="S9" s="57" t="s">
        <v>363</v>
      </c>
      <c r="T9" s="57" t="s">
        <v>364</v>
      </c>
      <c r="U9" s="57" t="s">
        <v>365</v>
      </c>
      <c r="V9" s="53" t="s">
        <v>366</v>
      </c>
      <c r="W9" s="53" t="s">
        <v>367</v>
      </c>
      <c r="X9" s="57" t="s">
        <v>368</v>
      </c>
      <c r="Y9" s="57" t="s">
        <v>369</v>
      </c>
      <c r="Z9" s="57" t="s">
        <v>370</v>
      </c>
      <c r="AA9" s="53" t="s">
        <v>371</v>
      </c>
      <c r="AB9" s="53" t="s">
        <v>372</v>
      </c>
      <c r="AC9" s="16" t="s">
        <v>36</v>
      </c>
      <c r="AD9" s="52" t="s">
        <v>361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0.1</v>
      </c>
      <c r="I11" s="10">
        <v>0.1</v>
      </c>
      <c r="J11" s="10">
        <v>0.2</v>
      </c>
      <c r="K11" s="10">
        <v>0.3</v>
      </c>
      <c r="L11" s="10">
        <v>0.1</v>
      </c>
      <c r="M11" s="10">
        <v>0.2</v>
      </c>
      <c r="N11" s="55" t="s">
        <v>40</v>
      </c>
      <c r="O11" s="10">
        <v>19.899999999999999</v>
      </c>
      <c r="P11" s="10">
        <v>0.1</v>
      </c>
      <c r="Q11" s="10">
        <v>0.2</v>
      </c>
      <c r="R11" s="10">
        <v>0.1</v>
      </c>
      <c r="S11" s="10">
        <v>0</v>
      </c>
      <c r="T11" s="10">
        <v>0</v>
      </c>
      <c r="U11" s="10">
        <v>0.1</v>
      </c>
      <c r="V11" s="55" t="s">
        <v>40</v>
      </c>
      <c r="W11" s="10">
        <v>3</v>
      </c>
      <c r="X11" s="10">
        <v>0.8</v>
      </c>
      <c r="Y11" s="10">
        <v>0.2</v>
      </c>
      <c r="Z11" s="10">
        <v>0.1</v>
      </c>
      <c r="AA11" s="10">
        <v>0.1</v>
      </c>
      <c r="AB11" s="26">
        <f t="shared" ref="AB11:AB20" si="0">AC11-SUM(F11:AA11)</f>
        <v>0</v>
      </c>
      <c r="AC11" s="60">
        <f>24.4+1.2</f>
        <v>25.599999999999998</v>
      </c>
      <c r="AD11" s="58">
        <f>SUM(F11:Q11)</f>
        <v>21.2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55" t="s">
        <v>40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55" t="s">
        <v>40</v>
      </c>
      <c r="W12" s="10">
        <v>0</v>
      </c>
      <c r="X12" s="10">
        <v>0.2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0.2</v>
      </c>
      <c r="AD12" s="58">
        <f t="shared" ref="AD12:AD20" si="1">SUM(F12:Q12)</f>
        <v>0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55" t="s">
        <v>40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55" t="s">
        <v>40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</v>
      </c>
      <c r="AD13" s="58">
        <f t="shared" si="1"/>
        <v>0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5" t="s">
        <v>40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55" t="s">
        <v>40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55" t="s">
        <v>40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55" t="s">
        <v>40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55" t="s">
        <v>40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55" t="s">
        <v>40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55" t="s">
        <v>40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55" t="s">
        <v>40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373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55" t="s">
        <v>40</v>
      </c>
      <c r="O18" s="10">
        <v>1500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55" t="s">
        <v>40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1500</v>
      </c>
      <c r="AD18" s="58">
        <f t="shared" si="1"/>
        <v>1500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0.2</v>
      </c>
      <c r="M19" s="10">
        <v>0</v>
      </c>
      <c r="N19" s="55" t="s">
        <v>40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55" t="s">
        <v>40</v>
      </c>
      <c r="W19" s="10">
        <v>0</v>
      </c>
      <c r="X19" s="10">
        <v>0</v>
      </c>
      <c r="Y19" s="10">
        <v>0.1</v>
      </c>
      <c r="Z19" s="10">
        <v>0</v>
      </c>
      <c r="AA19" s="10">
        <v>0</v>
      </c>
      <c r="AB19" s="26">
        <f t="shared" si="0"/>
        <v>0</v>
      </c>
      <c r="AC19" s="10">
        <v>0.3</v>
      </c>
      <c r="AD19" s="58">
        <f t="shared" si="1"/>
        <v>0.2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56" t="s">
        <v>40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56" t="s">
        <v>40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>SUM(G11:G20)</f>
        <v>0</v>
      </c>
      <c r="H22" s="11">
        <f t="shared" si="2"/>
        <v>0.1</v>
      </c>
      <c r="I22" s="11">
        <f t="shared" si="2"/>
        <v>0.1</v>
      </c>
      <c r="J22" s="11">
        <f t="shared" si="2"/>
        <v>0.2</v>
      </c>
      <c r="K22" s="11">
        <f t="shared" si="2"/>
        <v>0.3</v>
      </c>
      <c r="L22" s="11">
        <f t="shared" si="2"/>
        <v>0.30000000000000004</v>
      </c>
      <c r="M22" s="11">
        <f t="shared" si="2"/>
        <v>0.2</v>
      </c>
      <c r="N22" s="11">
        <f>SUM(N11:N20)</f>
        <v>0</v>
      </c>
      <c r="O22" s="11">
        <f>SUM(O11:O20)</f>
        <v>1519.9</v>
      </c>
      <c r="P22" s="11">
        <f t="shared" si="2"/>
        <v>0.1</v>
      </c>
      <c r="Q22" s="11">
        <f t="shared" si="2"/>
        <v>0.2</v>
      </c>
      <c r="R22" s="11">
        <f t="shared" si="2"/>
        <v>0.1</v>
      </c>
      <c r="S22" s="11">
        <f t="shared" si="2"/>
        <v>0</v>
      </c>
      <c r="T22" s="11">
        <f t="shared" si="2"/>
        <v>0</v>
      </c>
      <c r="U22" s="11">
        <f t="shared" si="2"/>
        <v>0.1</v>
      </c>
      <c r="V22" s="11">
        <f t="shared" si="2"/>
        <v>0</v>
      </c>
      <c r="W22" s="11">
        <f t="shared" si="2"/>
        <v>3</v>
      </c>
      <c r="X22" s="11">
        <f t="shared" si="2"/>
        <v>1</v>
      </c>
      <c r="Y22" s="11">
        <f>SUM(Y11:Y20)</f>
        <v>0.30000000000000004</v>
      </c>
      <c r="Z22" s="11">
        <f t="shared" si="2"/>
        <v>0.1</v>
      </c>
      <c r="AA22" s="11">
        <f t="shared" si="2"/>
        <v>0.1</v>
      </c>
      <c r="AB22" s="11">
        <f t="shared" si="2"/>
        <v>0</v>
      </c>
      <c r="AC22" s="11">
        <f t="shared" si="2"/>
        <v>1526.1</v>
      </c>
      <c r="AD22" s="11">
        <f t="shared" si="2"/>
        <v>1521.4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10">
        <v>0.2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55" t="s">
        <v>40</v>
      </c>
      <c r="O25" s="10">
        <v>0</v>
      </c>
      <c r="P25" s="10">
        <v>0</v>
      </c>
      <c r="Q25" s="10">
        <v>0</v>
      </c>
      <c r="R25" s="10">
        <v>0</v>
      </c>
      <c r="S25" s="60">
        <f>1.4+0.5</f>
        <v>1.9</v>
      </c>
      <c r="T25" s="10">
        <v>0</v>
      </c>
      <c r="U25" s="10">
        <v>0</v>
      </c>
      <c r="V25" s="55" t="s">
        <v>40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60">
        <f>1.6+0.5</f>
        <v>2.1</v>
      </c>
      <c r="AD25" s="58">
        <f t="shared" ref="AD25:AD39" si="4">SUM(F25:Q25)</f>
        <v>0.2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55" t="s">
        <v>40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55" t="s">
        <v>40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0.4</v>
      </c>
      <c r="AC26" s="10">
        <v>0.4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55" t="s">
        <v>40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55" t="s">
        <v>40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0.1</v>
      </c>
      <c r="I28" s="10">
        <v>0</v>
      </c>
      <c r="J28" s="10">
        <v>0</v>
      </c>
      <c r="K28" s="10">
        <v>0.2</v>
      </c>
      <c r="L28" s="10">
        <v>0</v>
      </c>
      <c r="M28" s="10">
        <v>0</v>
      </c>
      <c r="N28" s="55" t="s">
        <v>40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55" t="s">
        <v>40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0.3</v>
      </c>
      <c r="AD28" s="58">
        <f t="shared" si="4"/>
        <v>0.30000000000000004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55" t="s">
        <v>40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55" t="s">
        <v>40</v>
      </c>
      <c r="W29" s="10">
        <v>0</v>
      </c>
      <c r="X29" s="10">
        <v>1.7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1.7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1</v>
      </c>
      <c r="H30" s="10">
        <v>0.5</v>
      </c>
      <c r="I30" s="10">
        <v>0.5</v>
      </c>
      <c r="J30" s="10">
        <v>0.5</v>
      </c>
      <c r="K30" s="10">
        <v>0.5</v>
      </c>
      <c r="L30" s="10">
        <v>0.5</v>
      </c>
      <c r="M30" s="10">
        <v>0.5</v>
      </c>
      <c r="N30" s="55" t="s">
        <v>40</v>
      </c>
      <c r="O30" s="10">
        <v>0.5</v>
      </c>
      <c r="P30" s="10">
        <v>0.5</v>
      </c>
      <c r="Q30" s="10">
        <v>0.6</v>
      </c>
      <c r="R30" s="10">
        <v>0.6</v>
      </c>
      <c r="S30" s="10">
        <v>0.6</v>
      </c>
      <c r="T30" s="10">
        <v>0.6</v>
      </c>
      <c r="U30" s="10">
        <v>0.6</v>
      </c>
      <c r="V30" s="55" t="s">
        <v>40</v>
      </c>
      <c r="W30" s="10">
        <v>0.6</v>
      </c>
      <c r="X30" s="10">
        <v>1</v>
      </c>
      <c r="Y30" s="10">
        <v>1</v>
      </c>
      <c r="Z30" s="10">
        <v>1</v>
      </c>
      <c r="AA30" s="10">
        <v>1</v>
      </c>
      <c r="AB30" s="26">
        <f t="shared" si="3"/>
        <v>1.0000000000000018</v>
      </c>
      <c r="AC30" s="10">
        <v>13.6</v>
      </c>
      <c r="AD30" s="58">
        <f t="shared" si="4"/>
        <v>5.6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55" t="s">
        <v>40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55" t="s">
        <v>40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55" t="s">
        <v>40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55" t="s">
        <v>40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0.1</v>
      </c>
      <c r="J33" s="10">
        <v>0.1</v>
      </c>
      <c r="K33" s="10">
        <v>0.1</v>
      </c>
      <c r="L33" s="10">
        <v>0</v>
      </c>
      <c r="M33" s="10">
        <v>0</v>
      </c>
      <c r="N33" s="55" t="s">
        <v>40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55" t="s">
        <v>40</v>
      </c>
      <c r="W33" s="10">
        <v>0</v>
      </c>
      <c r="X33" s="10">
        <v>0</v>
      </c>
      <c r="Y33" s="10">
        <v>0.1</v>
      </c>
      <c r="Z33" s="10">
        <v>0.1</v>
      </c>
      <c r="AA33" s="10">
        <v>0.1</v>
      </c>
      <c r="AB33" s="26">
        <f t="shared" si="3"/>
        <v>9.9999999999999978E-2</v>
      </c>
      <c r="AC33" s="60">
        <f>0.3+0.4</f>
        <v>0.7</v>
      </c>
      <c r="AD33" s="58">
        <f t="shared" si="4"/>
        <v>0.30000000000000004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10">
        <v>0.1</v>
      </c>
      <c r="H34" s="10">
        <v>0.2</v>
      </c>
      <c r="I34" s="10">
        <v>0.1</v>
      </c>
      <c r="J34" s="10">
        <v>0.2</v>
      </c>
      <c r="K34" s="10">
        <v>0.1</v>
      </c>
      <c r="L34" s="10">
        <v>0.1</v>
      </c>
      <c r="M34" s="10">
        <v>0.2</v>
      </c>
      <c r="N34" s="55" t="s">
        <v>40</v>
      </c>
      <c r="O34" s="10">
        <v>0.1</v>
      </c>
      <c r="P34" s="10">
        <v>0.2</v>
      </c>
      <c r="Q34" s="10">
        <v>1</v>
      </c>
      <c r="R34" s="10">
        <v>0.1</v>
      </c>
      <c r="S34" s="10">
        <v>0.2</v>
      </c>
      <c r="T34" s="10">
        <v>0.1</v>
      </c>
      <c r="U34" s="10">
        <v>0.2</v>
      </c>
      <c r="V34" s="55" t="s">
        <v>40</v>
      </c>
      <c r="W34" s="10">
        <v>0.2</v>
      </c>
      <c r="X34" s="10">
        <v>0.2</v>
      </c>
      <c r="Y34" s="10">
        <v>0.2</v>
      </c>
      <c r="Z34" s="10">
        <v>0.2</v>
      </c>
      <c r="AA34" s="10">
        <v>0.2</v>
      </c>
      <c r="AB34" s="26">
        <f t="shared" si="3"/>
        <v>0.99999999999999911</v>
      </c>
      <c r="AC34" s="10">
        <v>4.9000000000000004</v>
      </c>
      <c r="AD34" s="58">
        <f t="shared" si="4"/>
        <v>2.2999999999999998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10">
        <v>3.5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55" t="s">
        <v>40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55" t="s">
        <v>40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3.5</v>
      </c>
      <c r="AD35" s="58">
        <f t="shared" si="4"/>
        <v>3.5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55" t="s">
        <v>40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55" t="s">
        <v>40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55" t="s">
        <v>40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55" t="s">
        <v>40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55" t="s">
        <v>40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55" t="s">
        <v>40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55" t="s">
        <v>40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56" t="s">
        <v>40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56" t="s">
        <v>40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4.8</v>
      </c>
      <c r="H41" s="11">
        <f t="shared" si="5"/>
        <v>0.8</v>
      </c>
      <c r="I41" s="11">
        <f t="shared" si="5"/>
        <v>0.7</v>
      </c>
      <c r="J41" s="11">
        <f t="shared" si="5"/>
        <v>0.8</v>
      </c>
      <c r="K41" s="11">
        <f t="shared" si="5"/>
        <v>0.89999999999999991</v>
      </c>
      <c r="L41" s="11">
        <f t="shared" si="5"/>
        <v>0.6</v>
      </c>
      <c r="M41" s="11">
        <f t="shared" si="5"/>
        <v>0.7</v>
      </c>
      <c r="N41" s="11">
        <f t="shared" si="5"/>
        <v>0</v>
      </c>
      <c r="O41" s="11">
        <f t="shared" si="5"/>
        <v>0.6</v>
      </c>
      <c r="P41" s="11">
        <f t="shared" si="5"/>
        <v>0.7</v>
      </c>
      <c r="Q41" s="11">
        <f t="shared" si="5"/>
        <v>1.6</v>
      </c>
      <c r="R41" s="11">
        <f t="shared" si="5"/>
        <v>0.7</v>
      </c>
      <c r="S41" s="11">
        <f t="shared" si="5"/>
        <v>2.7</v>
      </c>
      <c r="T41" s="11">
        <f t="shared" si="5"/>
        <v>0.7</v>
      </c>
      <c r="U41" s="11">
        <f t="shared" si="5"/>
        <v>0.8</v>
      </c>
      <c r="V41" s="11">
        <f t="shared" si="5"/>
        <v>0</v>
      </c>
      <c r="W41" s="11">
        <f t="shared" si="5"/>
        <v>0.8</v>
      </c>
      <c r="X41" s="11">
        <f t="shared" si="5"/>
        <v>2.9000000000000004</v>
      </c>
      <c r="Y41" s="11">
        <f t="shared" si="5"/>
        <v>1.3</v>
      </c>
      <c r="Z41" s="11">
        <f t="shared" si="5"/>
        <v>1.3</v>
      </c>
      <c r="AA41" s="11">
        <f t="shared" si="5"/>
        <v>1.3</v>
      </c>
      <c r="AB41" s="11">
        <f t="shared" si="5"/>
        <v>2.5000000000000009</v>
      </c>
      <c r="AC41" s="11">
        <f t="shared" si="5"/>
        <v>27.200000000000003</v>
      </c>
      <c r="AD41" s="11">
        <f t="shared" si="5"/>
        <v>12.2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-4.8</v>
      </c>
      <c r="H43" s="35">
        <f t="shared" si="6"/>
        <v>-0.70000000000000007</v>
      </c>
      <c r="I43" s="35">
        <f t="shared" si="6"/>
        <v>-0.6</v>
      </c>
      <c r="J43" s="35">
        <f t="shared" si="6"/>
        <v>-0.60000000000000009</v>
      </c>
      <c r="K43" s="35">
        <f t="shared" si="6"/>
        <v>-0.59999999999999987</v>
      </c>
      <c r="L43" s="35">
        <f t="shared" si="6"/>
        <v>-0.29999999999999993</v>
      </c>
      <c r="M43" s="35">
        <f t="shared" si="6"/>
        <v>-0.49999999999999994</v>
      </c>
      <c r="N43" s="35">
        <f t="shared" si="6"/>
        <v>0</v>
      </c>
      <c r="O43" s="35">
        <f t="shared" si="6"/>
        <v>1519.3000000000002</v>
      </c>
      <c r="P43" s="35">
        <f t="shared" si="6"/>
        <v>-0.6</v>
      </c>
      <c r="Q43" s="35">
        <f t="shared" si="6"/>
        <v>-1.4000000000000001</v>
      </c>
      <c r="R43" s="35">
        <f t="shared" si="6"/>
        <v>-0.6</v>
      </c>
      <c r="S43" s="35">
        <f t="shared" si="6"/>
        <v>-2.7</v>
      </c>
      <c r="T43" s="35">
        <f t="shared" si="6"/>
        <v>-0.7</v>
      </c>
      <c r="U43" s="35">
        <f t="shared" si="6"/>
        <v>-0.70000000000000007</v>
      </c>
      <c r="V43" s="35">
        <f t="shared" si="6"/>
        <v>0</v>
      </c>
      <c r="W43" s="35">
        <f t="shared" si="6"/>
        <v>2.2000000000000002</v>
      </c>
      <c r="X43" s="35">
        <f t="shared" si="6"/>
        <v>-1.9000000000000004</v>
      </c>
      <c r="Y43" s="35">
        <f t="shared" si="6"/>
        <v>-1</v>
      </c>
      <c r="Z43" s="35">
        <f t="shared" si="6"/>
        <v>-1.2</v>
      </c>
      <c r="AA43" s="35">
        <f t="shared" si="6"/>
        <v>-1.2</v>
      </c>
      <c r="AB43" s="35">
        <f t="shared" si="6"/>
        <v>-2.5000000000000009</v>
      </c>
      <c r="AC43" s="35">
        <f t="shared" si="6"/>
        <v>1498.8999999999999</v>
      </c>
      <c r="AD43" s="35">
        <f t="shared" si="6"/>
        <v>1509.2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Y10" activePane="bottomRight" state="frozen"/>
      <selection activeCell="A7" sqref="A7"/>
      <selection pane="topRight" activeCell="F7" sqref="F7"/>
      <selection pane="bottomLeft" activeCell="A10" sqref="A10"/>
      <selection pane="bottomRight" activeCell="Y11" sqref="Y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14" width="5.7109375" customWidth="1"/>
    <col min="15" max="15" width="8.28515625" customWidth="1"/>
    <col min="16" max="16" width="6.7109375" customWidth="1"/>
    <col min="17" max="27" width="5.7109375" customWidth="1"/>
    <col min="28" max="28" width="6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'NNG-Nov'!A2</f>
        <v>NOVEMBER,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'NNG-Nov'!A3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'NNG-Nov'!F7</f>
        <v>0</v>
      </c>
      <c r="G7" s="48" t="str">
        <f>'NNG-Nov'!G7</f>
        <v>Act</v>
      </c>
      <c r="H7" s="48" t="str">
        <f>'NNG-Nov'!H7</f>
        <v>Act</v>
      </c>
      <c r="I7" s="48" t="str">
        <f>'NNG-Nov'!I7</f>
        <v>Act</v>
      </c>
      <c r="J7" s="48" t="str">
        <f>'NNG-Nov'!J7</f>
        <v>Act</v>
      </c>
      <c r="K7" s="48" t="str">
        <f>'NNG-Nov'!K7</f>
        <v>Act</v>
      </c>
      <c r="L7" s="48" t="str">
        <f>'NNG-Nov'!L7</f>
        <v>Act</v>
      </c>
      <c r="M7" s="48" t="str">
        <f>'NNG-Nov'!M7</f>
        <v>Act</v>
      </c>
      <c r="N7" s="48" t="str">
        <f>'NNG-Nov'!N7</f>
        <v>B.C.</v>
      </c>
      <c r="O7" s="48" t="str">
        <f>'NNG-Nov'!O7</f>
        <v>Act</v>
      </c>
      <c r="P7" s="48" t="str">
        <f>'NNG-Nov'!P7</f>
        <v>Act</v>
      </c>
      <c r="Q7" s="48" t="str">
        <f>'NNG-Nov'!Q7</f>
        <v>Act</v>
      </c>
      <c r="R7" s="48">
        <f>'NNG-Nov'!R7</f>
        <v>0</v>
      </c>
      <c r="S7" s="48">
        <f>'NNG-Nov'!S7</f>
        <v>0</v>
      </c>
      <c r="T7" s="48">
        <f>'NNG-Nov'!T7</f>
        <v>0</v>
      </c>
      <c r="U7" s="48">
        <f>'NNG-Nov'!U7</f>
        <v>0</v>
      </c>
      <c r="V7" s="48" t="str">
        <f>'NNG-Nov'!V7</f>
        <v>B.C.</v>
      </c>
      <c r="W7" s="48">
        <f>'NNG-Nov'!W7</f>
        <v>0</v>
      </c>
      <c r="X7" s="48">
        <f>'NNG-Nov'!X7</f>
        <v>0</v>
      </c>
      <c r="Y7" s="48">
        <f>'NNG-Nov'!Y7</f>
        <v>0</v>
      </c>
      <c r="Z7" s="48">
        <f>'NNG-Nov'!Z7</f>
        <v>0</v>
      </c>
      <c r="AA7" s="48">
        <f>'NNG-Nov'!AA7</f>
        <v>0</v>
      </c>
      <c r="AB7" s="48">
        <f>'NNG-Nov'!AB7</f>
        <v>0</v>
      </c>
      <c r="AC7" s="48"/>
      <c r="AD7" s="48" t="str">
        <f>'NNG-Nov'!AD7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'NNG-Nov'!F8</f>
        <v>Day</v>
      </c>
      <c r="G8" s="48" t="str">
        <f>'NNG-Nov'!G8</f>
        <v>Thu</v>
      </c>
      <c r="H8" s="48" t="str">
        <f>'NNG-Nov'!H8</f>
        <v>Fri</v>
      </c>
      <c r="I8" s="48" t="str">
        <f>'NNG-Nov'!I8</f>
        <v>Mon</v>
      </c>
      <c r="J8" s="48" t="str">
        <f>'NNG-Nov'!J8</f>
        <v>Tue</v>
      </c>
      <c r="K8" s="48" t="str">
        <f>'NNG-Nov'!K8</f>
        <v>Wed</v>
      </c>
      <c r="L8" s="48" t="str">
        <f>'NNG-Nov'!L8</f>
        <v>Thu</v>
      </c>
      <c r="M8" s="48" t="str">
        <f>'NNG-Nov'!M8</f>
        <v>Fri</v>
      </c>
      <c r="N8" s="48" t="str">
        <f>'NNG-Nov'!N8</f>
        <v>Mon</v>
      </c>
      <c r="O8" s="48" t="str">
        <f>'NNG-Nov'!O8</f>
        <v>Tue</v>
      </c>
      <c r="P8" s="48" t="str">
        <f>'NNG-Nov'!P8</f>
        <v>Wed</v>
      </c>
      <c r="Q8" s="48" t="str">
        <f>'NNG-Nov'!Q8</f>
        <v>Thu</v>
      </c>
      <c r="R8" s="48" t="str">
        <f>'NNG-Nov'!R8</f>
        <v>Fri</v>
      </c>
      <c r="S8" s="48" t="str">
        <f>'NNG-Nov'!S8</f>
        <v>Mon</v>
      </c>
      <c r="T8" s="48" t="str">
        <f>'NNG-Nov'!T8</f>
        <v>Tue</v>
      </c>
      <c r="U8" s="48" t="str">
        <f>'NNG-Nov'!U8</f>
        <v>Wed</v>
      </c>
      <c r="V8" s="48" t="str">
        <f>'NNG-Nov'!V8</f>
        <v>Thu</v>
      </c>
      <c r="W8" s="48" t="str">
        <f>'NNG-Nov'!W8</f>
        <v>Fri</v>
      </c>
      <c r="X8" s="48" t="str">
        <f>'NNG-Nov'!X8</f>
        <v>Mon</v>
      </c>
      <c r="Y8" s="48" t="str">
        <f>'NNG-Nov'!Y8</f>
        <v>Tue</v>
      </c>
      <c r="Z8" s="48" t="str">
        <f>'NNG-Nov'!Z8</f>
        <v>Wed</v>
      </c>
      <c r="AA8" s="48" t="str">
        <f>'NNG-Nov'!AA8</f>
        <v>Thu</v>
      </c>
      <c r="AB8" s="48" t="str">
        <f>'NNG-Nov'!AB8</f>
        <v>Fri</v>
      </c>
      <c r="AC8" s="48" t="str">
        <f>'NNG-Nov'!AC8</f>
        <v>NOV.</v>
      </c>
      <c r="AD8" s="48" t="str">
        <f>'NNG-Nov'!AD8</f>
        <v>11/1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'NNG-Nov'!F9</f>
        <v>0/0</v>
      </c>
      <c r="G9" s="49" t="str">
        <f>'NNG-Nov'!G9</f>
        <v>11/1</v>
      </c>
      <c r="H9" s="49" t="str">
        <f>'NNG-Nov'!H9</f>
        <v>11/2</v>
      </c>
      <c r="I9" s="49" t="str">
        <f>'NNG-Nov'!I9</f>
        <v>11/5</v>
      </c>
      <c r="J9" s="49" t="str">
        <f>'NNG-Nov'!J9</f>
        <v>11/6</v>
      </c>
      <c r="K9" s="49" t="str">
        <f>'NNG-Nov'!K9</f>
        <v>11/7</v>
      </c>
      <c r="L9" s="49" t="str">
        <f>'NNG-Nov'!L9</f>
        <v>11/8</v>
      </c>
      <c r="M9" s="49" t="str">
        <f>'NNG-Nov'!M9</f>
        <v>11/9</v>
      </c>
      <c r="N9" s="49" t="str">
        <f>'NNG-Nov'!N9</f>
        <v>11/12</v>
      </c>
      <c r="O9" s="49" t="str">
        <f>'NNG-Nov'!O9</f>
        <v>11/13</v>
      </c>
      <c r="P9" s="49" t="str">
        <f>'NNG-Nov'!P9</f>
        <v>11/14</v>
      </c>
      <c r="Q9" s="49" t="str">
        <f>'NNG-Nov'!Q9</f>
        <v>11/15</v>
      </c>
      <c r="R9" s="49" t="str">
        <f>'NNG-Nov'!R9</f>
        <v>11/16</v>
      </c>
      <c r="S9" s="49" t="str">
        <f>'NNG-Nov'!S9</f>
        <v>11/19</v>
      </c>
      <c r="T9" s="49" t="str">
        <f>'NNG-Nov'!T9</f>
        <v>11/20</v>
      </c>
      <c r="U9" s="49" t="str">
        <f>'NNG-Nov'!U9</f>
        <v>11/21</v>
      </c>
      <c r="V9" s="49" t="str">
        <f>'NNG-Nov'!V9</f>
        <v>11/22</v>
      </c>
      <c r="W9" s="49" t="str">
        <f>'NNG-Nov'!W9</f>
        <v>11/23</v>
      </c>
      <c r="X9" s="49" t="str">
        <f>'NNG-Nov'!X9</f>
        <v>11/26</v>
      </c>
      <c r="Y9" s="49" t="str">
        <f>'NNG-Nov'!Y9</f>
        <v>11/27</v>
      </c>
      <c r="Z9" s="49" t="str">
        <f>'NNG-Nov'!Z9</f>
        <v>11/28</v>
      </c>
      <c r="AA9" s="49" t="str">
        <f>'NNG-Nov'!AA9</f>
        <v>11/29</v>
      </c>
      <c r="AB9" s="49" t="str">
        <f>'NNG-Nov'!AB9</f>
        <v>11/30</v>
      </c>
      <c r="AC9" s="49" t="str">
        <f>'NNG-Nov'!AC9</f>
        <v>TOTAL</v>
      </c>
      <c r="AD9" s="49" t="str">
        <f>'NNG-Nov'!AD9</f>
        <v>11/15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</v>
      </c>
      <c r="I11" s="10">
        <v>0</v>
      </c>
      <c r="J11" s="10">
        <v>0</v>
      </c>
      <c r="K11" s="10">
        <v>0.2</v>
      </c>
      <c r="L11" s="10">
        <v>0</v>
      </c>
      <c r="M11" s="10">
        <v>0.3</v>
      </c>
      <c r="N11" s="55" t="s">
        <v>40</v>
      </c>
      <c r="O11" s="10">
        <v>4.0999999999999996</v>
      </c>
      <c r="P11" s="10">
        <v>0.3</v>
      </c>
      <c r="Q11" s="10">
        <v>4.5999999999999996</v>
      </c>
      <c r="R11" s="10">
        <v>0.3</v>
      </c>
      <c r="S11" s="10">
        <v>0.3</v>
      </c>
      <c r="T11" s="10">
        <v>0.3</v>
      </c>
      <c r="U11" s="10">
        <v>0.3</v>
      </c>
      <c r="V11" s="55" t="s">
        <v>40</v>
      </c>
      <c r="W11" s="10">
        <v>0.2</v>
      </c>
      <c r="X11" s="10">
        <v>0.2</v>
      </c>
      <c r="Y11" s="10">
        <v>0.2</v>
      </c>
      <c r="Z11" s="10">
        <v>0.2</v>
      </c>
      <c r="AA11" s="10">
        <v>0.1</v>
      </c>
      <c r="AB11" s="26">
        <f t="shared" ref="AB11:AB20" si="0">AC11-SUM(F11:AA11)</f>
        <v>0</v>
      </c>
      <c r="AC11" s="60">
        <v>11.6</v>
      </c>
      <c r="AD11" s="36">
        <f>SUM(F11:Q11)</f>
        <v>9.5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55" t="s">
        <v>40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55" t="s">
        <v>40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SUM(F12:Q12)</f>
        <v>0</v>
      </c>
      <c r="AE12" s="3"/>
    </row>
    <row r="13" spans="1:31" ht="15" customHeight="1" x14ac:dyDescent="0.2">
      <c r="A13" s="19"/>
      <c r="B13" s="21"/>
      <c r="C13" s="21" t="s">
        <v>374</v>
      </c>
      <c r="D13" s="3"/>
      <c r="E13" s="3"/>
      <c r="F13" s="55" t="s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55" t="s">
        <v>40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55" t="s">
        <v>40</v>
      </c>
      <c r="W13" s="10">
        <v>0</v>
      </c>
      <c r="X13" s="10">
        <v>1.7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1.7</v>
      </c>
      <c r="AD13" s="36">
        <f t="shared" si="1"/>
        <v>0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5" t="s">
        <v>40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55" t="s">
        <v>40</v>
      </c>
      <c r="W14" s="10">
        <v>0</v>
      </c>
      <c r="X14" s="10">
        <v>1.5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1.5</v>
      </c>
      <c r="AD14" s="36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55" t="s">
        <v>40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55" t="s">
        <v>40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21" t="s">
        <v>224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55" t="s">
        <v>40</v>
      </c>
      <c r="O16" s="10">
        <v>1.4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55" t="s">
        <v>40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1.4</v>
      </c>
      <c r="AD16" s="36">
        <f t="shared" si="1"/>
        <v>1.4</v>
      </c>
      <c r="AE16" s="3"/>
    </row>
    <row r="17" spans="1:31" ht="15" customHeight="1" x14ac:dyDescent="0.2">
      <c r="A17" s="19"/>
      <c r="B17" s="21" t="s">
        <v>80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55" t="s">
        <v>40</v>
      </c>
      <c r="O17" s="10">
        <v>0.5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55" t="s">
        <v>40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0.5</v>
      </c>
      <c r="AD17" s="36">
        <f t="shared" si="1"/>
        <v>0.5</v>
      </c>
      <c r="AE17" s="3"/>
    </row>
    <row r="18" spans="1:31" ht="15" customHeight="1" x14ac:dyDescent="0.2">
      <c r="A18" s="19"/>
      <c r="B18" s="17" t="s">
        <v>375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55" t="s">
        <v>40</v>
      </c>
      <c r="O18" s="10">
        <v>0</v>
      </c>
      <c r="P18" s="10">
        <v>412.5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55" t="s">
        <v>40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412.5</v>
      </c>
      <c r="AD18" s="36">
        <f t="shared" si="1"/>
        <v>412.5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55" t="s">
        <v>40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55" t="s">
        <v>40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56" t="s">
        <v>40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56" t="s">
        <v>40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3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>SUM(G11:G20)</f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0.2</v>
      </c>
      <c r="L22" s="11">
        <f t="shared" si="2"/>
        <v>0</v>
      </c>
      <c r="M22" s="11">
        <f t="shared" si="2"/>
        <v>0.3</v>
      </c>
      <c r="N22" s="11">
        <f>SUM(N11:N20)</f>
        <v>0</v>
      </c>
      <c r="O22" s="11">
        <f>SUM(O11:O20)</f>
        <v>6</v>
      </c>
      <c r="P22" s="11">
        <f t="shared" si="2"/>
        <v>412.8</v>
      </c>
      <c r="Q22" s="11">
        <f t="shared" si="2"/>
        <v>4.5999999999999996</v>
      </c>
      <c r="R22" s="11">
        <f t="shared" si="2"/>
        <v>0.3</v>
      </c>
      <c r="S22" s="11">
        <f t="shared" si="2"/>
        <v>0.3</v>
      </c>
      <c r="T22" s="11">
        <f t="shared" si="2"/>
        <v>0.3</v>
      </c>
      <c r="U22" s="11">
        <f t="shared" si="2"/>
        <v>0.3</v>
      </c>
      <c r="V22" s="11">
        <f t="shared" si="2"/>
        <v>0</v>
      </c>
      <c r="W22" s="11">
        <f t="shared" si="2"/>
        <v>0.2</v>
      </c>
      <c r="X22" s="11">
        <f t="shared" si="2"/>
        <v>3.4</v>
      </c>
      <c r="Y22" s="11">
        <f t="shared" si="2"/>
        <v>0.2</v>
      </c>
      <c r="Z22" s="11">
        <f t="shared" si="2"/>
        <v>0.2</v>
      </c>
      <c r="AA22" s="11">
        <f t="shared" si="2"/>
        <v>0.1</v>
      </c>
      <c r="AB22" s="11">
        <f t="shared" si="2"/>
        <v>0</v>
      </c>
      <c r="AC22" s="11">
        <f t="shared" si="2"/>
        <v>429.2</v>
      </c>
      <c r="AD22" s="11">
        <f t="shared" si="2"/>
        <v>423.9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55" t="s">
        <v>40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55" t="s">
        <v>40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SUM(F25:Q25)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55" t="s">
        <v>40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55" t="s">
        <v>40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55" t="s">
        <v>40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55" t="s">
        <v>40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55" t="s">
        <v>40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55" t="s">
        <v>40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55" t="s">
        <v>40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55" t="s">
        <v>40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10">
        <v>0.1</v>
      </c>
      <c r="H30" s="10">
        <v>0.1</v>
      </c>
      <c r="I30" s="10">
        <v>0.1</v>
      </c>
      <c r="J30" s="10">
        <v>0.1</v>
      </c>
      <c r="K30" s="10">
        <v>0.1</v>
      </c>
      <c r="L30" s="10">
        <v>0.1</v>
      </c>
      <c r="M30" s="10">
        <v>0.1</v>
      </c>
      <c r="N30" s="55" t="s">
        <v>40</v>
      </c>
      <c r="O30" s="10">
        <v>0.1</v>
      </c>
      <c r="P30" s="10">
        <v>0.1</v>
      </c>
      <c r="Q30" s="10">
        <v>0.1</v>
      </c>
      <c r="R30" s="10">
        <v>0.2</v>
      </c>
      <c r="S30" s="10">
        <v>0.2</v>
      </c>
      <c r="T30" s="10">
        <v>0.2</v>
      </c>
      <c r="U30" s="10">
        <v>0.2</v>
      </c>
      <c r="V30" s="55" t="s">
        <v>40</v>
      </c>
      <c r="W30" s="10">
        <v>0.2</v>
      </c>
      <c r="X30" s="10">
        <v>0.2</v>
      </c>
      <c r="Y30" s="10">
        <v>0.2</v>
      </c>
      <c r="Z30" s="10">
        <v>0.2</v>
      </c>
      <c r="AA30" s="10">
        <v>0.2</v>
      </c>
      <c r="AB30" s="26">
        <f t="shared" si="3"/>
        <v>0.19999999999999973</v>
      </c>
      <c r="AC30" s="10">
        <v>3</v>
      </c>
      <c r="AD30" s="36">
        <f t="shared" si="4"/>
        <v>0.99999999999999989</v>
      </c>
      <c r="AE30" s="3"/>
    </row>
    <row r="31" spans="1:31" ht="15" customHeight="1" x14ac:dyDescent="0.2">
      <c r="A31" s="19"/>
      <c r="B31" s="17"/>
      <c r="C31" s="21" t="s">
        <v>252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55" t="s">
        <v>40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55" t="s">
        <v>40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8.7-8.7</f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55" t="s">
        <v>40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55" t="s">
        <v>40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0.1</v>
      </c>
      <c r="J33" s="10">
        <v>0.1</v>
      </c>
      <c r="K33" s="10">
        <v>0</v>
      </c>
      <c r="L33" s="10">
        <v>0</v>
      </c>
      <c r="M33" s="10">
        <v>0.6</v>
      </c>
      <c r="N33" s="55" t="s">
        <v>40</v>
      </c>
      <c r="O33" s="10">
        <v>0.6</v>
      </c>
      <c r="P33" s="10">
        <v>0.6</v>
      </c>
      <c r="Q33" s="10">
        <v>0.6</v>
      </c>
      <c r="R33" s="10">
        <v>0.6</v>
      </c>
      <c r="S33" s="10">
        <v>0</v>
      </c>
      <c r="T33" s="10">
        <v>0.2</v>
      </c>
      <c r="U33" s="10">
        <v>0</v>
      </c>
      <c r="V33" s="55" t="s">
        <v>40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60">
        <f>3.2+0.2</f>
        <v>3.4000000000000004</v>
      </c>
      <c r="AD33" s="36">
        <f t="shared" si="4"/>
        <v>2.6</v>
      </c>
      <c r="AE33" s="3"/>
    </row>
    <row r="34" spans="1:31" ht="15" customHeight="1" x14ac:dyDescent="0.2">
      <c r="A34" s="19"/>
      <c r="B34" s="21" t="s">
        <v>347</v>
      </c>
      <c r="C34" s="3"/>
      <c r="D34" s="3"/>
      <c r="E34" s="3"/>
      <c r="F34" s="55" t="s">
        <v>40</v>
      </c>
      <c r="G34" s="10">
        <v>0.1</v>
      </c>
      <c r="H34" s="10">
        <v>0</v>
      </c>
      <c r="I34" s="10">
        <v>0.1</v>
      </c>
      <c r="J34" s="10">
        <v>0</v>
      </c>
      <c r="K34" s="10">
        <v>0</v>
      </c>
      <c r="L34" s="10">
        <v>0.1</v>
      </c>
      <c r="M34" s="10">
        <v>0</v>
      </c>
      <c r="N34" s="55" t="s">
        <v>40</v>
      </c>
      <c r="O34" s="10">
        <v>0.1</v>
      </c>
      <c r="P34" s="10">
        <v>0</v>
      </c>
      <c r="Q34" s="10">
        <v>0.2</v>
      </c>
      <c r="R34" s="10">
        <v>0</v>
      </c>
      <c r="S34" s="10">
        <v>0</v>
      </c>
      <c r="T34" s="10">
        <v>0.1</v>
      </c>
      <c r="U34" s="10">
        <v>0.1</v>
      </c>
      <c r="V34" s="55" t="s">
        <v>40</v>
      </c>
      <c r="W34" s="10">
        <v>0</v>
      </c>
      <c r="X34" s="10">
        <v>0.1</v>
      </c>
      <c r="Y34" s="10">
        <v>0</v>
      </c>
      <c r="Z34" s="10">
        <v>0.1</v>
      </c>
      <c r="AA34" s="10">
        <v>0</v>
      </c>
      <c r="AB34" s="26">
        <f t="shared" si="3"/>
        <v>0.5</v>
      </c>
      <c r="AC34" s="10">
        <v>1.5</v>
      </c>
      <c r="AD34" s="36">
        <f t="shared" si="4"/>
        <v>0.60000000000000009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10">
        <v>0.7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55" t="s">
        <v>40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55" t="s">
        <v>40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0.7</v>
      </c>
      <c r="AD35" s="36">
        <f t="shared" si="4"/>
        <v>0.7</v>
      </c>
      <c r="AE35" s="3"/>
    </row>
    <row r="36" spans="1:31" ht="15" customHeight="1" x14ac:dyDescent="0.2">
      <c r="A36" s="19"/>
      <c r="B36" s="17" t="s">
        <v>376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55" t="s">
        <v>40</v>
      </c>
      <c r="O36" s="10">
        <v>0</v>
      </c>
      <c r="P36" s="10">
        <v>10.3</v>
      </c>
      <c r="Q36" s="10">
        <v>8.8000000000000007</v>
      </c>
      <c r="R36" s="10">
        <v>0</v>
      </c>
      <c r="S36" s="10">
        <v>0</v>
      </c>
      <c r="T36" s="10">
        <v>0</v>
      </c>
      <c r="U36" s="10">
        <v>0</v>
      </c>
      <c r="V36" s="55" t="s">
        <v>40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60">
        <f>25.5+0.2-6.6</f>
        <v>19.100000000000001</v>
      </c>
      <c r="AD36" s="36">
        <f t="shared" si="4"/>
        <v>19.100000000000001</v>
      </c>
      <c r="AE36" s="3"/>
    </row>
    <row r="37" spans="1:31" ht="15" customHeight="1" x14ac:dyDescent="0.2">
      <c r="A37" s="19"/>
      <c r="B37" s="21" t="s">
        <v>253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55" t="s">
        <v>40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55" t="s">
        <v>40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0.4</v>
      </c>
      <c r="AC37" s="10">
        <v>0.4</v>
      </c>
      <c r="AD37" s="36">
        <f t="shared" si="4"/>
        <v>0</v>
      </c>
      <c r="AE37" s="3"/>
    </row>
    <row r="38" spans="1:31" ht="15" customHeight="1" x14ac:dyDescent="0.2">
      <c r="A38" s="19"/>
      <c r="B38" s="21" t="s">
        <v>377</v>
      </c>
      <c r="C38" s="3"/>
      <c r="D38" s="3"/>
      <c r="E38" s="3"/>
      <c r="F38" s="55" t="s">
        <v>40</v>
      </c>
      <c r="G38" s="10">
        <v>3.8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55" t="s">
        <v>40</v>
      </c>
      <c r="O38" s="10">
        <v>13.2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55" t="s">
        <v>40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17</v>
      </c>
      <c r="AD38" s="36">
        <f t="shared" si="4"/>
        <v>17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56" t="s">
        <v>40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56" t="s">
        <v>40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4.6999999999999993</v>
      </c>
      <c r="H41" s="11">
        <f t="shared" si="5"/>
        <v>0.1</v>
      </c>
      <c r="I41" s="11">
        <f t="shared" si="5"/>
        <v>0.30000000000000004</v>
      </c>
      <c r="J41" s="11">
        <f t="shared" si="5"/>
        <v>0.2</v>
      </c>
      <c r="K41" s="11">
        <f t="shared" si="5"/>
        <v>0.1</v>
      </c>
      <c r="L41" s="11">
        <f t="shared" si="5"/>
        <v>0.2</v>
      </c>
      <c r="M41" s="11">
        <f t="shared" si="5"/>
        <v>0.7</v>
      </c>
      <c r="N41" s="11">
        <f t="shared" si="5"/>
        <v>0</v>
      </c>
      <c r="O41" s="11">
        <f t="shared" si="5"/>
        <v>14</v>
      </c>
      <c r="P41" s="11">
        <f t="shared" si="5"/>
        <v>11</v>
      </c>
      <c r="Q41" s="11">
        <f t="shared" si="5"/>
        <v>9.7000000000000011</v>
      </c>
      <c r="R41" s="11">
        <f t="shared" si="5"/>
        <v>0.8</v>
      </c>
      <c r="S41" s="11">
        <f t="shared" si="5"/>
        <v>0.2</v>
      </c>
      <c r="T41" s="11">
        <f t="shared" si="5"/>
        <v>0.5</v>
      </c>
      <c r="U41" s="11">
        <f t="shared" si="5"/>
        <v>0.30000000000000004</v>
      </c>
      <c r="V41" s="11">
        <f t="shared" si="5"/>
        <v>0</v>
      </c>
      <c r="W41" s="11">
        <f t="shared" si="5"/>
        <v>0.2</v>
      </c>
      <c r="X41" s="11">
        <f t="shared" si="5"/>
        <v>0.30000000000000004</v>
      </c>
      <c r="Y41" s="11">
        <f t="shared" si="5"/>
        <v>0.2</v>
      </c>
      <c r="Z41" s="11">
        <f t="shared" si="5"/>
        <v>0.30000000000000004</v>
      </c>
      <c r="AA41" s="11">
        <f t="shared" si="5"/>
        <v>0.2</v>
      </c>
      <c r="AB41" s="11">
        <f t="shared" si="5"/>
        <v>1.2999999999999998</v>
      </c>
      <c r="AC41" s="11">
        <f t="shared" si="5"/>
        <v>45.3</v>
      </c>
      <c r="AD41" s="11">
        <f t="shared" si="5"/>
        <v>41</v>
      </c>
      <c r="AE41" s="3"/>
    </row>
    <row r="42" spans="1:31" ht="15" customHeight="1" x14ac:dyDescent="0.2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-4.6999999999999993</v>
      </c>
      <c r="H43" s="35">
        <f t="shared" si="6"/>
        <v>-0.1</v>
      </c>
      <c r="I43" s="35">
        <f t="shared" si="6"/>
        <v>-0.30000000000000004</v>
      </c>
      <c r="J43" s="35">
        <f t="shared" si="6"/>
        <v>-0.2</v>
      </c>
      <c r="K43" s="35">
        <f t="shared" si="6"/>
        <v>0.1</v>
      </c>
      <c r="L43" s="35">
        <f t="shared" si="6"/>
        <v>-0.2</v>
      </c>
      <c r="M43" s="35">
        <f t="shared" si="6"/>
        <v>-0.39999999999999997</v>
      </c>
      <c r="N43" s="35">
        <f t="shared" si="6"/>
        <v>0</v>
      </c>
      <c r="O43" s="35">
        <f t="shared" si="6"/>
        <v>-8</v>
      </c>
      <c r="P43" s="35">
        <f t="shared" si="6"/>
        <v>401.8</v>
      </c>
      <c r="Q43" s="35">
        <f t="shared" si="6"/>
        <v>-5.1000000000000014</v>
      </c>
      <c r="R43" s="35">
        <f t="shared" si="6"/>
        <v>-0.5</v>
      </c>
      <c r="S43" s="35">
        <f t="shared" si="6"/>
        <v>9.9999999999999978E-2</v>
      </c>
      <c r="T43" s="35">
        <f t="shared" si="6"/>
        <v>-0.2</v>
      </c>
      <c r="U43" s="35">
        <f t="shared" si="6"/>
        <v>0</v>
      </c>
      <c r="V43" s="35">
        <f t="shared" si="6"/>
        <v>0</v>
      </c>
      <c r="W43" s="35">
        <f t="shared" si="6"/>
        <v>0</v>
      </c>
      <c r="X43" s="35">
        <f t="shared" si="6"/>
        <v>3.0999999999999996</v>
      </c>
      <c r="Y43" s="35">
        <f t="shared" si="6"/>
        <v>0</v>
      </c>
      <c r="Z43" s="35">
        <f t="shared" si="6"/>
        <v>-0.10000000000000003</v>
      </c>
      <c r="AA43" s="35">
        <f t="shared" si="6"/>
        <v>-0.1</v>
      </c>
      <c r="AB43" s="35">
        <f t="shared" si="6"/>
        <v>-1.2999999999999998</v>
      </c>
      <c r="AC43" s="35">
        <f t="shared" si="6"/>
        <v>383.9</v>
      </c>
      <c r="AD43" s="35">
        <f t="shared" si="6"/>
        <v>382.9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'NNG-Nov'!F43</f>
        <v>0</v>
      </c>
      <c r="G48" s="75">
        <f>'NNG-Nov'!G43</f>
        <v>-4.8</v>
      </c>
      <c r="H48" s="75">
        <f>'NNG-Nov'!H43</f>
        <v>-0.70000000000000007</v>
      </c>
      <c r="I48" s="75">
        <f>'NNG-Nov'!I43</f>
        <v>-0.6</v>
      </c>
      <c r="J48" s="75">
        <f>'NNG-Nov'!J43</f>
        <v>-0.60000000000000009</v>
      </c>
      <c r="K48" s="75">
        <f>'NNG-Nov'!K43</f>
        <v>-0.59999999999999987</v>
      </c>
      <c r="L48" s="75">
        <f>'NNG-Nov'!L43</f>
        <v>-0.29999999999999993</v>
      </c>
      <c r="M48" s="75">
        <f>'NNG-Nov'!M43</f>
        <v>-0.49999999999999994</v>
      </c>
      <c r="N48" s="75">
        <f>'NNG-Nov'!N43</f>
        <v>0</v>
      </c>
      <c r="O48" s="75">
        <f>'NNG-Nov'!O43</f>
        <v>1519.3000000000002</v>
      </c>
      <c r="P48" s="75">
        <f>'NNG-Nov'!P43</f>
        <v>-0.6</v>
      </c>
      <c r="Q48" s="75">
        <f>'NNG-Nov'!Q43</f>
        <v>-1.4000000000000001</v>
      </c>
      <c r="R48" s="75">
        <f>'NNG-Nov'!R43</f>
        <v>-0.6</v>
      </c>
      <c r="S48" s="75">
        <f>'NNG-Nov'!S43</f>
        <v>-2.7</v>
      </c>
      <c r="T48" s="75">
        <f>'NNG-Nov'!T43</f>
        <v>-0.7</v>
      </c>
      <c r="U48" s="75">
        <f>'NNG-Nov'!U43</f>
        <v>-0.70000000000000007</v>
      </c>
      <c r="V48" s="75">
        <f>'NNG-Nov'!V43</f>
        <v>0</v>
      </c>
      <c r="W48" s="75">
        <f>'NNG-Nov'!W43</f>
        <v>2.2000000000000002</v>
      </c>
      <c r="X48" s="75">
        <f>'NNG-Nov'!X43</f>
        <v>-1.9000000000000004</v>
      </c>
      <c r="Y48" s="75">
        <f>'NNG-Nov'!Y43</f>
        <v>-1</v>
      </c>
      <c r="Z48" s="75">
        <f>'NNG-Nov'!Z43</f>
        <v>-1.2</v>
      </c>
      <c r="AA48" s="75">
        <f>'NNG-Nov'!AA43</f>
        <v>-1.2</v>
      </c>
      <c r="AB48" s="75">
        <f>'NNG-Nov'!AB43</f>
        <v>-2.5000000000000009</v>
      </c>
      <c r="AC48" s="75">
        <f>'NNG-Nov'!AC43</f>
        <v>1498.8999999999999</v>
      </c>
      <c r="AD48" s="75">
        <f>'NNG-Nov'!AD43</f>
        <v>1509.2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-4.6999999999999993</v>
      </c>
      <c r="H49" s="75">
        <f t="shared" si="7"/>
        <v>-0.1</v>
      </c>
      <c r="I49" s="75">
        <f t="shared" si="7"/>
        <v>-0.30000000000000004</v>
      </c>
      <c r="J49" s="75">
        <f t="shared" si="7"/>
        <v>-0.2</v>
      </c>
      <c r="K49" s="75">
        <f t="shared" si="7"/>
        <v>0.1</v>
      </c>
      <c r="L49" s="75">
        <f t="shared" si="7"/>
        <v>-0.2</v>
      </c>
      <c r="M49" s="75">
        <f t="shared" si="7"/>
        <v>-0.39999999999999997</v>
      </c>
      <c r="N49" s="75">
        <f t="shared" si="7"/>
        <v>0</v>
      </c>
      <c r="O49" s="75">
        <f t="shared" si="7"/>
        <v>-8</v>
      </c>
      <c r="P49" s="75">
        <f t="shared" si="7"/>
        <v>401.8</v>
      </c>
      <c r="Q49" s="75">
        <f t="shared" si="7"/>
        <v>-5.1000000000000014</v>
      </c>
      <c r="R49" s="75">
        <f t="shared" si="7"/>
        <v>-0.5</v>
      </c>
      <c r="S49" s="75">
        <f t="shared" si="7"/>
        <v>9.9999999999999978E-2</v>
      </c>
      <c r="T49" s="75">
        <f t="shared" si="7"/>
        <v>-0.2</v>
      </c>
      <c r="U49" s="75">
        <f t="shared" si="7"/>
        <v>0</v>
      </c>
      <c r="V49" s="75">
        <f t="shared" si="7"/>
        <v>0</v>
      </c>
      <c r="W49" s="75">
        <f t="shared" si="7"/>
        <v>0</v>
      </c>
      <c r="X49" s="75">
        <f t="shared" si="7"/>
        <v>3.0999999999999996</v>
      </c>
      <c r="Y49" s="75">
        <f t="shared" si="7"/>
        <v>0</v>
      </c>
      <c r="Z49" s="75">
        <f t="shared" si="7"/>
        <v>-0.10000000000000003</v>
      </c>
      <c r="AA49" s="75">
        <f t="shared" si="7"/>
        <v>-0.1</v>
      </c>
      <c r="AB49" s="75">
        <f t="shared" si="7"/>
        <v>-1.2999999999999998</v>
      </c>
      <c r="AC49" s="75">
        <f t="shared" si="7"/>
        <v>383.9</v>
      </c>
      <c r="AD49" s="75">
        <f t="shared" si="7"/>
        <v>382.9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9.5</v>
      </c>
      <c r="H50" s="77">
        <f t="shared" si="8"/>
        <v>0.8</v>
      </c>
      <c r="I50" s="77">
        <f t="shared" si="8"/>
        <v>0.9</v>
      </c>
      <c r="J50" s="77">
        <f t="shared" si="8"/>
        <v>0.8</v>
      </c>
      <c r="K50" s="77">
        <f t="shared" si="8"/>
        <v>0.49999999999999989</v>
      </c>
      <c r="L50" s="77">
        <f t="shared" si="8"/>
        <v>0.49999999999999994</v>
      </c>
      <c r="M50" s="77">
        <f t="shared" si="8"/>
        <v>0.89999999999999991</v>
      </c>
      <c r="N50" s="77">
        <f t="shared" si="8"/>
        <v>0</v>
      </c>
      <c r="O50" s="77">
        <f t="shared" si="8"/>
        <v>-1511.3000000000002</v>
      </c>
      <c r="P50" s="77">
        <f t="shared" si="8"/>
        <v>-401.2</v>
      </c>
      <c r="Q50" s="77">
        <f t="shared" si="8"/>
        <v>6.5000000000000018</v>
      </c>
      <c r="R50" s="77">
        <f t="shared" si="8"/>
        <v>1.1000000000000001</v>
      </c>
      <c r="S50" s="77">
        <f t="shared" si="8"/>
        <v>2.6</v>
      </c>
      <c r="T50" s="77">
        <f t="shared" si="8"/>
        <v>0.89999999999999991</v>
      </c>
      <c r="U50" s="77">
        <f t="shared" si="8"/>
        <v>0.70000000000000007</v>
      </c>
      <c r="V50" s="77">
        <f t="shared" si="8"/>
        <v>0</v>
      </c>
      <c r="W50" s="77">
        <f t="shared" si="8"/>
        <v>-2.2000000000000002</v>
      </c>
      <c r="X50" s="77">
        <f t="shared" si="8"/>
        <v>-1.1999999999999993</v>
      </c>
      <c r="Y50" s="77">
        <f t="shared" si="8"/>
        <v>0</v>
      </c>
      <c r="Z50" s="77">
        <f t="shared" si="8"/>
        <v>0</v>
      </c>
      <c r="AA50" s="77">
        <f t="shared" si="8"/>
        <v>0</v>
      </c>
      <c r="AB50" s="77">
        <f t="shared" si="8"/>
        <v>0</v>
      </c>
      <c r="AC50" s="80">
        <f>SUM(F50:AB50)</f>
        <v>-1890.2000000000003</v>
      </c>
      <c r="AD50" s="78">
        <f>SUM(F50:Z50)</f>
        <v>-1890.2000000000003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-1</v>
      </c>
      <c r="Z52" s="76">
        <v>-1.3</v>
      </c>
      <c r="AA52" s="76">
        <v>-1.3</v>
      </c>
      <c r="AB52" s="76">
        <v>-3.8</v>
      </c>
      <c r="AC52" s="79">
        <f>SUM(AC48:AC50)</f>
        <v>-7.4000000000005457</v>
      </c>
      <c r="AD52" s="79">
        <f>SUM(AD48:AD50)</f>
        <v>1.8999999999996362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68" orientation="landscape" horizontalDpi="4294967292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workbookViewId="0">
      <selection activeCell="B18" sqref="B18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378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61"/>
      <c r="G7" s="61"/>
      <c r="H7" s="15"/>
      <c r="I7" s="15"/>
      <c r="J7" s="15"/>
      <c r="K7" s="15"/>
      <c r="L7" s="15"/>
      <c r="M7" s="15"/>
      <c r="N7" s="15"/>
      <c r="O7" s="15"/>
      <c r="P7" s="15"/>
      <c r="Q7" s="15"/>
      <c r="R7" s="61"/>
      <c r="S7" s="61"/>
      <c r="T7" s="61"/>
      <c r="U7" s="61"/>
      <c r="V7" s="61"/>
      <c r="W7" s="61"/>
      <c r="X7" s="15" t="s">
        <v>3</v>
      </c>
      <c r="Y7" s="61"/>
      <c r="Z7" s="61"/>
      <c r="AA7" s="61"/>
      <c r="AB7" s="61"/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6</v>
      </c>
      <c r="I8" s="15" t="s">
        <v>7</v>
      </c>
      <c r="J8" s="15" t="s">
        <v>8</v>
      </c>
      <c r="K8" s="15" t="s">
        <v>9</v>
      </c>
      <c r="L8" s="15" t="s">
        <v>10</v>
      </c>
      <c r="M8" s="15" t="s">
        <v>6</v>
      </c>
      <c r="N8" s="15" t="s">
        <v>7</v>
      </c>
      <c r="O8" s="15" t="s">
        <v>8</v>
      </c>
      <c r="P8" s="15" t="s">
        <v>9</v>
      </c>
      <c r="Q8" s="15" t="s">
        <v>10</v>
      </c>
      <c r="R8" s="15" t="s">
        <v>6</v>
      </c>
      <c r="S8" s="15" t="s">
        <v>7</v>
      </c>
      <c r="T8" s="15" t="s">
        <v>8</v>
      </c>
      <c r="U8" s="15" t="s">
        <v>9</v>
      </c>
      <c r="V8" s="15" t="s">
        <v>10</v>
      </c>
      <c r="W8" s="15" t="s">
        <v>6</v>
      </c>
      <c r="X8" s="15" t="s">
        <v>7</v>
      </c>
      <c r="Y8" s="15" t="s">
        <v>8</v>
      </c>
      <c r="Z8" s="15" t="s">
        <v>9</v>
      </c>
      <c r="AA8" s="15" t="s">
        <v>10</v>
      </c>
      <c r="AB8" s="15" t="s">
        <v>6</v>
      </c>
      <c r="AC8" s="30" t="s">
        <v>379</v>
      </c>
      <c r="AD8" s="31" t="s">
        <v>380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86</v>
      </c>
      <c r="H9" s="57" t="s">
        <v>381</v>
      </c>
      <c r="I9" s="57" t="s">
        <v>382</v>
      </c>
      <c r="J9" s="57" t="s">
        <v>383</v>
      </c>
      <c r="K9" s="57" t="s">
        <v>384</v>
      </c>
      <c r="L9" s="57" t="s">
        <v>385</v>
      </c>
      <c r="M9" s="57" t="s">
        <v>386</v>
      </c>
      <c r="N9" s="57" t="s">
        <v>387</v>
      </c>
      <c r="O9" s="57" t="s">
        <v>388</v>
      </c>
      <c r="P9" s="57" t="s">
        <v>389</v>
      </c>
      <c r="Q9" s="57" t="s">
        <v>390</v>
      </c>
      <c r="R9" s="57" t="s">
        <v>391</v>
      </c>
      <c r="S9" s="57" t="s">
        <v>392</v>
      </c>
      <c r="T9" s="57" t="s">
        <v>393</v>
      </c>
      <c r="U9" s="57" t="s">
        <v>394</v>
      </c>
      <c r="V9" s="57" t="s">
        <v>395</v>
      </c>
      <c r="W9" s="57" t="s">
        <v>396</v>
      </c>
      <c r="X9" s="57" t="s">
        <v>397</v>
      </c>
      <c r="Y9" s="57" t="s">
        <v>398</v>
      </c>
      <c r="Z9" s="53" t="s">
        <v>399</v>
      </c>
      <c r="AA9" s="53" t="s">
        <v>400</v>
      </c>
      <c r="AB9" s="53" t="s">
        <v>401</v>
      </c>
      <c r="AC9" s="16" t="s">
        <v>36</v>
      </c>
      <c r="AD9" s="52" t="s">
        <v>389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55" t="s">
        <v>40</v>
      </c>
      <c r="Y11" s="10">
        <v>0</v>
      </c>
      <c r="Z11" s="10">
        <v>0</v>
      </c>
      <c r="AA11" s="10">
        <v>0</v>
      </c>
      <c r="AB11" s="26">
        <f t="shared" ref="AB11:AB20" si="0">AC11-SUM(F11:AA11)</f>
        <v>0</v>
      </c>
      <c r="AC11" s="60">
        <v>0</v>
      </c>
      <c r="AD11" s="58">
        <f>SUM(F11:Q11)</f>
        <v>0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55" t="s">
        <v>40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58">
        <f t="shared" ref="AD12:AD20" si="1">SUM(F12:Q12)</f>
        <v>0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55" t="s">
        <v>40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</v>
      </c>
      <c r="AD13" s="58">
        <f t="shared" si="1"/>
        <v>0</v>
      </c>
      <c r="AE13" s="3"/>
    </row>
    <row r="14" spans="1:31" ht="15" customHeight="1" x14ac:dyDescent="0.2">
      <c r="A14" s="19"/>
      <c r="B14" s="21" t="s">
        <v>402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55" t="s">
        <v>40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55" t="s">
        <v>40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17" t="s">
        <v>403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55" t="s">
        <v>40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55" t="s">
        <v>40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55" t="s">
        <v>40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55" t="s">
        <v>40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58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56" t="s">
        <v>40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0</v>
      </c>
      <c r="Q22" s="11">
        <f t="shared" si="2"/>
        <v>0</v>
      </c>
      <c r="R22" s="11">
        <f t="shared" si="2"/>
        <v>0</v>
      </c>
      <c r="S22" s="11">
        <f t="shared" si="2"/>
        <v>0</v>
      </c>
      <c r="T22" s="11">
        <f t="shared" si="2"/>
        <v>0</v>
      </c>
      <c r="U22" s="11">
        <f t="shared" si="2"/>
        <v>0</v>
      </c>
      <c r="V22" s="11">
        <f t="shared" si="2"/>
        <v>0</v>
      </c>
      <c r="W22" s="11">
        <f t="shared" si="2"/>
        <v>0</v>
      </c>
      <c r="X22" s="11">
        <f t="shared" si="2"/>
        <v>0</v>
      </c>
      <c r="Y22" s="11">
        <f t="shared" si="2"/>
        <v>0</v>
      </c>
      <c r="Z22" s="11">
        <f t="shared" si="2"/>
        <v>0</v>
      </c>
      <c r="AA22" s="11">
        <f t="shared" si="2"/>
        <v>0</v>
      </c>
      <c r="AB22" s="11">
        <f t="shared" si="2"/>
        <v>0</v>
      </c>
      <c r="AC22" s="11">
        <f t="shared" si="2"/>
        <v>0</v>
      </c>
      <c r="AD22" s="11">
        <f t="shared" si="2"/>
        <v>0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55" t="s">
        <v>40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58">
        <f t="shared" ref="AD25:AD39" si="4">SUM(F25:Q25)</f>
        <v>0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55" t="s">
        <v>40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10">
        <v>0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55" t="s">
        <v>40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55" t="s">
        <v>40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58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55" t="s">
        <v>40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55" t="s">
        <v>40</v>
      </c>
      <c r="Y30" s="10">
        <v>0</v>
      </c>
      <c r="Z30" s="10">
        <v>0</v>
      </c>
      <c r="AA30" s="10">
        <v>0</v>
      </c>
      <c r="AB30" s="26">
        <f t="shared" si="3"/>
        <v>0</v>
      </c>
      <c r="AC30" s="10">
        <v>0</v>
      </c>
      <c r="AD30" s="58">
        <f t="shared" si="4"/>
        <v>0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55" t="s">
        <v>40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55" t="s">
        <v>40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55" t="s">
        <v>40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58">
        <f t="shared" si="4"/>
        <v>0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55" t="s">
        <v>40</v>
      </c>
      <c r="Y34" s="10">
        <v>0</v>
      </c>
      <c r="Z34" s="10">
        <v>0</v>
      </c>
      <c r="AA34" s="10">
        <v>0</v>
      </c>
      <c r="AB34" s="26">
        <f t="shared" si="3"/>
        <v>0</v>
      </c>
      <c r="AC34" s="10">
        <v>0</v>
      </c>
      <c r="AD34" s="58">
        <f t="shared" si="4"/>
        <v>0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8.6999999999999993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55" t="s">
        <v>40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8.6999999999999993</v>
      </c>
      <c r="AD35" s="58">
        <f t="shared" si="4"/>
        <v>8.6999999999999993</v>
      </c>
      <c r="AE35" s="3"/>
    </row>
    <row r="36" spans="1:31" ht="15" customHeight="1" x14ac:dyDescent="0.2">
      <c r="A36" s="19"/>
      <c r="B36" s="21" t="s">
        <v>404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55" t="s">
        <v>40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21" t="s">
        <v>405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55" t="s">
        <v>40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55" t="s">
        <v>40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56" t="s">
        <v>40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8.6999999999999993</v>
      </c>
      <c r="I41" s="11">
        <f t="shared" si="5"/>
        <v>0</v>
      </c>
      <c r="J41" s="11">
        <f t="shared" si="5"/>
        <v>0</v>
      </c>
      <c r="K41" s="11">
        <f t="shared" si="5"/>
        <v>0</v>
      </c>
      <c r="L41" s="11">
        <f t="shared" si="5"/>
        <v>0</v>
      </c>
      <c r="M41" s="11">
        <f t="shared" si="5"/>
        <v>0</v>
      </c>
      <c r="N41" s="11">
        <f t="shared" si="5"/>
        <v>0</v>
      </c>
      <c r="O41" s="11">
        <f t="shared" si="5"/>
        <v>0</v>
      </c>
      <c r="P41" s="11">
        <f t="shared" si="5"/>
        <v>0</v>
      </c>
      <c r="Q41" s="11">
        <f t="shared" si="5"/>
        <v>0</v>
      </c>
      <c r="R41" s="11">
        <f t="shared" si="5"/>
        <v>0</v>
      </c>
      <c r="S41" s="11">
        <f t="shared" si="5"/>
        <v>0</v>
      </c>
      <c r="T41" s="11">
        <f t="shared" si="5"/>
        <v>0</v>
      </c>
      <c r="U41" s="11">
        <f t="shared" si="5"/>
        <v>0</v>
      </c>
      <c r="V41" s="11">
        <f t="shared" si="5"/>
        <v>0</v>
      </c>
      <c r="W41" s="11">
        <f t="shared" si="5"/>
        <v>0</v>
      </c>
      <c r="X41" s="11">
        <f t="shared" si="5"/>
        <v>0</v>
      </c>
      <c r="Y41" s="11">
        <f t="shared" si="5"/>
        <v>0</v>
      </c>
      <c r="Z41" s="11">
        <f t="shared" si="5"/>
        <v>0</v>
      </c>
      <c r="AA41" s="11">
        <f t="shared" si="5"/>
        <v>0</v>
      </c>
      <c r="AB41" s="11">
        <f t="shared" si="5"/>
        <v>0</v>
      </c>
      <c r="AC41" s="11">
        <f t="shared" si="5"/>
        <v>8.6999999999999993</v>
      </c>
      <c r="AD41" s="11">
        <f t="shared" si="5"/>
        <v>8.6999999999999993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-8.6999999999999993</v>
      </c>
      <c r="I43" s="35">
        <f t="shared" si="6"/>
        <v>0</v>
      </c>
      <c r="J43" s="35">
        <f t="shared" si="6"/>
        <v>0</v>
      </c>
      <c r="K43" s="35">
        <f t="shared" si="6"/>
        <v>0</v>
      </c>
      <c r="L43" s="35">
        <f t="shared" si="6"/>
        <v>0</v>
      </c>
      <c r="M43" s="35">
        <f t="shared" si="6"/>
        <v>0</v>
      </c>
      <c r="N43" s="35">
        <f t="shared" si="6"/>
        <v>0</v>
      </c>
      <c r="O43" s="35">
        <f t="shared" si="6"/>
        <v>0</v>
      </c>
      <c r="P43" s="35">
        <f t="shared" si="6"/>
        <v>0</v>
      </c>
      <c r="Q43" s="35">
        <f t="shared" si="6"/>
        <v>0</v>
      </c>
      <c r="R43" s="35">
        <f t="shared" si="6"/>
        <v>0</v>
      </c>
      <c r="S43" s="35">
        <f t="shared" si="6"/>
        <v>0</v>
      </c>
      <c r="T43" s="35">
        <f t="shared" si="6"/>
        <v>0</v>
      </c>
      <c r="U43" s="35">
        <f t="shared" si="6"/>
        <v>0</v>
      </c>
      <c r="V43" s="35">
        <f t="shared" si="6"/>
        <v>0</v>
      </c>
      <c r="W43" s="35">
        <f t="shared" si="6"/>
        <v>0</v>
      </c>
      <c r="X43" s="35">
        <f t="shared" si="6"/>
        <v>0</v>
      </c>
      <c r="Y43" s="35">
        <f t="shared" si="6"/>
        <v>0</v>
      </c>
      <c r="Z43" s="35">
        <f t="shared" si="6"/>
        <v>0</v>
      </c>
      <c r="AA43" s="35">
        <f t="shared" si="6"/>
        <v>0</v>
      </c>
      <c r="AB43" s="35">
        <f t="shared" si="6"/>
        <v>0</v>
      </c>
      <c r="AC43" s="35">
        <f t="shared" si="6"/>
        <v>-8.6999999999999993</v>
      </c>
      <c r="AD43" s="35">
        <f t="shared" si="6"/>
        <v>-8.6999999999999993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">
      <c r="A45" s="32"/>
      <c r="B45" s="22"/>
      <c r="C45" s="34"/>
      <c r="D45" s="34"/>
      <c r="E45" s="3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22" workbookViewId="0">
      <selection activeCell="C31" sqref="C3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'NNG-Dec'!A2</f>
        <v>DECEMBER,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'NNG-Dec'!A3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'NNG-Dec'!F7</f>
        <v>0</v>
      </c>
      <c r="G7" s="48">
        <f>'NNG-Dec'!G7</f>
        <v>0</v>
      </c>
      <c r="H7" s="48">
        <f>'NNG-Dec'!H7</f>
        <v>0</v>
      </c>
      <c r="I7" s="48">
        <f>'NNG-Dec'!I7</f>
        <v>0</v>
      </c>
      <c r="J7" s="48">
        <f>'NNG-Dec'!J7</f>
        <v>0</v>
      </c>
      <c r="K7" s="48">
        <f>'NNG-Dec'!K7</f>
        <v>0</v>
      </c>
      <c r="L7" s="48">
        <f>'NNG-Dec'!L7</f>
        <v>0</v>
      </c>
      <c r="M7" s="48">
        <f>'NNG-Dec'!M7</f>
        <v>0</v>
      </c>
      <c r="N7" s="48">
        <f>'NNG-Dec'!N7</f>
        <v>0</v>
      </c>
      <c r="O7" s="48">
        <f>'NNG-Dec'!O7</f>
        <v>0</v>
      </c>
      <c r="P7" s="48">
        <f>'NNG-Dec'!P7</f>
        <v>0</v>
      </c>
      <c r="Q7" s="48">
        <f>'NNG-Dec'!Q7</f>
        <v>0</v>
      </c>
      <c r="R7" s="48">
        <f>'NNG-Dec'!R7</f>
        <v>0</v>
      </c>
      <c r="S7" s="48">
        <f>'NNG-Dec'!S7</f>
        <v>0</v>
      </c>
      <c r="T7" s="48">
        <f>'NNG-Dec'!T7</f>
        <v>0</v>
      </c>
      <c r="U7" s="48">
        <f>'NNG-Dec'!U7</f>
        <v>0</v>
      </c>
      <c r="V7" s="48">
        <f>'NNG-Dec'!V7</f>
        <v>0</v>
      </c>
      <c r="W7" s="48">
        <f>'NNG-Dec'!W7</f>
        <v>0</v>
      </c>
      <c r="X7" s="48" t="str">
        <f>'NNG-Dec'!X7</f>
        <v>B.C.</v>
      </c>
      <c r="Y7" s="48">
        <f>'NNG-Dec'!Y7</f>
        <v>0</v>
      </c>
      <c r="Z7" s="48">
        <f>'NNG-Dec'!Z7</f>
        <v>0</v>
      </c>
      <c r="AA7" s="48">
        <f>'NNG-Dec'!AA7</f>
        <v>0</v>
      </c>
      <c r="AB7" s="48">
        <f>'NNG-Dec'!AB7</f>
        <v>0</v>
      </c>
      <c r="AC7" s="48"/>
      <c r="AD7" s="48" t="str">
        <f>'NNG-Dec'!AD7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'NNG-Dec'!F8</f>
        <v>Day</v>
      </c>
      <c r="G8" s="48" t="str">
        <f>'NNG-Dec'!G8</f>
        <v>Day</v>
      </c>
      <c r="H8" s="48" t="str">
        <f>'NNG-Dec'!H8</f>
        <v>Mon</v>
      </c>
      <c r="I8" s="48" t="str">
        <f>'NNG-Dec'!I8</f>
        <v>Tue</v>
      </c>
      <c r="J8" s="48" t="str">
        <f>'NNG-Dec'!J8</f>
        <v>Wed</v>
      </c>
      <c r="K8" s="48" t="str">
        <f>'NNG-Dec'!K8</f>
        <v>Thu</v>
      </c>
      <c r="L8" s="48" t="str">
        <f>'NNG-Dec'!L8</f>
        <v>Fri</v>
      </c>
      <c r="M8" s="48" t="str">
        <f>'NNG-Dec'!M8</f>
        <v>Mon</v>
      </c>
      <c r="N8" s="48" t="str">
        <f>'NNG-Dec'!N8</f>
        <v>Tue</v>
      </c>
      <c r="O8" s="48" t="str">
        <f>'NNG-Dec'!O8</f>
        <v>Wed</v>
      </c>
      <c r="P8" s="48" t="str">
        <f>'NNG-Dec'!P8</f>
        <v>Thu</v>
      </c>
      <c r="Q8" s="48" t="str">
        <f>'NNG-Dec'!Q8</f>
        <v>Fri</v>
      </c>
      <c r="R8" s="48" t="str">
        <f>'NNG-Dec'!R8</f>
        <v>Mon</v>
      </c>
      <c r="S8" s="48" t="str">
        <f>'NNG-Dec'!S8</f>
        <v>Tue</v>
      </c>
      <c r="T8" s="48" t="str">
        <f>'NNG-Dec'!T8</f>
        <v>Wed</v>
      </c>
      <c r="U8" s="48" t="str">
        <f>'NNG-Dec'!U8</f>
        <v>Thu</v>
      </c>
      <c r="V8" s="48" t="str">
        <f>'NNG-Dec'!V8</f>
        <v>Fri</v>
      </c>
      <c r="W8" s="48" t="str">
        <f>'NNG-Dec'!W8</f>
        <v>Mon</v>
      </c>
      <c r="X8" s="48" t="str">
        <f>'NNG-Dec'!X8</f>
        <v>Tue</v>
      </c>
      <c r="Y8" s="48" t="str">
        <f>'NNG-Dec'!Y8</f>
        <v>Wed</v>
      </c>
      <c r="Z8" s="48" t="str">
        <f>'NNG-Dec'!Z8</f>
        <v>Thu</v>
      </c>
      <c r="AA8" s="48" t="str">
        <f>'NNG-Dec'!AA8</f>
        <v>Fri</v>
      </c>
      <c r="AB8" s="48" t="str">
        <f>'NNG-Dec'!AB8</f>
        <v>Mon</v>
      </c>
      <c r="AC8" s="48" t="str">
        <f>'NNG-Dec'!AC8</f>
        <v>DEC.</v>
      </c>
      <c r="AD8" s="48" t="str">
        <f>'NNG-Dec'!AD8</f>
        <v>12/1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'NNG-Dec'!F9</f>
        <v>0/0</v>
      </c>
      <c r="G9" s="49" t="str">
        <f>'NNG-Dec'!G9</f>
        <v>0/0</v>
      </c>
      <c r="H9" s="49" t="str">
        <f>'NNG-Dec'!H9</f>
        <v>12/3</v>
      </c>
      <c r="I9" s="49" t="str">
        <f>'NNG-Dec'!I9</f>
        <v>12/4</v>
      </c>
      <c r="J9" s="49" t="str">
        <f>'NNG-Dec'!J9</f>
        <v>12/5</v>
      </c>
      <c r="K9" s="49" t="str">
        <f>'NNG-Dec'!K9</f>
        <v>12/6</v>
      </c>
      <c r="L9" s="49" t="str">
        <f>'NNG-Dec'!L9</f>
        <v>12/7</v>
      </c>
      <c r="M9" s="49" t="str">
        <f>'NNG-Dec'!M9</f>
        <v>12/10</v>
      </c>
      <c r="N9" s="49" t="str">
        <f>'NNG-Dec'!N9</f>
        <v>12/11</v>
      </c>
      <c r="O9" s="49" t="str">
        <f>'NNG-Dec'!O9</f>
        <v>12/12</v>
      </c>
      <c r="P9" s="49" t="str">
        <f>'NNG-Dec'!P9</f>
        <v>12/13</v>
      </c>
      <c r="Q9" s="49" t="str">
        <f>'NNG-Dec'!Q9</f>
        <v>12/14</v>
      </c>
      <c r="R9" s="49" t="str">
        <f>'NNG-Dec'!R9</f>
        <v>12/17</v>
      </c>
      <c r="S9" s="49" t="str">
        <f>'NNG-Dec'!S9</f>
        <v>12/18</v>
      </c>
      <c r="T9" s="49" t="str">
        <f>'NNG-Dec'!T9</f>
        <v>12/19</v>
      </c>
      <c r="U9" s="49" t="str">
        <f>'NNG-Dec'!U9</f>
        <v>12/20</v>
      </c>
      <c r="V9" s="49" t="str">
        <f>'NNG-Dec'!V9</f>
        <v>12/21</v>
      </c>
      <c r="W9" s="49" t="str">
        <f>'NNG-Dec'!W9</f>
        <v>12/24</v>
      </c>
      <c r="X9" s="49" t="str">
        <f>'NNG-Dec'!X9</f>
        <v>12/25</v>
      </c>
      <c r="Y9" s="49" t="str">
        <f>'NNG-Dec'!Y9</f>
        <v>12/26</v>
      </c>
      <c r="Z9" s="49" t="str">
        <f>'NNG-Dec'!Z9</f>
        <v>12/27</v>
      </c>
      <c r="AA9" s="49" t="str">
        <f>'NNG-Dec'!AA9</f>
        <v>12/28</v>
      </c>
      <c r="AB9" s="49" t="str">
        <f>'NNG-Dec'!AB9</f>
        <v>12/31</v>
      </c>
      <c r="AC9" s="49" t="str">
        <f>'NNG-Dec'!AC9</f>
        <v>TOTAL</v>
      </c>
      <c r="AD9" s="49" t="str">
        <f>'NNG-Dec'!AD9</f>
        <v>12/13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55" t="s">
        <v>40</v>
      </c>
      <c r="Y11" s="10">
        <v>0</v>
      </c>
      <c r="Z11" s="10">
        <v>0</v>
      </c>
      <c r="AA11" s="10">
        <v>0</v>
      </c>
      <c r="AB11" s="26">
        <f t="shared" ref="AB11:AB20" si="0">AC11-SUM(F11:AA11)</f>
        <v>0</v>
      </c>
      <c r="AC11" s="10">
        <v>0</v>
      </c>
      <c r="AD11" s="36">
        <f>SUM(F11:Q11)</f>
        <v>0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55" t="s">
        <v>40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SUM(F12:Q12)</f>
        <v>0</v>
      </c>
      <c r="AE12" s="3"/>
    </row>
    <row r="13" spans="1:31" ht="15" customHeight="1" x14ac:dyDescent="0.2">
      <c r="A13" s="19"/>
      <c r="B13" s="21"/>
      <c r="C13" s="21" t="s">
        <v>406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55" t="s">
        <v>40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</v>
      </c>
      <c r="AD13" s="36">
        <f t="shared" si="1"/>
        <v>0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55" t="s">
        <v>40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36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55" t="s">
        <v>40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55" t="s">
        <v>40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17" t="s">
        <v>74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55" t="s">
        <v>40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55" t="s">
        <v>40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55" t="s">
        <v>40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56" t="s">
        <v>40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3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0</v>
      </c>
      <c r="Q22" s="11">
        <f t="shared" si="2"/>
        <v>0</v>
      </c>
      <c r="R22" s="11">
        <f t="shared" si="2"/>
        <v>0</v>
      </c>
      <c r="S22" s="11">
        <f t="shared" si="2"/>
        <v>0</v>
      </c>
      <c r="T22" s="11">
        <f t="shared" si="2"/>
        <v>0</v>
      </c>
      <c r="U22" s="11">
        <f t="shared" si="2"/>
        <v>0</v>
      </c>
      <c r="V22" s="11">
        <f t="shared" si="2"/>
        <v>0</v>
      </c>
      <c r="W22" s="11">
        <f t="shared" si="2"/>
        <v>0</v>
      </c>
      <c r="X22" s="11">
        <f t="shared" si="2"/>
        <v>0</v>
      </c>
      <c r="Y22" s="11">
        <f t="shared" si="2"/>
        <v>0</v>
      </c>
      <c r="Z22" s="11">
        <f t="shared" si="2"/>
        <v>0</v>
      </c>
      <c r="AA22" s="11">
        <f t="shared" si="2"/>
        <v>0</v>
      </c>
      <c r="AB22" s="11">
        <f t="shared" si="2"/>
        <v>0</v>
      </c>
      <c r="AC22" s="11">
        <f t="shared" si="2"/>
        <v>0</v>
      </c>
      <c r="AD22" s="11">
        <f t="shared" si="2"/>
        <v>0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55" t="s">
        <v>40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SUM(F25:Q25)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55" t="s">
        <v>40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10">
        <v>0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55" t="s">
        <v>40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55" t="s">
        <v>40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55" t="s">
        <v>40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55" t="s">
        <v>40</v>
      </c>
      <c r="Y30" s="10">
        <v>0</v>
      </c>
      <c r="Z30" s="10">
        <v>0</v>
      </c>
      <c r="AA30" s="10">
        <v>0</v>
      </c>
      <c r="AB30" s="26">
        <f t="shared" si="3"/>
        <v>0</v>
      </c>
      <c r="AC30" s="10">
        <v>0</v>
      </c>
      <c r="AD30" s="36">
        <f t="shared" si="4"/>
        <v>0</v>
      </c>
      <c r="AE30" s="3"/>
    </row>
    <row r="31" spans="1:31" ht="15" customHeight="1" x14ac:dyDescent="0.2">
      <c r="A31" s="19"/>
      <c r="B31" s="17"/>
      <c r="C31" s="21" t="s">
        <v>252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55" t="s">
        <v>40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55" t="s">
        <v>40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55" t="s">
        <v>40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36">
        <f t="shared" si="4"/>
        <v>0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55" t="s">
        <v>40</v>
      </c>
      <c r="Y34" s="10">
        <v>0</v>
      </c>
      <c r="Z34" s="10">
        <v>0</v>
      </c>
      <c r="AA34" s="10">
        <v>0</v>
      </c>
      <c r="AB34" s="26">
        <f t="shared" si="3"/>
        <v>0</v>
      </c>
      <c r="AC34" s="10">
        <v>0</v>
      </c>
      <c r="AD34" s="36">
        <f t="shared" si="4"/>
        <v>0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55" t="s">
        <v>40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318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55" t="s">
        <v>40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">
      <c r="A37" s="19"/>
      <c r="B37" s="21" t="s">
        <v>74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55" t="s">
        <v>40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36">
        <f t="shared" si="4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55" t="s">
        <v>40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56" t="s">
        <v>40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</v>
      </c>
      <c r="I41" s="11">
        <f t="shared" si="5"/>
        <v>0</v>
      </c>
      <c r="J41" s="11">
        <f t="shared" si="5"/>
        <v>0</v>
      </c>
      <c r="K41" s="11">
        <f t="shared" si="5"/>
        <v>0</v>
      </c>
      <c r="L41" s="11">
        <f t="shared" si="5"/>
        <v>0</v>
      </c>
      <c r="M41" s="11">
        <f t="shared" si="5"/>
        <v>0</v>
      </c>
      <c r="N41" s="11">
        <f t="shared" si="5"/>
        <v>0</v>
      </c>
      <c r="O41" s="11">
        <f t="shared" si="5"/>
        <v>0</v>
      </c>
      <c r="P41" s="11">
        <f t="shared" si="5"/>
        <v>0</v>
      </c>
      <c r="Q41" s="11">
        <f t="shared" si="5"/>
        <v>0</v>
      </c>
      <c r="R41" s="11">
        <f t="shared" si="5"/>
        <v>0</v>
      </c>
      <c r="S41" s="11">
        <f t="shared" si="5"/>
        <v>0</v>
      </c>
      <c r="T41" s="11">
        <f t="shared" si="5"/>
        <v>0</v>
      </c>
      <c r="U41" s="11">
        <f t="shared" si="5"/>
        <v>0</v>
      </c>
      <c r="V41" s="11">
        <f t="shared" si="5"/>
        <v>0</v>
      </c>
      <c r="W41" s="11">
        <f t="shared" si="5"/>
        <v>0</v>
      </c>
      <c r="X41" s="11">
        <f t="shared" si="5"/>
        <v>0</v>
      </c>
      <c r="Y41" s="11">
        <f t="shared" si="5"/>
        <v>0</v>
      </c>
      <c r="Z41" s="11">
        <f t="shared" si="5"/>
        <v>0</v>
      </c>
      <c r="AA41" s="11">
        <f t="shared" si="5"/>
        <v>0</v>
      </c>
      <c r="AB41" s="11">
        <f t="shared" si="5"/>
        <v>0</v>
      </c>
      <c r="AC41" s="11">
        <f t="shared" si="5"/>
        <v>0</v>
      </c>
      <c r="AD41" s="11">
        <f t="shared" si="5"/>
        <v>0</v>
      </c>
      <c r="AE41" s="3"/>
    </row>
    <row r="42" spans="1:31" ht="15" customHeight="1" x14ac:dyDescent="0.2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0</v>
      </c>
      <c r="I43" s="35">
        <f t="shared" si="6"/>
        <v>0</v>
      </c>
      <c r="J43" s="35">
        <f t="shared" si="6"/>
        <v>0</v>
      </c>
      <c r="K43" s="35">
        <f t="shared" si="6"/>
        <v>0</v>
      </c>
      <c r="L43" s="35">
        <f t="shared" si="6"/>
        <v>0</v>
      </c>
      <c r="M43" s="35">
        <f t="shared" si="6"/>
        <v>0</v>
      </c>
      <c r="N43" s="35">
        <f t="shared" si="6"/>
        <v>0</v>
      </c>
      <c r="O43" s="35">
        <f t="shared" si="6"/>
        <v>0</v>
      </c>
      <c r="P43" s="35">
        <f t="shared" si="6"/>
        <v>0</v>
      </c>
      <c r="Q43" s="35">
        <f t="shared" si="6"/>
        <v>0</v>
      </c>
      <c r="R43" s="35">
        <f t="shared" si="6"/>
        <v>0</v>
      </c>
      <c r="S43" s="35">
        <f t="shared" si="6"/>
        <v>0</v>
      </c>
      <c r="T43" s="35">
        <f t="shared" si="6"/>
        <v>0</v>
      </c>
      <c r="U43" s="35">
        <f t="shared" si="6"/>
        <v>0</v>
      </c>
      <c r="V43" s="35">
        <f t="shared" si="6"/>
        <v>0</v>
      </c>
      <c r="W43" s="35">
        <f t="shared" si="6"/>
        <v>0</v>
      </c>
      <c r="X43" s="35">
        <f t="shared" si="6"/>
        <v>0</v>
      </c>
      <c r="Y43" s="35">
        <f t="shared" si="6"/>
        <v>0</v>
      </c>
      <c r="Z43" s="35">
        <f t="shared" si="6"/>
        <v>0</v>
      </c>
      <c r="AA43" s="35">
        <f t="shared" si="6"/>
        <v>0</v>
      </c>
      <c r="AB43" s="35">
        <f t="shared" si="6"/>
        <v>0</v>
      </c>
      <c r="AC43" s="35">
        <f t="shared" si="6"/>
        <v>0</v>
      </c>
      <c r="AD43" s="35">
        <f t="shared" si="6"/>
        <v>0</v>
      </c>
      <c r="AE43" s="3"/>
    </row>
    <row r="44" spans="1:31" ht="12.75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">
      <c r="B48" s="22" t="s">
        <v>255</v>
      </c>
      <c r="C48" s="34"/>
      <c r="D48" s="34"/>
      <c r="E48" s="34"/>
      <c r="F48" s="75">
        <f>'NNG-Dec'!F43</f>
        <v>0</v>
      </c>
      <c r="G48" s="75">
        <f>'NNG-Dec'!G43</f>
        <v>0</v>
      </c>
      <c r="H48" s="75">
        <f>'NNG-Dec'!H43</f>
        <v>-8.6999999999999993</v>
      </c>
      <c r="I48" s="75">
        <f>'NNG-Dec'!I43</f>
        <v>0</v>
      </c>
      <c r="J48" s="75">
        <f>'NNG-Dec'!J43</f>
        <v>0</v>
      </c>
      <c r="K48" s="75">
        <f>'NNG-Dec'!K43</f>
        <v>0</v>
      </c>
      <c r="L48" s="75">
        <f>'NNG-Dec'!L43</f>
        <v>0</v>
      </c>
      <c r="M48" s="75">
        <f>'NNG-Dec'!M43</f>
        <v>0</v>
      </c>
      <c r="N48" s="75">
        <f>'NNG-Dec'!N43</f>
        <v>0</v>
      </c>
      <c r="O48" s="75">
        <f>'NNG-Dec'!O43</f>
        <v>0</v>
      </c>
      <c r="P48" s="75">
        <f>'NNG-Dec'!P43</f>
        <v>0</v>
      </c>
      <c r="Q48" s="75">
        <f>'NNG-Dec'!Q43</f>
        <v>0</v>
      </c>
      <c r="R48" s="75">
        <f>'NNG-Dec'!R43</f>
        <v>0</v>
      </c>
      <c r="S48" s="75">
        <f>'NNG-Dec'!S43</f>
        <v>0</v>
      </c>
      <c r="T48" s="75">
        <f>'NNG-Dec'!T43</f>
        <v>0</v>
      </c>
      <c r="U48" s="75">
        <f>'NNG-Dec'!U43</f>
        <v>0</v>
      </c>
      <c r="V48" s="75">
        <f>'NNG-Dec'!V43</f>
        <v>0</v>
      </c>
      <c r="W48" s="75">
        <f>'NNG-Dec'!W43</f>
        <v>0</v>
      </c>
      <c r="X48" s="75">
        <f>'NNG-Dec'!X43</f>
        <v>0</v>
      </c>
      <c r="Y48" s="75">
        <f>'NNG-Dec'!Y43</f>
        <v>0</v>
      </c>
      <c r="Z48" s="75">
        <f>'NNG-Dec'!Z43</f>
        <v>0</v>
      </c>
      <c r="AA48" s="75">
        <f>'NNG-Dec'!AA43</f>
        <v>0</v>
      </c>
      <c r="AB48" s="75">
        <f>'NNG-Dec'!AB43</f>
        <v>0</v>
      </c>
      <c r="AC48" s="75">
        <f>'NNG-Dec'!AC43</f>
        <v>-8.6999999999999993</v>
      </c>
      <c r="AD48" s="75">
        <f>'NNG-Dec'!AD43</f>
        <v>-8.6999999999999993</v>
      </c>
      <c r="AE48" s="3"/>
    </row>
    <row r="49" spans="1:31" ht="15" customHeight="1" x14ac:dyDescent="0.2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0</v>
      </c>
      <c r="H49" s="75">
        <f t="shared" si="7"/>
        <v>0</v>
      </c>
      <c r="I49" s="75">
        <f t="shared" si="7"/>
        <v>0</v>
      </c>
      <c r="J49" s="75">
        <f t="shared" si="7"/>
        <v>0</v>
      </c>
      <c r="K49" s="75">
        <f t="shared" si="7"/>
        <v>0</v>
      </c>
      <c r="L49" s="75">
        <f t="shared" si="7"/>
        <v>0</v>
      </c>
      <c r="M49" s="75">
        <f t="shared" si="7"/>
        <v>0</v>
      </c>
      <c r="N49" s="75">
        <f t="shared" si="7"/>
        <v>0</v>
      </c>
      <c r="O49" s="75">
        <f t="shared" si="7"/>
        <v>0</v>
      </c>
      <c r="P49" s="75">
        <f t="shared" si="7"/>
        <v>0</v>
      </c>
      <c r="Q49" s="75">
        <f t="shared" si="7"/>
        <v>0</v>
      </c>
      <c r="R49" s="75">
        <f t="shared" si="7"/>
        <v>0</v>
      </c>
      <c r="S49" s="75">
        <f t="shared" si="7"/>
        <v>0</v>
      </c>
      <c r="T49" s="75">
        <f t="shared" si="7"/>
        <v>0</v>
      </c>
      <c r="U49" s="75">
        <f t="shared" si="7"/>
        <v>0</v>
      </c>
      <c r="V49" s="75">
        <f t="shared" si="7"/>
        <v>0</v>
      </c>
      <c r="W49" s="75">
        <f t="shared" si="7"/>
        <v>0</v>
      </c>
      <c r="X49" s="75">
        <f t="shared" si="7"/>
        <v>0</v>
      </c>
      <c r="Y49" s="75">
        <f t="shared" si="7"/>
        <v>0</v>
      </c>
      <c r="Z49" s="75">
        <f t="shared" si="7"/>
        <v>0</v>
      </c>
      <c r="AA49" s="75">
        <f t="shared" si="7"/>
        <v>0</v>
      </c>
      <c r="AB49" s="75">
        <f t="shared" si="7"/>
        <v>0</v>
      </c>
      <c r="AC49" s="75">
        <f t="shared" si="7"/>
        <v>0</v>
      </c>
      <c r="AD49" s="75">
        <f t="shared" si="7"/>
        <v>0</v>
      </c>
      <c r="AE49" s="3"/>
    </row>
    <row r="50" spans="1:31" ht="15" customHeight="1" x14ac:dyDescent="0.2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0</v>
      </c>
      <c r="H50" s="77">
        <f t="shared" si="8"/>
        <v>8.6999999999999993</v>
      </c>
      <c r="I50" s="77">
        <f t="shared" si="8"/>
        <v>0</v>
      </c>
      <c r="J50" s="77">
        <f t="shared" si="8"/>
        <v>0</v>
      </c>
      <c r="K50" s="77">
        <f t="shared" si="8"/>
        <v>0</v>
      </c>
      <c r="L50" s="77">
        <f t="shared" si="8"/>
        <v>0</v>
      </c>
      <c r="M50" s="77">
        <f t="shared" si="8"/>
        <v>0</v>
      </c>
      <c r="N50" s="77">
        <f t="shared" si="8"/>
        <v>0</v>
      </c>
      <c r="O50" s="77">
        <f t="shared" si="8"/>
        <v>0</v>
      </c>
      <c r="P50" s="77">
        <f t="shared" si="8"/>
        <v>0</v>
      </c>
      <c r="Q50" s="77">
        <f t="shared" si="8"/>
        <v>0</v>
      </c>
      <c r="R50" s="77">
        <f t="shared" si="8"/>
        <v>0</v>
      </c>
      <c r="S50" s="77">
        <f t="shared" si="8"/>
        <v>0</v>
      </c>
      <c r="T50" s="77">
        <f t="shared" si="8"/>
        <v>0</v>
      </c>
      <c r="U50" s="77">
        <f t="shared" si="8"/>
        <v>0</v>
      </c>
      <c r="V50" s="77">
        <f t="shared" si="8"/>
        <v>0</v>
      </c>
      <c r="W50" s="77">
        <f t="shared" si="8"/>
        <v>0</v>
      </c>
      <c r="X50" s="77">
        <f t="shared" si="8"/>
        <v>0</v>
      </c>
      <c r="Y50" s="77">
        <f t="shared" si="8"/>
        <v>0</v>
      </c>
      <c r="Z50" s="77">
        <f t="shared" si="8"/>
        <v>0</v>
      </c>
      <c r="AA50" s="77">
        <f t="shared" si="8"/>
        <v>0</v>
      </c>
      <c r="AB50" s="77">
        <f t="shared" si="8"/>
        <v>0</v>
      </c>
      <c r="AC50" s="80">
        <f>SUM(F50:AB50)</f>
        <v>8.6999999999999993</v>
      </c>
      <c r="AD50" s="78">
        <f>SUM(F50:Z50)</f>
        <v>8.6999999999999993</v>
      </c>
      <c r="AE50" s="3"/>
    </row>
    <row r="51" spans="1:31" ht="6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">
      <c r="A52" s="32"/>
      <c r="B52" s="33"/>
      <c r="C52" s="46" t="s">
        <v>258</v>
      </c>
      <c r="D52" s="34"/>
      <c r="E52" s="34"/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0</v>
      </c>
      <c r="Z52" s="76">
        <v>0</v>
      </c>
      <c r="AA52" s="76">
        <v>0</v>
      </c>
      <c r="AB52" s="76">
        <v>0</v>
      </c>
      <c r="AC52" s="79">
        <f>SUM(AC48:AC50)</f>
        <v>0</v>
      </c>
      <c r="AD52" s="79">
        <f>SUM(AD48:AD50)</f>
        <v>0</v>
      </c>
      <c r="AE52" s="3"/>
    </row>
    <row r="53" spans="1:31" ht="12" customHeight="1" x14ac:dyDescent="0.2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">
      <c r="AD60" s="1"/>
    </row>
    <row r="61" spans="1:31" x14ac:dyDescent="0.2">
      <c r="AD61" s="1"/>
    </row>
    <row r="62" spans="1:31" ht="12" customHeight="1" x14ac:dyDescent="0.2">
      <c r="B62" s="2"/>
      <c r="C62" s="2"/>
    </row>
    <row r="63" spans="1:31" ht="12" customHeight="1" x14ac:dyDescent="0.2">
      <c r="C63" s="2"/>
    </row>
    <row r="64" spans="1:31" ht="12" customHeight="1" x14ac:dyDescent="0.2">
      <c r="C64" s="2"/>
    </row>
    <row r="65" spans="2:3" ht="12" customHeight="1" x14ac:dyDescent="0.2"/>
    <row r="68" spans="2:3" ht="12" customHeight="1" x14ac:dyDescent="0.2">
      <c r="B68" s="2"/>
      <c r="C68" s="2"/>
    </row>
    <row r="69" spans="2:3" ht="12" customHeight="1" x14ac:dyDescent="0.2">
      <c r="C69" s="2"/>
    </row>
    <row r="70" spans="2:3" ht="12" customHeight="1" x14ac:dyDescent="0.2">
      <c r="C70" s="2"/>
    </row>
    <row r="71" spans="2:3" ht="12" customHeight="1" x14ac:dyDescent="0.2">
      <c r="C71" s="2"/>
    </row>
    <row r="72" spans="2:3" x14ac:dyDescent="0.2">
      <c r="C72" s="2"/>
    </row>
    <row r="73" spans="2:3" x14ac:dyDescent="0.2">
      <c r="C73" s="2"/>
    </row>
    <row r="74" spans="2:3" ht="12" customHeight="1" x14ac:dyDescent="0.2">
      <c r="C74" s="2"/>
    </row>
    <row r="75" spans="2:3" ht="12" customHeight="1" x14ac:dyDescent="0.2"/>
    <row r="76" spans="2:3" ht="12" customHeight="1" x14ac:dyDescent="0.2"/>
    <row r="77" spans="2:3" ht="12" customHeight="1" x14ac:dyDescent="0.2"/>
    <row r="78" spans="2:3" ht="12" customHeight="1" x14ac:dyDescent="0.2"/>
    <row r="79" spans="2:3" ht="12" customHeight="1" x14ac:dyDescent="0.2"/>
    <row r="80" spans="2:3" ht="12" customHeight="1" x14ac:dyDescent="0.2"/>
    <row r="81" ht="12" customHeight="1" x14ac:dyDescent="0.2"/>
    <row r="82" ht="12" customHeight="1" x14ac:dyDescent="0.2"/>
    <row r="83" ht="12" customHeight="1" x14ac:dyDescent="0.2"/>
    <row r="84" ht="3.95" customHeight="1" x14ac:dyDescent="0.2"/>
    <row r="85" ht="12" customHeight="1" x14ac:dyDescent="0.2"/>
    <row r="86" ht="3.95" customHeight="1" x14ac:dyDescent="0.2"/>
    <row r="87" ht="12" customHeight="1" x14ac:dyDescent="0.2"/>
    <row r="88" ht="12" customHeight="1" x14ac:dyDescent="0.2"/>
    <row r="90" ht="12" customHeight="1" x14ac:dyDescent="0.2"/>
    <row r="93" ht="12" customHeight="1" x14ac:dyDescent="0.2"/>
    <row r="96" ht="12" customHeight="1" x14ac:dyDescent="0.2"/>
    <row r="97" ht="12" customHeight="1" x14ac:dyDescent="0.2"/>
    <row r="99" ht="12" customHeight="1" x14ac:dyDescent="0.2"/>
    <row r="101" ht="12" customHeight="1" x14ac:dyDescent="0.2"/>
    <row r="102" ht="12" customHeight="1" x14ac:dyDescent="0.2"/>
    <row r="103" ht="12" customHeight="1" x14ac:dyDescent="0.2"/>
    <row r="105" ht="12" customHeight="1" x14ac:dyDescent="0.2"/>
    <row r="109" ht="12" customHeight="1" x14ac:dyDescent="0.2"/>
    <row r="110" ht="3.95" customHeight="1" x14ac:dyDescent="0.2"/>
    <row r="112" ht="6" customHeight="1" x14ac:dyDescent="0.2"/>
    <row r="114" ht="6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3.95" customHeight="1" x14ac:dyDescent="0.2"/>
    <row r="122" ht="6" customHeight="1" x14ac:dyDescent="0.2"/>
    <row r="125" ht="6" customHeight="1" x14ac:dyDescent="0.2"/>
    <row r="128" ht="6" customHeight="1" x14ac:dyDescent="0.2"/>
    <row r="131" ht="6" customHeight="1" x14ac:dyDescent="0.2"/>
    <row r="135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82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3"/>
      <c r="G7" s="54"/>
      <c r="H7" s="63"/>
      <c r="I7" s="63" t="s">
        <v>4</v>
      </c>
      <c r="J7" s="63" t="s">
        <v>4</v>
      </c>
      <c r="K7" s="63" t="s">
        <v>4</v>
      </c>
      <c r="L7" s="63" t="s">
        <v>4</v>
      </c>
      <c r="M7" s="63" t="s">
        <v>4</v>
      </c>
      <c r="N7" s="63" t="s">
        <v>4</v>
      </c>
      <c r="O7" s="63" t="s">
        <v>4</v>
      </c>
      <c r="P7" s="63" t="s">
        <v>4</v>
      </c>
      <c r="Q7" s="63" t="s">
        <v>4</v>
      </c>
      <c r="R7" s="63" t="s">
        <v>4</v>
      </c>
      <c r="S7" s="63" t="s">
        <v>4</v>
      </c>
      <c r="T7" s="63" t="s">
        <v>4</v>
      </c>
      <c r="U7" s="63" t="s">
        <v>3</v>
      </c>
      <c r="V7" s="63" t="s">
        <v>4</v>
      </c>
      <c r="W7" s="63" t="s">
        <v>4</v>
      </c>
      <c r="X7" s="63" t="s">
        <v>4</v>
      </c>
      <c r="Y7" s="63" t="s">
        <v>4</v>
      </c>
      <c r="Z7" s="63" t="s">
        <v>4</v>
      </c>
      <c r="AA7" s="63" t="s">
        <v>4</v>
      </c>
      <c r="AB7" s="63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83</v>
      </c>
      <c r="I8" s="15" t="s">
        <v>9</v>
      </c>
      <c r="J8" s="15" t="s">
        <v>10</v>
      </c>
      <c r="K8" s="15" t="s">
        <v>6</v>
      </c>
      <c r="L8" s="15" t="s">
        <v>7</v>
      </c>
      <c r="M8" s="15" t="s">
        <v>8</v>
      </c>
      <c r="N8" s="15" t="s">
        <v>9</v>
      </c>
      <c r="O8" s="15" t="s">
        <v>10</v>
      </c>
      <c r="P8" s="15" t="s">
        <v>6</v>
      </c>
      <c r="Q8" s="15" t="s">
        <v>7</v>
      </c>
      <c r="R8" s="15" t="s">
        <v>8</v>
      </c>
      <c r="S8" s="15" t="s">
        <v>9</v>
      </c>
      <c r="T8" s="15" t="s">
        <v>10</v>
      </c>
      <c r="U8" s="15" t="s">
        <v>6</v>
      </c>
      <c r="V8" s="15" t="s">
        <v>7</v>
      </c>
      <c r="W8" s="15" t="s">
        <v>8</v>
      </c>
      <c r="X8" s="15" t="s">
        <v>9</v>
      </c>
      <c r="Y8" s="15" t="s">
        <v>10</v>
      </c>
      <c r="Z8" s="15" t="s">
        <v>6</v>
      </c>
      <c r="AA8" s="15" t="s">
        <v>7</v>
      </c>
      <c r="AB8" s="15" t="s">
        <v>8</v>
      </c>
      <c r="AC8" s="30" t="s">
        <v>84</v>
      </c>
      <c r="AD8" s="31" t="s">
        <v>85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86</v>
      </c>
      <c r="H9" s="53" t="s">
        <v>86</v>
      </c>
      <c r="I9" s="53" t="s">
        <v>87</v>
      </c>
      <c r="J9" s="53" t="s">
        <v>88</v>
      </c>
      <c r="K9" s="57" t="s">
        <v>89</v>
      </c>
      <c r="L9" s="57" t="s">
        <v>90</v>
      </c>
      <c r="M9" s="57" t="s">
        <v>91</v>
      </c>
      <c r="N9" s="53" t="s">
        <v>92</v>
      </c>
      <c r="O9" s="57" t="s">
        <v>93</v>
      </c>
      <c r="P9" s="57" t="s">
        <v>94</v>
      </c>
      <c r="Q9" s="57" t="s">
        <v>95</v>
      </c>
      <c r="R9" s="57" t="s">
        <v>96</v>
      </c>
      <c r="S9" s="53" t="s">
        <v>97</v>
      </c>
      <c r="T9" s="57" t="s">
        <v>98</v>
      </c>
      <c r="U9" s="57" t="s">
        <v>99</v>
      </c>
      <c r="V9" s="57" t="s">
        <v>100</v>
      </c>
      <c r="W9" s="53" t="s">
        <v>101</v>
      </c>
      <c r="X9" s="53" t="s">
        <v>102</v>
      </c>
      <c r="Y9" s="57" t="s">
        <v>103</v>
      </c>
      <c r="Z9" s="57" t="s">
        <v>104</v>
      </c>
      <c r="AA9" s="57" t="s">
        <v>105</v>
      </c>
      <c r="AB9" s="57" t="s">
        <v>106</v>
      </c>
      <c r="AC9" s="16" t="s">
        <v>36</v>
      </c>
      <c r="AD9" s="52" t="s">
        <v>105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55" t="s">
        <v>40</v>
      </c>
      <c r="I11" s="10">
        <v>0.1</v>
      </c>
      <c r="J11" s="10">
        <v>0</v>
      </c>
      <c r="K11" s="10">
        <v>0</v>
      </c>
      <c r="L11" s="10">
        <v>0.1</v>
      </c>
      <c r="M11" s="10">
        <v>0.2</v>
      </c>
      <c r="N11" s="10">
        <v>0</v>
      </c>
      <c r="O11" s="10">
        <v>0.5</v>
      </c>
      <c r="P11" s="67">
        <v>47.8</v>
      </c>
      <c r="Q11" s="10">
        <v>1.4</v>
      </c>
      <c r="R11" s="10">
        <v>0.2</v>
      </c>
      <c r="S11" s="10">
        <v>0.2</v>
      </c>
      <c r="T11" s="67">
        <v>-0.7</v>
      </c>
      <c r="U11" s="55" t="s">
        <v>40</v>
      </c>
      <c r="V11" s="10">
        <v>0.3</v>
      </c>
      <c r="W11" s="10">
        <v>0.3</v>
      </c>
      <c r="X11" s="62">
        <f>7.3+0.8</f>
        <v>8.1</v>
      </c>
      <c r="Y11" s="62">
        <f>0.8+0.2</f>
        <v>1</v>
      </c>
      <c r="Z11" s="62">
        <f>0.3+0.1</f>
        <v>0.4</v>
      </c>
      <c r="AA11" s="10">
        <v>0.2</v>
      </c>
      <c r="AB11" s="26">
        <f t="shared" ref="AB11:AB20" si="0">AC11-SUM(F11:AA11)</f>
        <v>0.20000000000000995</v>
      </c>
      <c r="AC11" s="60">
        <f>54.1+6.2</f>
        <v>60.300000000000004</v>
      </c>
      <c r="AD11" s="58">
        <f>SUM(F11:AA11)</f>
        <v>60.099999999999994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55" t="s">
        <v>40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55" t="s">
        <v>40</v>
      </c>
      <c r="V12" s="10">
        <v>0</v>
      </c>
      <c r="W12" s="10">
        <v>0</v>
      </c>
      <c r="X12" s="10">
        <v>0</v>
      </c>
      <c r="Y12" s="10">
        <v>1</v>
      </c>
      <c r="Z12" s="10">
        <v>0</v>
      </c>
      <c r="AA12" s="10">
        <v>0</v>
      </c>
      <c r="AB12" s="26">
        <f t="shared" si="0"/>
        <v>0</v>
      </c>
      <c r="AC12" s="10">
        <v>1</v>
      </c>
      <c r="AD12" s="58">
        <f t="shared" ref="AD12:AD20" si="1">SUM(F12:AA12)</f>
        <v>1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55" t="s">
        <v>40</v>
      </c>
      <c r="I13" s="10">
        <v>0.1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0.5</v>
      </c>
      <c r="P13" s="10">
        <v>0.1</v>
      </c>
      <c r="Q13" s="10">
        <v>3</v>
      </c>
      <c r="R13" s="10">
        <v>0.2</v>
      </c>
      <c r="S13" s="10">
        <v>0</v>
      </c>
      <c r="T13" s="10">
        <v>0</v>
      </c>
      <c r="U13" s="55" t="s">
        <v>40</v>
      </c>
      <c r="V13" s="10">
        <v>0.3</v>
      </c>
      <c r="W13" s="10">
        <v>0</v>
      </c>
      <c r="X13" s="10">
        <v>1.7</v>
      </c>
      <c r="Y13" s="10">
        <v>0.1</v>
      </c>
      <c r="Z13" s="10">
        <v>0</v>
      </c>
      <c r="AA13" s="10">
        <v>0</v>
      </c>
      <c r="AB13" s="26">
        <f t="shared" si="0"/>
        <v>0</v>
      </c>
      <c r="AC13" s="10">
        <v>6</v>
      </c>
      <c r="AD13" s="58">
        <f t="shared" si="1"/>
        <v>6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55" t="s">
        <v>40</v>
      </c>
      <c r="H14" s="55" t="s">
        <v>40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55" t="s">
        <v>40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55" t="s">
        <v>40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55" t="s">
        <v>40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55" t="s">
        <v>40</v>
      </c>
      <c r="H16" s="55" t="s">
        <v>40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55" t="s">
        <v>40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55" t="s">
        <v>40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55" t="s">
        <v>40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55" t="s">
        <v>40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55" t="s">
        <v>40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55" t="s">
        <v>40</v>
      </c>
      <c r="I19" s="10">
        <v>0.1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55" t="s">
        <v>40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0.1</v>
      </c>
      <c r="AD19" s="58">
        <f t="shared" si="1"/>
        <v>0.1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56" t="s">
        <v>40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56" t="s">
        <v>40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O22" si="2">SUM(F11:F20)</f>
        <v>0</v>
      </c>
      <c r="G22" s="11">
        <f t="shared" si="2"/>
        <v>0</v>
      </c>
      <c r="H22" s="11">
        <f>SUM(H11:H20)</f>
        <v>0</v>
      </c>
      <c r="I22" s="11">
        <f t="shared" si="2"/>
        <v>0.30000000000000004</v>
      </c>
      <c r="J22" s="11">
        <f t="shared" si="2"/>
        <v>0</v>
      </c>
      <c r="K22" s="11">
        <f t="shared" si="2"/>
        <v>0</v>
      </c>
      <c r="L22" s="11">
        <f t="shared" si="2"/>
        <v>0.1</v>
      </c>
      <c r="M22" s="11">
        <f t="shared" si="2"/>
        <v>0.2</v>
      </c>
      <c r="N22" s="11">
        <f t="shared" si="2"/>
        <v>0</v>
      </c>
      <c r="O22" s="11">
        <f t="shared" si="2"/>
        <v>1</v>
      </c>
      <c r="P22" s="11">
        <f t="shared" ref="P22:AD22" si="3">SUM(P11:P20)</f>
        <v>47.9</v>
      </c>
      <c r="Q22" s="11">
        <f t="shared" si="3"/>
        <v>4.4000000000000004</v>
      </c>
      <c r="R22" s="11">
        <f t="shared" si="3"/>
        <v>0.4</v>
      </c>
      <c r="S22" s="11">
        <f t="shared" si="3"/>
        <v>0.2</v>
      </c>
      <c r="T22" s="11">
        <f t="shared" si="3"/>
        <v>-0.7</v>
      </c>
      <c r="U22" s="11">
        <f>SUM(U11:U20)</f>
        <v>0</v>
      </c>
      <c r="V22" s="11">
        <f>SUM(V11:V20)</f>
        <v>0.6</v>
      </c>
      <c r="W22" s="11">
        <f t="shared" si="3"/>
        <v>0.3</v>
      </c>
      <c r="X22" s="11">
        <f t="shared" si="3"/>
        <v>9.7999999999999989</v>
      </c>
      <c r="Y22" s="11">
        <f t="shared" si="3"/>
        <v>2.1</v>
      </c>
      <c r="Z22" s="11">
        <f t="shared" si="3"/>
        <v>0.4</v>
      </c>
      <c r="AA22" s="11">
        <f t="shared" si="3"/>
        <v>0.2</v>
      </c>
      <c r="AB22" s="11">
        <f t="shared" si="3"/>
        <v>0.20000000000000995</v>
      </c>
      <c r="AC22" s="11">
        <f t="shared" si="3"/>
        <v>67.400000000000006</v>
      </c>
      <c r="AD22" s="11">
        <f t="shared" si="3"/>
        <v>67.199999999999989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55" t="s">
        <v>40</v>
      </c>
      <c r="I25" s="10">
        <v>0</v>
      </c>
      <c r="J25" s="10">
        <v>0.2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55" t="s">
        <v>40</v>
      </c>
      <c r="V25" s="10">
        <v>2.4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2.6</v>
      </c>
      <c r="AD25" s="58">
        <f t="shared" ref="AD25:AD39" si="5">SUM(F25:AA25)</f>
        <v>2.6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55" t="s">
        <v>40</v>
      </c>
      <c r="G26" s="55" t="s">
        <v>40</v>
      </c>
      <c r="H26" s="55" t="s">
        <v>40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55" t="s">
        <v>40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0.6</v>
      </c>
      <c r="AC26" s="10">
        <v>0.6</v>
      </c>
      <c r="AD26" s="58">
        <f t="shared" si="5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55" t="s">
        <v>40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55" t="s">
        <v>40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58">
        <f t="shared" si="5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55" t="s">
        <v>40</v>
      </c>
      <c r="I28" s="10">
        <v>0</v>
      </c>
      <c r="J28" s="10">
        <v>0</v>
      </c>
      <c r="K28" s="10">
        <v>0</v>
      </c>
      <c r="L28" s="10">
        <v>0.3</v>
      </c>
      <c r="M28" s="10">
        <v>0.1</v>
      </c>
      <c r="N28" s="10">
        <v>0</v>
      </c>
      <c r="O28" s="10">
        <v>0</v>
      </c>
      <c r="P28" s="10">
        <v>0</v>
      </c>
      <c r="Q28" s="10">
        <v>0</v>
      </c>
      <c r="R28" s="10">
        <v>0.1</v>
      </c>
      <c r="S28" s="10">
        <v>0.1</v>
      </c>
      <c r="T28" s="10">
        <v>0</v>
      </c>
      <c r="U28" s="55" t="s">
        <v>40</v>
      </c>
      <c r="V28" s="10">
        <v>0</v>
      </c>
      <c r="W28" s="10">
        <v>0.8</v>
      </c>
      <c r="X28" s="62">
        <f>14.4+0.8</f>
        <v>15.200000000000001</v>
      </c>
      <c r="Y28" s="62">
        <f>0.6+0.2</f>
        <v>0.8</v>
      </c>
      <c r="Z28" s="62">
        <f>0.2+0.1</f>
        <v>0.30000000000000004</v>
      </c>
      <c r="AA28" s="10">
        <v>0</v>
      </c>
      <c r="AB28" s="26">
        <f t="shared" si="4"/>
        <v>0</v>
      </c>
      <c r="AC28" s="10">
        <v>17.7</v>
      </c>
      <c r="AD28" s="58">
        <f t="shared" si="5"/>
        <v>17.700000000000003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55" t="s">
        <v>40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55" t="s">
        <v>40</v>
      </c>
      <c r="V29" s="10">
        <v>0</v>
      </c>
      <c r="W29" s="10">
        <v>0</v>
      </c>
      <c r="X29" s="10">
        <v>0</v>
      </c>
      <c r="Y29" s="10">
        <v>0</v>
      </c>
      <c r="Z29" s="10">
        <v>39.5</v>
      </c>
      <c r="AA29" s="10">
        <v>0</v>
      </c>
      <c r="AB29" s="26">
        <f t="shared" si="4"/>
        <v>0</v>
      </c>
      <c r="AC29" s="10">
        <v>39.5</v>
      </c>
      <c r="AD29" s="58">
        <f t="shared" si="5"/>
        <v>39.5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55" t="s">
        <v>40</v>
      </c>
      <c r="I30" s="10">
        <v>0</v>
      </c>
      <c r="J30" s="10">
        <v>0.1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55" t="s">
        <v>40</v>
      </c>
      <c r="V30" s="10">
        <v>0</v>
      </c>
      <c r="W30" s="10">
        <v>0.4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4"/>
        <v>9.9999999999999978E-2</v>
      </c>
      <c r="AC30" s="10">
        <v>0.6</v>
      </c>
      <c r="AD30" s="58">
        <f t="shared" si="5"/>
        <v>0.5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55" t="s">
        <v>40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55" t="s">
        <v>40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4"/>
        <v>0</v>
      </c>
      <c r="AC31" s="10">
        <v>0</v>
      </c>
      <c r="AD31" s="58">
        <f t="shared" si="5"/>
        <v>0</v>
      </c>
      <c r="AE31" s="3"/>
    </row>
    <row r="32" spans="1:31" ht="15" customHeight="1" x14ac:dyDescent="0.2">
      <c r="A32" s="19"/>
      <c r="B32" s="21"/>
      <c r="C32" s="21" t="s">
        <v>59</v>
      </c>
      <c r="D32" s="3"/>
      <c r="E32" s="3"/>
      <c r="F32" s="55" t="s">
        <v>40</v>
      </c>
      <c r="G32" s="55" t="s">
        <v>40</v>
      </c>
      <c r="H32" s="55" t="s">
        <v>40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55" t="s">
        <v>40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0</v>
      </c>
      <c r="AD32" s="58">
        <f t="shared" si="5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55" t="s">
        <v>40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0.1</v>
      </c>
      <c r="U33" s="55" t="s">
        <v>40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4"/>
        <v>0</v>
      </c>
      <c r="AC33" s="10">
        <v>0.1</v>
      </c>
      <c r="AD33" s="58">
        <f t="shared" si="5"/>
        <v>0.1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55" t="s">
        <v>40</v>
      </c>
      <c r="I34" s="10">
        <v>0.1</v>
      </c>
      <c r="J34" s="10">
        <v>0.3</v>
      </c>
      <c r="K34" s="10">
        <v>2.1</v>
      </c>
      <c r="L34" s="10">
        <v>0.1</v>
      </c>
      <c r="M34" s="10">
        <v>0.3</v>
      </c>
      <c r="N34" s="10">
        <v>0.1</v>
      </c>
      <c r="O34" s="10">
        <v>0.1</v>
      </c>
      <c r="P34" s="10">
        <v>0</v>
      </c>
      <c r="Q34" s="10">
        <v>0</v>
      </c>
      <c r="R34" s="10">
        <v>0</v>
      </c>
      <c r="S34" s="10">
        <v>1.1000000000000001</v>
      </c>
      <c r="T34" s="10">
        <v>0.2</v>
      </c>
      <c r="U34" s="55" t="s">
        <v>40</v>
      </c>
      <c r="V34" s="10">
        <v>0.3</v>
      </c>
      <c r="W34" s="10">
        <v>0</v>
      </c>
      <c r="X34" s="10">
        <v>0</v>
      </c>
      <c r="Y34" s="10">
        <v>0.1</v>
      </c>
      <c r="Z34" s="10">
        <v>0.1</v>
      </c>
      <c r="AA34" s="10">
        <v>0</v>
      </c>
      <c r="AB34" s="26">
        <f t="shared" si="4"/>
        <v>0.90000000000000036</v>
      </c>
      <c r="AC34" s="10">
        <v>5.8</v>
      </c>
      <c r="AD34" s="58">
        <f t="shared" si="5"/>
        <v>4.8999999999999995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55" t="s">
        <v>40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55" t="s">
        <v>40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58">
        <f t="shared" si="5"/>
        <v>0</v>
      </c>
      <c r="AE35" s="3"/>
    </row>
    <row r="36" spans="1:31" ht="15" customHeight="1" x14ac:dyDescent="0.2">
      <c r="A36" s="19"/>
      <c r="B36" s="17" t="s">
        <v>47</v>
      </c>
      <c r="C36" s="3"/>
      <c r="D36" s="3"/>
      <c r="E36" s="3"/>
      <c r="F36" s="55" t="s">
        <v>40</v>
      </c>
      <c r="G36" s="55" t="s">
        <v>40</v>
      </c>
      <c r="H36" s="55" t="s">
        <v>40</v>
      </c>
      <c r="I36" s="10">
        <v>0.4</v>
      </c>
      <c r="J36" s="10">
        <v>0</v>
      </c>
      <c r="K36" s="10">
        <v>8.1</v>
      </c>
      <c r="L36" s="10">
        <v>0</v>
      </c>
      <c r="M36" s="10">
        <v>0</v>
      </c>
      <c r="N36" s="10">
        <v>2.1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55" t="s">
        <v>40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10.6</v>
      </c>
      <c r="AD36" s="58">
        <f t="shared" si="5"/>
        <v>10.6</v>
      </c>
      <c r="AE36" s="3"/>
    </row>
    <row r="37" spans="1:31" ht="15" customHeight="1" x14ac:dyDescent="0.2">
      <c r="A37" s="19"/>
      <c r="B37" s="21" t="s">
        <v>64</v>
      </c>
      <c r="C37" s="3"/>
      <c r="D37" s="3"/>
      <c r="E37" s="3"/>
      <c r="F37" s="55" t="s">
        <v>40</v>
      </c>
      <c r="G37" s="55" t="s">
        <v>40</v>
      </c>
      <c r="H37" s="55" t="s">
        <v>40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55" t="s">
        <v>40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4"/>
        <v>0</v>
      </c>
      <c r="AC37" s="10">
        <v>0</v>
      </c>
      <c r="AD37" s="58">
        <f t="shared" si="5"/>
        <v>0</v>
      </c>
      <c r="AE37" s="3"/>
    </row>
    <row r="38" spans="1:31" ht="15" customHeight="1" x14ac:dyDescent="0.2">
      <c r="A38" s="19"/>
      <c r="B38" s="21" t="s">
        <v>64</v>
      </c>
      <c r="C38" s="3"/>
      <c r="D38" s="3"/>
      <c r="E38" s="3"/>
      <c r="F38" s="55" t="s">
        <v>40</v>
      </c>
      <c r="G38" s="55" t="s">
        <v>40</v>
      </c>
      <c r="H38" s="55" t="s">
        <v>40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55" t="s">
        <v>40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58">
        <f t="shared" si="5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56" t="s">
        <v>40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56" t="s">
        <v>40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59">
        <f t="shared" si="5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O41" si="6">SUM(F25:F39)</f>
        <v>0</v>
      </c>
      <c r="G41" s="11">
        <f t="shared" si="6"/>
        <v>0</v>
      </c>
      <c r="H41" s="11">
        <f t="shared" si="6"/>
        <v>0</v>
      </c>
      <c r="I41" s="11">
        <f t="shared" si="6"/>
        <v>0.5</v>
      </c>
      <c r="J41" s="11">
        <f t="shared" si="6"/>
        <v>0.60000000000000009</v>
      </c>
      <c r="K41" s="11">
        <f t="shared" si="6"/>
        <v>10.199999999999999</v>
      </c>
      <c r="L41" s="11">
        <f t="shared" si="6"/>
        <v>0.4</v>
      </c>
      <c r="M41" s="11">
        <f t="shared" si="6"/>
        <v>0.4</v>
      </c>
      <c r="N41" s="11">
        <f t="shared" si="6"/>
        <v>2.2000000000000002</v>
      </c>
      <c r="O41" s="11">
        <f t="shared" si="6"/>
        <v>0.1</v>
      </c>
      <c r="P41" s="11">
        <f t="shared" ref="P41:AD41" si="7">SUM(P25:P39)</f>
        <v>0</v>
      </c>
      <c r="Q41" s="11">
        <f t="shared" si="7"/>
        <v>0</v>
      </c>
      <c r="R41" s="11">
        <f t="shared" si="7"/>
        <v>0.1</v>
      </c>
      <c r="S41" s="11">
        <f t="shared" si="7"/>
        <v>1.2000000000000002</v>
      </c>
      <c r="T41" s="11">
        <f t="shared" si="7"/>
        <v>0.30000000000000004</v>
      </c>
      <c r="U41" s="11">
        <f>SUM(U25:U39)</f>
        <v>0</v>
      </c>
      <c r="V41" s="11">
        <f t="shared" si="7"/>
        <v>2.6999999999999997</v>
      </c>
      <c r="W41" s="11">
        <f t="shared" si="7"/>
        <v>1.2000000000000002</v>
      </c>
      <c r="X41" s="11">
        <f t="shared" si="7"/>
        <v>15.200000000000001</v>
      </c>
      <c r="Y41" s="11">
        <f t="shared" si="7"/>
        <v>0.9</v>
      </c>
      <c r="Z41" s="11">
        <f t="shared" si="7"/>
        <v>39.9</v>
      </c>
      <c r="AA41" s="11">
        <f t="shared" si="7"/>
        <v>0</v>
      </c>
      <c r="AB41" s="11">
        <f t="shared" si="7"/>
        <v>1.6000000000000003</v>
      </c>
      <c r="AC41" s="11">
        <f t="shared" si="7"/>
        <v>77.5</v>
      </c>
      <c r="AD41" s="11">
        <f t="shared" si="7"/>
        <v>75.900000000000006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O43" si="8">F22-F41</f>
        <v>0</v>
      </c>
      <c r="G43" s="35">
        <f t="shared" si="8"/>
        <v>0</v>
      </c>
      <c r="H43" s="35">
        <f t="shared" si="8"/>
        <v>0</v>
      </c>
      <c r="I43" s="35">
        <f t="shared" si="8"/>
        <v>-0.19999999999999996</v>
      </c>
      <c r="J43" s="35">
        <f t="shared" si="8"/>
        <v>-0.60000000000000009</v>
      </c>
      <c r="K43" s="35">
        <f t="shared" si="8"/>
        <v>-10.199999999999999</v>
      </c>
      <c r="L43" s="35">
        <f t="shared" si="8"/>
        <v>-0.30000000000000004</v>
      </c>
      <c r="M43" s="35">
        <f t="shared" si="8"/>
        <v>-0.2</v>
      </c>
      <c r="N43" s="35">
        <f t="shared" si="8"/>
        <v>-2.2000000000000002</v>
      </c>
      <c r="O43" s="35">
        <f t="shared" si="8"/>
        <v>0.9</v>
      </c>
      <c r="P43" s="35">
        <f t="shared" ref="P43:AD43" si="9">P22-P41</f>
        <v>47.9</v>
      </c>
      <c r="Q43" s="35">
        <f t="shared" si="9"/>
        <v>4.4000000000000004</v>
      </c>
      <c r="R43" s="35">
        <f t="shared" si="9"/>
        <v>0.30000000000000004</v>
      </c>
      <c r="S43" s="35">
        <f t="shared" si="9"/>
        <v>-1.0000000000000002</v>
      </c>
      <c r="T43" s="35">
        <f t="shared" si="9"/>
        <v>-1</v>
      </c>
      <c r="U43" s="35">
        <f t="shared" si="9"/>
        <v>0</v>
      </c>
      <c r="V43" s="35">
        <f t="shared" si="9"/>
        <v>-2.0999999999999996</v>
      </c>
      <c r="W43" s="35">
        <f t="shared" si="9"/>
        <v>-0.90000000000000013</v>
      </c>
      <c r="X43" s="35">
        <f t="shared" si="9"/>
        <v>-5.4000000000000021</v>
      </c>
      <c r="Y43" s="35">
        <f t="shared" si="9"/>
        <v>1.2000000000000002</v>
      </c>
      <c r="Z43" s="35">
        <f t="shared" si="9"/>
        <v>-39.5</v>
      </c>
      <c r="AA43" s="35">
        <f t="shared" si="9"/>
        <v>0.2</v>
      </c>
      <c r="AB43" s="35">
        <f t="shared" si="9"/>
        <v>-1.3999999999999904</v>
      </c>
      <c r="AC43" s="35">
        <f t="shared" si="9"/>
        <v>-10.099999999999994</v>
      </c>
      <c r="AD43" s="35">
        <f t="shared" si="9"/>
        <v>-8.7000000000000171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0</v>
      </c>
      <c r="H47" s="35">
        <f t="shared" si="10"/>
        <v>0</v>
      </c>
      <c r="I47" s="35">
        <f t="shared" si="10"/>
        <v>-0.19999999999999996</v>
      </c>
      <c r="J47" s="35">
        <f t="shared" si="10"/>
        <v>-0.60000000000000009</v>
      </c>
      <c r="K47" s="35">
        <f t="shared" si="10"/>
        <v>-10.199999999999999</v>
      </c>
      <c r="L47" s="35">
        <f t="shared" si="10"/>
        <v>-0.30000000000000004</v>
      </c>
      <c r="M47" s="35">
        <f t="shared" si="10"/>
        <v>-0.2</v>
      </c>
      <c r="N47" s="35">
        <f t="shared" si="10"/>
        <v>-2.2000000000000002</v>
      </c>
      <c r="O47" s="35">
        <f t="shared" si="10"/>
        <v>0.9</v>
      </c>
      <c r="P47" s="35">
        <f t="shared" si="10"/>
        <v>47.9</v>
      </c>
      <c r="Q47" s="35">
        <f t="shared" si="10"/>
        <v>4.4000000000000004</v>
      </c>
      <c r="R47" s="35">
        <f t="shared" si="10"/>
        <v>0.30000000000000004</v>
      </c>
      <c r="S47" s="35">
        <f t="shared" si="10"/>
        <v>-1.0000000000000002</v>
      </c>
      <c r="T47" s="35">
        <f t="shared" si="10"/>
        <v>-1</v>
      </c>
      <c r="U47" s="35">
        <f t="shared" si="10"/>
        <v>0</v>
      </c>
      <c r="V47" s="35">
        <f t="shared" si="10"/>
        <v>-2.0999999999999996</v>
      </c>
      <c r="W47" s="35">
        <f t="shared" si="10"/>
        <v>-0.90000000000000013</v>
      </c>
      <c r="X47" s="35">
        <f t="shared" si="10"/>
        <v>-5.4000000000000021</v>
      </c>
      <c r="Y47" s="35">
        <f t="shared" si="10"/>
        <v>1.2000000000000002</v>
      </c>
      <c r="Z47" s="35">
        <f t="shared" si="10"/>
        <v>-39.5</v>
      </c>
      <c r="AA47" s="35">
        <f t="shared" si="10"/>
        <v>0.2</v>
      </c>
      <c r="AB47" s="35">
        <f t="shared" si="10"/>
        <v>-1.3999999999999904</v>
      </c>
      <c r="AC47" s="35">
        <f t="shared" si="10"/>
        <v>-10.099999999999994</v>
      </c>
      <c r="AD47" s="35">
        <f t="shared" si="10"/>
        <v>-8.7000000000000171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'NNG-Feb.'!A2</f>
        <v>FEBRUARY,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'NNG-Feb.'!A3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'NNG-Feb.'!F7</f>
        <v>0</v>
      </c>
      <c r="G7" s="48">
        <f>'NNG-Feb.'!G7</f>
        <v>0</v>
      </c>
      <c r="H7" s="48">
        <f>'NNG-Feb.'!H7</f>
        <v>0</v>
      </c>
      <c r="I7" s="48" t="str">
        <f>'NNG-Feb.'!I7</f>
        <v>Act</v>
      </c>
      <c r="J7" s="48" t="str">
        <f>'NNG-Feb.'!J7</f>
        <v>Act</v>
      </c>
      <c r="K7" s="48" t="str">
        <f>'NNG-Feb.'!K7</f>
        <v>Act</v>
      </c>
      <c r="L7" s="48" t="str">
        <f>'NNG-Feb.'!L7</f>
        <v>Act</v>
      </c>
      <c r="M7" s="48" t="str">
        <f>'NNG-Feb.'!M7</f>
        <v>Act</v>
      </c>
      <c r="N7" s="48" t="str">
        <f>'NNG-Feb.'!N7</f>
        <v>Act</v>
      </c>
      <c r="O7" s="48" t="str">
        <f>'NNG-Feb.'!O7</f>
        <v>Act</v>
      </c>
      <c r="P7" s="48" t="str">
        <f>'NNG-Feb.'!P7</f>
        <v>Act</v>
      </c>
      <c r="Q7" s="48" t="str">
        <f>'NNG-Feb.'!Q7</f>
        <v>Act</v>
      </c>
      <c r="R7" s="48" t="str">
        <f>'NNG-Feb.'!R7</f>
        <v>Act</v>
      </c>
      <c r="S7" s="48" t="str">
        <f>'NNG-Feb.'!S7</f>
        <v>Act</v>
      </c>
      <c r="T7" s="48" t="str">
        <f>'NNG-Feb.'!T7</f>
        <v>Act</v>
      </c>
      <c r="U7" s="48" t="str">
        <f>'NNG-Feb.'!U7</f>
        <v>B.C.</v>
      </c>
      <c r="V7" s="48" t="str">
        <f>'NNG-Feb.'!V7</f>
        <v>Act</v>
      </c>
      <c r="W7" s="48" t="str">
        <f>'NNG-Feb.'!W7</f>
        <v>Act</v>
      </c>
      <c r="X7" s="48" t="str">
        <f>'NNG-Feb.'!X7</f>
        <v>Act</v>
      </c>
      <c r="Y7" s="48" t="str">
        <f>'NNG-Feb.'!Y7</f>
        <v>Act</v>
      </c>
      <c r="Z7" s="48" t="str">
        <f>'NNG-Feb.'!Z7</f>
        <v>Act</v>
      </c>
      <c r="AA7" s="48" t="str">
        <f>'NNG-Feb.'!AA7</f>
        <v>Act</v>
      </c>
      <c r="AB7" s="48" t="str">
        <f>'NNG-Feb.'!AB7</f>
        <v>Act</v>
      </c>
      <c r="AC7" s="48"/>
      <c r="AD7" s="48" t="str">
        <f>'NNG-Feb.'!AD7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'NNG-Feb.'!F8</f>
        <v>Day</v>
      </c>
      <c r="G8" s="48" t="str">
        <f>'NNG-Feb.'!G8</f>
        <v>Day</v>
      </c>
      <c r="H8" s="48" t="str">
        <f>'NNG-Feb.'!H8</f>
        <v>Day</v>
      </c>
      <c r="I8" s="48" t="str">
        <f>'NNG-Feb.'!I8</f>
        <v>Thu</v>
      </c>
      <c r="J8" s="48" t="str">
        <f>'NNG-Feb.'!J8</f>
        <v>Fri</v>
      </c>
      <c r="K8" s="48" t="str">
        <f>'NNG-Feb.'!K8</f>
        <v>Mon</v>
      </c>
      <c r="L8" s="48" t="str">
        <f>'NNG-Feb.'!L8</f>
        <v>Tue</v>
      </c>
      <c r="M8" s="48" t="str">
        <f>'NNG-Feb.'!M8</f>
        <v>Wed</v>
      </c>
      <c r="N8" s="48" t="str">
        <f>'NNG-Feb.'!N8</f>
        <v>Thu</v>
      </c>
      <c r="O8" s="48" t="str">
        <f>'NNG-Feb.'!O8</f>
        <v>Fri</v>
      </c>
      <c r="P8" s="48" t="str">
        <f>'NNG-Feb.'!P8</f>
        <v>Mon</v>
      </c>
      <c r="Q8" s="48" t="str">
        <f>'NNG-Feb.'!Q8</f>
        <v>Tue</v>
      </c>
      <c r="R8" s="48" t="str">
        <f>'NNG-Feb.'!R8</f>
        <v>Wed</v>
      </c>
      <c r="S8" s="48" t="str">
        <f>'NNG-Feb.'!S8</f>
        <v>Thu</v>
      </c>
      <c r="T8" s="48" t="str">
        <f>'NNG-Feb.'!T8</f>
        <v>Fri</v>
      </c>
      <c r="U8" s="48" t="str">
        <f>'NNG-Feb.'!U8</f>
        <v>Mon</v>
      </c>
      <c r="V8" s="48" t="str">
        <f>'NNG-Feb.'!V8</f>
        <v>Tue</v>
      </c>
      <c r="W8" s="48" t="str">
        <f>'NNG-Feb.'!W8</f>
        <v>Wed</v>
      </c>
      <c r="X8" s="48" t="str">
        <f>'NNG-Feb.'!X8</f>
        <v>Thu</v>
      </c>
      <c r="Y8" s="48" t="str">
        <f>'NNG-Feb.'!Y8</f>
        <v>Fri</v>
      </c>
      <c r="Z8" s="48" t="str">
        <f>'NNG-Feb.'!Z8</f>
        <v>Mon</v>
      </c>
      <c r="AA8" s="48" t="str">
        <f>'NNG-Feb.'!AA8</f>
        <v>Tue</v>
      </c>
      <c r="AB8" s="48" t="str">
        <f>'NNG-Feb.'!AB8</f>
        <v>Wed</v>
      </c>
      <c r="AC8" s="48" t="str">
        <f>'NNG-Feb.'!AC8</f>
        <v>FEB.</v>
      </c>
      <c r="AD8" s="48" t="str">
        <f>'NNG-Feb.'!AD8</f>
        <v>2/1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'NNG-Feb.'!F9</f>
        <v>0/0</v>
      </c>
      <c r="G9" s="49" t="str">
        <f>'NNG-Feb.'!G9</f>
        <v>0/0</v>
      </c>
      <c r="H9" s="49" t="str">
        <f>'NNG-Feb.'!H9</f>
        <v>0/0</v>
      </c>
      <c r="I9" s="49" t="str">
        <f>'NNG-Feb.'!I9</f>
        <v>2/1</v>
      </c>
      <c r="J9" s="49" t="str">
        <f>'NNG-Feb.'!J9</f>
        <v>2/2</v>
      </c>
      <c r="K9" s="49" t="str">
        <f>'NNG-Feb.'!K9</f>
        <v>2/5</v>
      </c>
      <c r="L9" s="49" t="str">
        <f>'NNG-Feb.'!L9</f>
        <v>2/6</v>
      </c>
      <c r="M9" s="49" t="str">
        <f>'NNG-Feb.'!M9</f>
        <v>2/7</v>
      </c>
      <c r="N9" s="49" t="str">
        <f>'NNG-Feb.'!N9</f>
        <v>2/8</v>
      </c>
      <c r="O9" s="49" t="str">
        <f>'NNG-Feb.'!O9</f>
        <v>2/9</v>
      </c>
      <c r="P9" s="49" t="str">
        <f>'NNG-Feb.'!P9</f>
        <v>2/12</v>
      </c>
      <c r="Q9" s="49" t="str">
        <f>'NNG-Feb.'!Q9</f>
        <v>2/13</v>
      </c>
      <c r="R9" s="49" t="str">
        <f>'NNG-Feb.'!R9</f>
        <v>2/14</v>
      </c>
      <c r="S9" s="49" t="str">
        <f>'NNG-Feb.'!S9</f>
        <v>2/15</v>
      </c>
      <c r="T9" s="49" t="str">
        <f>'NNG-Feb.'!T9</f>
        <v>2/16</v>
      </c>
      <c r="U9" s="49" t="str">
        <f>'NNG-Feb.'!U9</f>
        <v>2/19</v>
      </c>
      <c r="V9" s="49" t="str">
        <f>'NNG-Feb.'!V9</f>
        <v>2/20</v>
      </c>
      <c r="W9" s="49" t="str">
        <f>'NNG-Feb.'!W9</f>
        <v>2/21</v>
      </c>
      <c r="X9" s="49" t="str">
        <f>'NNG-Feb.'!X9</f>
        <v>2/22</v>
      </c>
      <c r="Y9" s="49" t="str">
        <f>'NNG-Feb.'!Y9</f>
        <v>2/23</v>
      </c>
      <c r="Z9" s="49" t="str">
        <f>'NNG-Feb.'!Z9</f>
        <v>2/26</v>
      </c>
      <c r="AA9" s="49" t="str">
        <f>'NNG-Feb.'!AA9</f>
        <v>2/27</v>
      </c>
      <c r="AB9" s="49" t="str">
        <f>'NNG-Feb.'!AB9</f>
        <v>2/28</v>
      </c>
      <c r="AC9" s="49" t="str">
        <f>'NNG-Feb.'!AC9</f>
        <v>TOTAL</v>
      </c>
      <c r="AD9" s="49" t="str">
        <f>'NNG-Feb.'!AD9</f>
        <v>2/27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55" t="s">
        <v>40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0.1</v>
      </c>
      <c r="P11" s="10">
        <v>10.4</v>
      </c>
      <c r="Q11" s="10">
        <v>0.9</v>
      </c>
      <c r="R11" s="10">
        <v>0.2</v>
      </c>
      <c r="S11" s="10">
        <v>0.8</v>
      </c>
      <c r="T11" s="10">
        <v>0</v>
      </c>
      <c r="U11" s="55" t="s">
        <v>40</v>
      </c>
      <c r="V11" s="10">
        <v>0.1</v>
      </c>
      <c r="W11" s="10">
        <v>0</v>
      </c>
      <c r="X11" s="10">
        <v>0.3</v>
      </c>
      <c r="Y11" s="10">
        <v>0</v>
      </c>
      <c r="Z11" s="10">
        <v>0.9</v>
      </c>
      <c r="AA11" s="10">
        <v>0</v>
      </c>
      <c r="AB11" s="26">
        <f t="shared" ref="AB11:AB20" si="0">AC11-SUM(F11:AA11)</f>
        <v>9.9999999999999645E-2</v>
      </c>
      <c r="AC11" s="60">
        <f>11.3+2.5</f>
        <v>13.8</v>
      </c>
      <c r="AD11" s="36">
        <f>SUM(F11:AA11)</f>
        <v>13.700000000000001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55" t="s">
        <v>40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55" t="s">
        <v>40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SUM(F12:AA12)</f>
        <v>0</v>
      </c>
      <c r="AE12" s="3"/>
    </row>
    <row r="13" spans="1:31" ht="15" customHeight="1" x14ac:dyDescent="0.2">
      <c r="A13" s="19"/>
      <c r="B13" s="21"/>
      <c r="C13" s="21" t="s">
        <v>110</v>
      </c>
      <c r="D13" s="3"/>
      <c r="E13" s="3"/>
      <c r="F13" s="55" t="s">
        <v>40</v>
      </c>
      <c r="G13" s="55" t="s">
        <v>40</v>
      </c>
      <c r="H13" s="55" t="s">
        <v>40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55" t="s">
        <v>40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2.1</v>
      </c>
      <c r="AB13" s="26">
        <f t="shared" si="0"/>
        <v>0</v>
      </c>
      <c r="AC13" s="10">
        <v>2.1</v>
      </c>
      <c r="AD13" s="36">
        <f t="shared" si="1"/>
        <v>2.1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55" t="s">
        <v>40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55" t="s">
        <v>40</v>
      </c>
      <c r="V14" s="10">
        <v>0</v>
      </c>
      <c r="W14" s="10">
        <v>0</v>
      </c>
      <c r="X14" s="10">
        <v>0</v>
      </c>
      <c r="Y14" s="10">
        <v>0</v>
      </c>
      <c r="Z14" s="10">
        <v>7.1</v>
      </c>
      <c r="AA14" s="10">
        <v>0</v>
      </c>
      <c r="AB14" s="26">
        <f t="shared" si="0"/>
        <v>0</v>
      </c>
      <c r="AC14" s="10">
        <v>7.1</v>
      </c>
      <c r="AD14" s="36">
        <f t="shared" si="1"/>
        <v>7.1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55" t="s">
        <v>40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55" t="s">
        <v>40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55" t="s">
        <v>40</v>
      </c>
      <c r="G16" s="55" t="s">
        <v>40</v>
      </c>
      <c r="H16" s="55" t="s">
        <v>40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55" t="s">
        <v>40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55" t="s">
        <v>40</v>
      </c>
      <c r="I17" s="10">
        <v>0</v>
      </c>
      <c r="J17" s="10">
        <v>0</v>
      </c>
      <c r="K17" s="10">
        <v>0</v>
      </c>
      <c r="L17" s="10">
        <v>0.8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55" t="s">
        <v>40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0.8</v>
      </c>
      <c r="AD17" s="36">
        <f t="shared" si="1"/>
        <v>0.8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55" t="s">
        <v>40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55" t="s">
        <v>40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55" t="s">
        <v>40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0.2</v>
      </c>
      <c r="R19" s="10">
        <v>0</v>
      </c>
      <c r="S19" s="10">
        <v>0</v>
      </c>
      <c r="T19" s="10">
        <v>0</v>
      </c>
      <c r="U19" s="55" t="s">
        <v>40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0.2</v>
      </c>
      <c r="AD19" s="36">
        <f t="shared" si="1"/>
        <v>0.2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56" t="s">
        <v>40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56" t="s">
        <v>40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O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0.8</v>
      </c>
      <c r="M22" s="11">
        <f t="shared" si="2"/>
        <v>0</v>
      </c>
      <c r="N22" s="11">
        <f t="shared" si="2"/>
        <v>0</v>
      </c>
      <c r="O22" s="11">
        <f t="shared" si="2"/>
        <v>0.1</v>
      </c>
      <c r="P22" s="11">
        <f t="shared" ref="P22:AD22" si="3">SUM(P11:P20)</f>
        <v>10.4</v>
      </c>
      <c r="Q22" s="11">
        <f t="shared" si="3"/>
        <v>1.1000000000000001</v>
      </c>
      <c r="R22" s="11">
        <f t="shared" si="3"/>
        <v>0.2</v>
      </c>
      <c r="S22" s="11">
        <f t="shared" si="3"/>
        <v>0.8</v>
      </c>
      <c r="T22" s="11">
        <f t="shared" si="3"/>
        <v>0</v>
      </c>
      <c r="U22" s="11">
        <f t="shared" si="3"/>
        <v>0</v>
      </c>
      <c r="V22" s="11">
        <f t="shared" si="3"/>
        <v>0.1</v>
      </c>
      <c r="W22" s="11">
        <f t="shared" si="3"/>
        <v>0</v>
      </c>
      <c r="X22" s="11">
        <f t="shared" si="3"/>
        <v>0.3</v>
      </c>
      <c r="Y22" s="11">
        <f t="shared" si="3"/>
        <v>0</v>
      </c>
      <c r="Z22" s="11">
        <f t="shared" si="3"/>
        <v>8</v>
      </c>
      <c r="AA22" s="11">
        <f t="shared" si="3"/>
        <v>2.1</v>
      </c>
      <c r="AB22" s="11">
        <f t="shared" si="3"/>
        <v>9.9999999999999645E-2</v>
      </c>
      <c r="AC22" s="11">
        <f t="shared" si="3"/>
        <v>24</v>
      </c>
      <c r="AD22" s="11">
        <f t="shared" si="3"/>
        <v>23.9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55" t="s">
        <v>40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55" t="s">
        <v>40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0</v>
      </c>
      <c r="AD25" s="36">
        <f t="shared" ref="AD25:AD39" si="5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55" t="s">
        <v>40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55" t="s">
        <v>40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0.3</v>
      </c>
      <c r="AC26" s="10">
        <v>0.3</v>
      </c>
      <c r="AD26" s="36">
        <f t="shared" si="5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55" t="s">
        <v>40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55" t="s">
        <v>40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36">
        <f t="shared" si="5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55" t="s">
        <v>40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55" t="s">
        <v>40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4"/>
        <v>0</v>
      </c>
      <c r="AC28" s="10">
        <v>0</v>
      </c>
      <c r="AD28" s="36">
        <f t="shared" si="5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55" t="s">
        <v>40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55" t="s">
        <v>40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4"/>
        <v>0</v>
      </c>
      <c r="AC29" s="10">
        <v>0</v>
      </c>
      <c r="AD29" s="36">
        <f t="shared" si="5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55" t="s">
        <v>40</v>
      </c>
      <c r="I30" s="10">
        <v>0</v>
      </c>
      <c r="J30" s="10">
        <v>0</v>
      </c>
      <c r="K30" s="10">
        <v>0</v>
      </c>
      <c r="L30" s="10">
        <v>0</v>
      </c>
      <c r="M30" s="10">
        <v>0.1</v>
      </c>
      <c r="N30" s="10">
        <v>0</v>
      </c>
      <c r="O30" s="10">
        <v>0.2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55" t="s">
        <v>40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4"/>
        <v>0</v>
      </c>
      <c r="AC30" s="10">
        <v>0.3</v>
      </c>
      <c r="AD30" s="36">
        <f t="shared" si="5"/>
        <v>0.30000000000000004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55" t="s">
        <v>40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55" t="s">
        <v>40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4"/>
        <v>0</v>
      </c>
      <c r="AC31" s="10">
        <v>0</v>
      </c>
      <c r="AD31" s="36">
        <f t="shared" si="5"/>
        <v>0</v>
      </c>
      <c r="AE31" s="3"/>
    </row>
    <row r="32" spans="1:31" ht="15" customHeight="1" x14ac:dyDescent="0.2">
      <c r="A32" s="19"/>
      <c r="B32" s="21"/>
      <c r="C32" s="21" t="s">
        <v>59</v>
      </c>
      <c r="D32" s="3"/>
      <c r="E32" s="3"/>
      <c r="F32" s="55" t="s">
        <v>40</v>
      </c>
      <c r="G32" s="55" t="s">
        <v>40</v>
      </c>
      <c r="H32" s="55" t="s">
        <v>40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55" t="s">
        <v>40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0</v>
      </c>
      <c r="AD32" s="36">
        <f t="shared" si="5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55" t="s">
        <v>40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0.2</v>
      </c>
      <c r="O33" s="10">
        <v>0</v>
      </c>
      <c r="P33" s="10">
        <v>0</v>
      </c>
      <c r="Q33" s="10">
        <v>0</v>
      </c>
      <c r="R33" s="10">
        <v>-0.2</v>
      </c>
      <c r="S33" s="10">
        <v>0</v>
      </c>
      <c r="T33" s="10">
        <v>0</v>
      </c>
      <c r="U33" s="55" t="s">
        <v>40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4"/>
        <v>0</v>
      </c>
      <c r="AC33" s="60">
        <f>0.2-0.2</f>
        <v>0</v>
      </c>
      <c r="AD33" s="36">
        <f t="shared" si="5"/>
        <v>0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55" t="s">
        <v>40</v>
      </c>
      <c r="I34" s="10">
        <v>0</v>
      </c>
      <c r="J34" s="10">
        <v>0.1</v>
      </c>
      <c r="K34" s="10">
        <v>0.5</v>
      </c>
      <c r="L34" s="10">
        <v>0</v>
      </c>
      <c r="M34" s="10">
        <v>0.1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0.2</v>
      </c>
      <c r="T34" s="10">
        <v>0</v>
      </c>
      <c r="U34" s="55" t="s">
        <v>40</v>
      </c>
      <c r="V34" s="10">
        <v>0</v>
      </c>
      <c r="W34" s="10">
        <v>0.1</v>
      </c>
      <c r="X34" s="10">
        <v>0</v>
      </c>
      <c r="Y34" s="10">
        <v>0</v>
      </c>
      <c r="Z34" s="10">
        <v>0</v>
      </c>
      <c r="AA34" s="10">
        <v>0</v>
      </c>
      <c r="AB34" s="26">
        <f t="shared" si="4"/>
        <v>0.30000000000000016</v>
      </c>
      <c r="AC34" s="10">
        <v>1.3</v>
      </c>
      <c r="AD34" s="36">
        <f t="shared" si="5"/>
        <v>0.99999999999999989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55" t="s">
        <v>40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55" t="s">
        <v>40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36">
        <f t="shared" si="5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55" t="s">
        <v>40</v>
      </c>
      <c r="G36" s="55" t="s">
        <v>40</v>
      </c>
      <c r="H36" s="55" t="s">
        <v>40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3.9</v>
      </c>
      <c r="Q36" s="10">
        <v>0</v>
      </c>
      <c r="R36" s="10">
        <v>0</v>
      </c>
      <c r="S36" s="10">
        <v>0</v>
      </c>
      <c r="T36" s="10">
        <v>0</v>
      </c>
      <c r="U36" s="55" t="s">
        <v>40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3.9</v>
      </c>
      <c r="AD36" s="36">
        <f t="shared" si="5"/>
        <v>3.9</v>
      </c>
      <c r="AE36" s="3"/>
    </row>
    <row r="37" spans="1:31" ht="15" customHeight="1" x14ac:dyDescent="0.2">
      <c r="A37" s="19"/>
      <c r="B37" s="21" t="s">
        <v>74</v>
      </c>
      <c r="C37" s="3"/>
      <c r="D37" s="3"/>
      <c r="E37" s="3"/>
      <c r="F37" s="55" t="s">
        <v>40</v>
      </c>
      <c r="G37" s="55" t="s">
        <v>40</v>
      </c>
      <c r="H37" s="55" t="s">
        <v>40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55" t="s">
        <v>40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4"/>
        <v>0</v>
      </c>
      <c r="AC37" s="10">
        <f>0</f>
        <v>0</v>
      </c>
      <c r="AD37" s="36">
        <f t="shared" si="5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55" t="s">
        <v>40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55" t="s">
        <v>40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36">
        <f t="shared" si="5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56" t="s">
        <v>40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56" t="s">
        <v>40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38">
        <f t="shared" si="5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O41" si="6">SUM(F25:F39)</f>
        <v>0</v>
      </c>
      <c r="G41" s="11">
        <f t="shared" si="6"/>
        <v>0</v>
      </c>
      <c r="H41" s="11">
        <f t="shared" si="6"/>
        <v>0</v>
      </c>
      <c r="I41" s="11">
        <f t="shared" si="6"/>
        <v>0</v>
      </c>
      <c r="J41" s="11">
        <f t="shared" si="6"/>
        <v>0.1</v>
      </c>
      <c r="K41" s="11">
        <f t="shared" si="6"/>
        <v>0.5</v>
      </c>
      <c r="L41" s="11">
        <f t="shared" si="6"/>
        <v>0</v>
      </c>
      <c r="M41" s="11">
        <f t="shared" si="6"/>
        <v>0.2</v>
      </c>
      <c r="N41" s="11">
        <f t="shared" si="6"/>
        <v>0.2</v>
      </c>
      <c r="O41" s="11">
        <f t="shared" si="6"/>
        <v>0.2</v>
      </c>
      <c r="P41" s="11">
        <f t="shared" ref="P41:AD41" si="7">SUM(P25:P39)</f>
        <v>3.9</v>
      </c>
      <c r="Q41" s="11">
        <f t="shared" si="7"/>
        <v>0</v>
      </c>
      <c r="R41" s="11">
        <f t="shared" si="7"/>
        <v>-0.2</v>
      </c>
      <c r="S41" s="11">
        <f t="shared" si="7"/>
        <v>0.2</v>
      </c>
      <c r="T41" s="11">
        <f t="shared" si="7"/>
        <v>0</v>
      </c>
      <c r="U41" s="11">
        <f t="shared" si="7"/>
        <v>0</v>
      </c>
      <c r="V41" s="11">
        <f t="shared" si="7"/>
        <v>0</v>
      </c>
      <c r="W41" s="11">
        <f t="shared" si="7"/>
        <v>0.1</v>
      </c>
      <c r="X41" s="11">
        <f t="shared" si="7"/>
        <v>0</v>
      </c>
      <c r="Y41" s="11">
        <f t="shared" si="7"/>
        <v>0</v>
      </c>
      <c r="Z41" s="11">
        <f t="shared" si="7"/>
        <v>0</v>
      </c>
      <c r="AA41" s="11">
        <f t="shared" si="7"/>
        <v>0</v>
      </c>
      <c r="AB41" s="11">
        <f t="shared" si="7"/>
        <v>0.60000000000000009</v>
      </c>
      <c r="AC41" s="11">
        <f t="shared" si="7"/>
        <v>5.8</v>
      </c>
      <c r="AD41" s="11">
        <f t="shared" si="7"/>
        <v>5.1999999999999993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O43" si="8">F22-F41</f>
        <v>0</v>
      </c>
      <c r="G43" s="35">
        <f t="shared" si="8"/>
        <v>0</v>
      </c>
      <c r="H43" s="35">
        <f t="shared" si="8"/>
        <v>0</v>
      </c>
      <c r="I43" s="35">
        <f t="shared" si="8"/>
        <v>0</v>
      </c>
      <c r="J43" s="35">
        <f t="shared" si="8"/>
        <v>-0.1</v>
      </c>
      <c r="K43" s="35">
        <f t="shared" si="8"/>
        <v>-0.5</v>
      </c>
      <c r="L43" s="35">
        <f t="shared" si="8"/>
        <v>0.8</v>
      </c>
      <c r="M43" s="35">
        <f t="shared" si="8"/>
        <v>-0.2</v>
      </c>
      <c r="N43" s="35">
        <f t="shared" si="8"/>
        <v>-0.2</v>
      </c>
      <c r="O43" s="35">
        <f t="shared" si="8"/>
        <v>-0.1</v>
      </c>
      <c r="P43" s="35">
        <f t="shared" ref="P43:AD43" si="9">P22-P41</f>
        <v>6.5</v>
      </c>
      <c r="Q43" s="35">
        <f t="shared" si="9"/>
        <v>1.1000000000000001</v>
      </c>
      <c r="R43" s="35">
        <f t="shared" si="9"/>
        <v>0.4</v>
      </c>
      <c r="S43" s="35">
        <f t="shared" si="9"/>
        <v>0.60000000000000009</v>
      </c>
      <c r="T43" s="35">
        <f t="shared" si="9"/>
        <v>0</v>
      </c>
      <c r="U43" s="35">
        <f t="shared" si="9"/>
        <v>0</v>
      </c>
      <c r="V43" s="35">
        <f t="shared" si="9"/>
        <v>0.1</v>
      </c>
      <c r="W43" s="35">
        <f t="shared" si="9"/>
        <v>-0.1</v>
      </c>
      <c r="X43" s="35">
        <f t="shared" si="9"/>
        <v>0.3</v>
      </c>
      <c r="Y43" s="35">
        <f t="shared" si="9"/>
        <v>0</v>
      </c>
      <c r="Z43" s="35">
        <f t="shared" si="9"/>
        <v>8</v>
      </c>
      <c r="AA43" s="35">
        <f t="shared" si="9"/>
        <v>2.1</v>
      </c>
      <c r="AB43" s="35">
        <f t="shared" si="9"/>
        <v>-0.50000000000000044</v>
      </c>
      <c r="AC43" s="35">
        <f t="shared" si="9"/>
        <v>18.2</v>
      </c>
      <c r="AD43" s="35">
        <f t="shared" si="9"/>
        <v>18.7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0</v>
      </c>
      <c r="H47" s="35">
        <f t="shared" si="10"/>
        <v>0</v>
      </c>
      <c r="I47" s="35">
        <f t="shared" si="10"/>
        <v>0</v>
      </c>
      <c r="J47" s="35">
        <f t="shared" si="10"/>
        <v>-0.1</v>
      </c>
      <c r="K47" s="35">
        <f t="shared" si="10"/>
        <v>-0.5</v>
      </c>
      <c r="L47" s="35">
        <f t="shared" si="10"/>
        <v>0.8</v>
      </c>
      <c r="M47" s="35">
        <f t="shared" si="10"/>
        <v>-0.2</v>
      </c>
      <c r="N47" s="35">
        <f t="shared" si="10"/>
        <v>-0.2</v>
      </c>
      <c r="O47" s="35">
        <f t="shared" si="10"/>
        <v>-0.1</v>
      </c>
      <c r="P47" s="35">
        <f t="shared" si="10"/>
        <v>6.5</v>
      </c>
      <c r="Q47" s="35">
        <f t="shared" si="10"/>
        <v>1.1000000000000001</v>
      </c>
      <c r="R47" s="35">
        <f t="shared" si="10"/>
        <v>0.4</v>
      </c>
      <c r="S47" s="35">
        <f t="shared" si="10"/>
        <v>0.60000000000000009</v>
      </c>
      <c r="T47" s="35">
        <f t="shared" si="10"/>
        <v>0</v>
      </c>
      <c r="U47" s="35">
        <f t="shared" si="10"/>
        <v>0</v>
      </c>
      <c r="V47" s="35">
        <f t="shared" si="10"/>
        <v>0.1</v>
      </c>
      <c r="W47" s="35">
        <f t="shared" si="10"/>
        <v>-0.1</v>
      </c>
      <c r="X47" s="35">
        <f t="shared" si="10"/>
        <v>0.3</v>
      </c>
      <c r="Y47" s="35">
        <f t="shared" si="10"/>
        <v>0</v>
      </c>
      <c r="Z47" s="35">
        <f t="shared" si="10"/>
        <v>8</v>
      </c>
      <c r="AA47" s="35">
        <f t="shared" si="10"/>
        <v>2.1</v>
      </c>
      <c r="AB47" s="35">
        <f t="shared" si="10"/>
        <v>-0.50000000000000044</v>
      </c>
      <c r="AC47" s="35">
        <f t="shared" si="10"/>
        <v>18.2</v>
      </c>
      <c r="AD47" s="35">
        <f t="shared" si="10"/>
        <v>18.7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111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/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9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112</v>
      </c>
      <c r="AD8" s="31" t="s">
        <v>113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114</v>
      </c>
      <c r="H9" s="53" t="s">
        <v>115</v>
      </c>
      <c r="I9" s="53" t="s">
        <v>116</v>
      </c>
      <c r="J9" s="57" t="s">
        <v>117</v>
      </c>
      <c r="K9" s="57" t="s">
        <v>118</v>
      </c>
      <c r="L9" s="53" t="s">
        <v>119</v>
      </c>
      <c r="M9" s="53" t="s">
        <v>120</v>
      </c>
      <c r="N9" s="53" t="s">
        <v>121</v>
      </c>
      <c r="O9" s="57" t="s">
        <v>122</v>
      </c>
      <c r="P9" s="57" t="s">
        <v>123</v>
      </c>
      <c r="Q9" s="53" t="s">
        <v>124</v>
      </c>
      <c r="R9" s="53" t="s">
        <v>125</v>
      </c>
      <c r="S9" s="53" t="s">
        <v>126</v>
      </c>
      <c r="T9" s="53" t="s">
        <v>127</v>
      </c>
      <c r="U9" s="53" t="s">
        <v>128</v>
      </c>
      <c r="V9" s="53" t="s">
        <v>129</v>
      </c>
      <c r="W9" s="57" t="s">
        <v>130</v>
      </c>
      <c r="X9" s="53" t="s">
        <v>131</v>
      </c>
      <c r="Y9" s="57" t="s">
        <v>132</v>
      </c>
      <c r="Z9" s="57" t="s">
        <v>133</v>
      </c>
      <c r="AA9" s="53" t="s">
        <v>134</v>
      </c>
      <c r="AB9" s="53" t="s">
        <v>135</v>
      </c>
      <c r="AC9" s="16" t="s">
        <v>36</v>
      </c>
      <c r="AD9" s="52" t="s">
        <v>134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10">
        <v>0</v>
      </c>
      <c r="G11" s="10">
        <v>0.1</v>
      </c>
      <c r="H11" s="10">
        <v>0.1</v>
      </c>
      <c r="I11" s="10">
        <v>0.4</v>
      </c>
      <c r="J11" s="62">
        <f>0.1+0.2</f>
        <v>0.30000000000000004</v>
      </c>
      <c r="K11" s="10">
        <v>0</v>
      </c>
      <c r="L11" s="10">
        <v>0.2</v>
      </c>
      <c r="M11" s="62">
        <f>0.6+0.3</f>
        <v>0.89999999999999991</v>
      </c>
      <c r="N11" s="62">
        <f>45.7+1.5</f>
        <v>47.2</v>
      </c>
      <c r="O11" s="10">
        <v>0.6</v>
      </c>
      <c r="P11" s="10">
        <v>0.4</v>
      </c>
      <c r="Q11" s="10">
        <v>0.1</v>
      </c>
      <c r="R11" s="10">
        <v>0</v>
      </c>
      <c r="S11" s="10">
        <v>0</v>
      </c>
      <c r="T11" s="10">
        <v>0</v>
      </c>
      <c r="U11" s="62">
        <f>0.4+0.1</f>
        <v>0.5</v>
      </c>
      <c r="V11" s="62">
        <f>4.6+1.9</f>
        <v>6.5</v>
      </c>
      <c r="W11" s="62">
        <f>0.2+0.2</f>
        <v>0.4</v>
      </c>
      <c r="X11" s="10">
        <v>0.2</v>
      </c>
      <c r="Y11" s="10">
        <v>0.1</v>
      </c>
      <c r="Z11" s="62">
        <f>0+0.6</f>
        <v>0.6</v>
      </c>
      <c r="AA11" s="62">
        <f>0.1+0.1</f>
        <v>0.2</v>
      </c>
      <c r="AB11" s="26">
        <f t="shared" ref="AB11:AB20" si="0">AC11-SUM(F11:AA11)</f>
        <v>0.39999999999998437</v>
      </c>
      <c r="AC11" s="60">
        <f>55.3+3.9</f>
        <v>59.199999999999996</v>
      </c>
      <c r="AD11" s="58">
        <f>SUM(F11:AA11)</f>
        <v>58.800000000000011</v>
      </c>
      <c r="AE11" s="3"/>
    </row>
    <row r="12" spans="1:31" ht="15" customHeight="1" x14ac:dyDescent="0.2">
      <c r="A12" s="19"/>
      <c r="B12" s="21"/>
      <c r="C12" s="21" t="s">
        <v>107</v>
      </c>
      <c r="D12" s="21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60">
        <f>0.6-0.6</f>
        <v>0</v>
      </c>
      <c r="AD12" s="58">
        <f t="shared" ref="AD12:AD20" si="1">SUM(F12:AA12)</f>
        <v>0</v>
      </c>
    </row>
    <row r="13" spans="1:31" ht="15" customHeight="1" x14ac:dyDescent="0.2">
      <c r="A13" s="19"/>
      <c r="B13" s="21"/>
      <c r="C13" s="21" t="s">
        <v>42</v>
      </c>
      <c r="D13" s="21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0.2</v>
      </c>
      <c r="L13" s="10">
        <v>0</v>
      </c>
      <c r="M13" s="10">
        <v>0</v>
      </c>
      <c r="N13" s="10">
        <v>0.2</v>
      </c>
      <c r="O13" s="10">
        <v>0</v>
      </c>
      <c r="P13" s="10">
        <v>0</v>
      </c>
      <c r="Q13" s="10">
        <v>0.6</v>
      </c>
      <c r="R13" s="10">
        <v>0</v>
      </c>
      <c r="S13" s="10">
        <v>0</v>
      </c>
      <c r="T13" s="10">
        <v>0</v>
      </c>
      <c r="U13" s="10">
        <v>0</v>
      </c>
      <c r="V13" s="10">
        <v>2.5</v>
      </c>
      <c r="W13" s="10">
        <v>0</v>
      </c>
      <c r="X13" s="10">
        <v>0</v>
      </c>
      <c r="Y13" s="10">
        <v>0</v>
      </c>
      <c r="Z13" s="10">
        <v>0.3</v>
      </c>
      <c r="AA13" s="10">
        <v>0</v>
      </c>
      <c r="AB13" s="26">
        <f t="shared" si="0"/>
        <v>0</v>
      </c>
      <c r="AC13" s="10">
        <v>3.8</v>
      </c>
      <c r="AD13" s="58">
        <f t="shared" si="1"/>
        <v>3.8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0.8</v>
      </c>
      <c r="AC14" s="10">
        <v>0.8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44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0.1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0.1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0.2</v>
      </c>
      <c r="AD19" s="58">
        <f t="shared" si="1"/>
        <v>0.2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0.1</v>
      </c>
      <c r="H22" s="11">
        <f t="shared" si="2"/>
        <v>0.1</v>
      </c>
      <c r="I22" s="11">
        <f t="shared" si="2"/>
        <v>0.4</v>
      </c>
      <c r="J22" s="11">
        <f t="shared" si="2"/>
        <v>0.30000000000000004</v>
      </c>
      <c r="K22" s="11">
        <f t="shared" si="2"/>
        <v>0.2</v>
      </c>
      <c r="L22" s="11">
        <f t="shared" si="2"/>
        <v>0.2</v>
      </c>
      <c r="M22" s="11">
        <f t="shared" si="2"/>
        <v>0.89999999999999991</v>
      </c>
      <c r="N22" s="11">
        <f t="shared" si="2"/>
        <v>47.400000000000006</v>
      </c>
      <c r="O22" s="11">
        <f t="shared" si="2"/>
        <v>0.7</v>
      </c>
      <c r="P22" s="11">
        <f t="shared" si="2"/>
        <v>0.4</v>
      </c>
      <c r="Q22" s="11">
        <f t="shared" si="2"/>
        <v>0.7</v>
      </c>
      <c r="R22" s="11">
        <f t="shared" si="2"/>
        <v>0</v>
      </c>
      <c r="S22" s="11">
        <f t="shared" si="2"/>
        <v>0</v>
      </c>
      <c r="T22" s="11">
        <f t="shared" si="2"/>
        <v>0</v>
      </c>
      <c r="U22" s="11">
        <f t="shared" si="2"/>
        <v>0.5</v>
      </c>
      <c r="V22" s="11">
        <f t="shared" si="2"/>
        <v>9</v>
      </c>
      <c r="W22" s="11">
        <f t="shared" si="2"/>
        <v>0.5</v>
      </c>
      <c r="X22" s="11">
        <f t="shared" si="2"/>
        <v>0.2</v>
      </c>
      <c r="Y22" s="11">
        <f t="shared" si="2"/>
        <v>0.1</v>
      </c>
      <c r="Z22" s="11">
        <f t="shared" si="2"/>
        <v>0.89999999999999991</v>
      </c>
      <c r="AA22" s="11">
        <f t="shared" si="2"/>
        <v>0.2</v>
      </c>
      <c r="AB22" s="11">
        <f t="shared" si="2"/>
        <v>1.1999999999999844</v>
      </c>
      <c r="AC22" s="11">
        <f t="shared" si="2"/>
        <v>63.999999999999993</v>
      </c>
      <c r="AD22" s="11">
        <f t="shared" si="2"/>
        <v>62.800000000000011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10">
        <v>0</v>
      </c>
      <c r="G25" s="10">
        <v>0.2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2.1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2.2999999999999998</v>
      </c>
      <c r="AD25" s="58">
        <f t="shared" ref="AD25:AD39" si="4">SUM(F25:AA25)</f>
        <v>2.3000000000000003</v>
      </c>
      <c r="AE25" s="3"/>
    </row>
    <row r="26" spans="1:31" ht="15" customHeight="1" x14ac:dyDescent="0.2">
      <c r="A26" s="19"/>
      <c r="B26" s="21"/>
      <c r="C26" s="21" t="s">
        <v>53</v>
      </c>
      <c r="D26" s="21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0.6</v>
      </c>
      <c r="AC26" s="10">
        <v>0.6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21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21"/>
      <c r="E28" s="3"/>
      <c r="F28" s="10">
        <v>0</v>
      </c>
      <c r="G28" s="10">
        <v>0</v>
      </c>
      <c r="H28" s="10">
        <v>0</v>
      </c>
      <c r="I28" s="10">
        <v>0</v>
      </c>
      <c r="J28" s="62">
        <v>0.2</v>
      </c>
      <c r="K28" s="10">
        <v>0</v>
      </c>
      <c r="L28" s="10">
        <v>0</v>
      </c>
      <c r="M28" s="62">
        <f>0.2+0.3</f>
        <v>0.5</v>
      </c>
      <c r="N28" s="62">
        <f>0.4+1.5</f>
        <v>1.9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62">
        <f>0.3+0.1</f>
        <v>0.4</v>
      </c>
      <c r="V28" s="62">
        <f>5.4+1.9</f>
        <v>7.3000000000000007</v>
      </c>
      <c r="W28" s="62">
        <f>0.8+0.2</f>
        <v>1</v>
      </c>
      <c r="X28" s="10">
        <v>0</v>
      </c>
      <c r="Y28" s="10">
        <v>0</v>
      </c>
      <c r="Z28" s="62">
        <f>0.3+0.6</f>
        <v>0.89999999999999991</v>
      </c>
      <c r="AA28" s="62">
        <f>0.1+0.1</f>
        <v>0.2</v>
      </c>
      <c r="AB28" s="26">
        <f t="shared" si="3"/>
        <v>9.9999999999999645E-2</v>
      </c>
      <c r="AC28" s="10">
        <v>12.5</v>
      </c>
      <c r="AD28" s="58">
        <f t="shared" si="4"/>
        <v>12.4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0.1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0.1</v>
      </c>
      <c r="AD29" s="58">
        <f t="shared" si="4"/>
        <v>0.1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10">
        <v>0</v>
      </c>
      <c r="G30" s="10">
        <v>0</v>
      </c>
      <c r="H30" s="10">
        <v>0</v>
      </c>
      <c r="I30" s="10">
        <v>0.1</v>
      </c>
      <c r="J30" s="10">
        <v>0.1</v>
      </c>
      <c r="K30" s="10">
        <v>0.1</v>
      </c>
      <c r="L30" s="10">
        <v>0</v>
      </c>
      <c r="M30" s="10">
        <v>0.1</v>
      </c>
      <c r="N30" s="10">
        <v>0</v>
      </c>
      <c r="O30" s="10">
        <v>0.1</v>
      </c>
      <c r="P30" s="10">
        <v>0.2</v>
      </c>
      <c r="Q30" s="10">
        <v>0.2</v>
      </c>
      <c r="R30" s="10">
        <v>0</v>
      </c>
      <c r="S30" s="10">
        <v>0.1</v>
      </c>
      <c r="T30" s="10">
        <v>0.2</v>
      </c>
      <c r="U30" s="10">
        <v>0.1</v>
      </c>
      <c r="V30" s="10">
        <v>0.1</v>
      </c>
      <c r="W30" s="10">
        <v>0</v>
      </c>
      <c r="X30" s="10">
        <v>0.3</v>
      </c>
      <c r="Y30" s="10">
        <v>0.1</v>
      </c>
      <c r="Z30" s="10">
        <v>0.1</v>
      </c>
      <c r="AA30" s="10">
        <v>0.2</v>
      </c>
      <c r="AB30" s="26">
        <f t="shared" si="3"/>
        <v>9.9999999999999645E-2</v>
      </c>
      <c r="AC30" s="10">
        <v>2.2000000000000002</v>
      </c>
      <c r="AD30" s="58">
        <f t="shared" si="4"/>
        <v>2.1000000000000005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0.9</v>
      </c>
      <c r="X33" s="10">
        <v>0.3</v>
      </c>
      <c r="Y33" s="10">
        <v>1</v>
      </c>
      <c r="Z33" s="10">
        <v>0.4</v>
      </c>
      <c r="AA33" s="10">
        <v>0.4</v>
      </c>
      <c r="AB33" s="26">
        <f t="shared" si="3"/>
        <v>0</v>
      </c>
      <c r="AC33" s="10">
        <v>3</v>
      </c>
      <c r="AD33" s="58">
        <f t="shared" si="4"/>
        <v>3</v>
      </c>
      <c r="AE33" s="3"/>
    </row>
    <row r="34" spans="1:31" ht="15" customHeight="1" x14ac:dyDescent="0.2">
      <c r="A34" s="19"/>
      <c r="B34" s="21" t="s">
        <v>137</v>
      </c>
      <c r="C34" s="3"/>
      <c r="D34" s="3"/>
      <c r="E34" s="3"/>
      <c r="F34" s="10">
        <v>0</v>
      </c>
      <c r="G34" s="10">
        <v>0</v>
      </c>
      <c r="H34" s="10">
        <v>0.1</v>
      </c>
      <c r="I34" s="10">
        <v>0.1</v>
      </c>
      <c r="J34" s="10">
        <v>0.1</v>
      </c>
      <c r="K34" s="10">
        <v>0.1</v>
      </c>
      <c r="L34" s="10">
        <v>0.1</v>
      </c>
      <c r="M34" s="10">
        <v>0.1</v>
      </c>
      <c r="N34" s="10">
        <v>0.1</v>
      </c>
      <c r="O34" s="10">
        <v>0.1</v>
      </c>
      <c r="P34" s="10">
        <v>0.1</v>
      </c>
      <c r="Q34" s="10">
        <v>1.1000000000000001</v>
      </c>
      <c r="R34" s="10">
        <v>0.2</v>
      </c>
      <c r="S34" s="10">
        <v>0.2</v>
      </c>
      <c r="T34" s="10">
        <v>0.1</v>
      </c>
      <c r="U34" s="10">
        <v>0.1</v>
      </c>
      <c r="V34" s="10">
        <v>0.1</v>
      </c>
      <c r="W34" s="10">
        <v>0.1</v>
      </c>
      <c r="X34" s="10">
        <v>0.5</v>
      </c>
      <c r="Y34" s="10">
        <v>0.1</v>
      </c>
      <c r="Z34" s="10">
        <v>0.2</v>
      </c>
      <c r="AA34" s="10">
        <v>0.4</v>
      </c>
      <c r="AB34" s="26">
        <f t="shared" si="3"/>
        <v>0.99999999999999911</v>
      </c>
      <c r="AC34" s="10">
        <v>5</v>
      </c>
      <c r="AD34" s="58">
        <f t="shared" si="4"/>
        <v>4.0000000000000009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5.0999999999999996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5.0999999999999996</v>
      </c>
      <c r="AD35" s="58">
        <f t="shared" si="4"/>
        <v>5.0999999999999996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0.2</v>
      </c>
      <c r="H41" s="11">
        <f t="shared" si="5"/>
        <v>0.1</v>
      </c>
      <c r="I41" s="11">
        <f t="shared" si="5"/>
        <v>0.2</v>
      </c>
      <c r="J41" s="11">
        <f t="shared" si="5"/>
        <v>0.4</v>
      </c>
      <c r="K41" s="11">
        <f t="shared" si="5"/>
        <v>0.2</v>
      </c>
      <c r="L41" s="11">
        <f t="shared" si="5"/>
        <v>0.1</v>
      </c>
      <c r="M41" s="11">
        <f t="shared" si="5"/>
        <v>0.79999999999999993</v>
      </c>
      <c r="N41" s="11">
        <f t="shared" si="5"/>
        <v>2</v>
      </c>
      <c r="O41" s="11">
        <f t="shared" si="5"/>
        <v>0.2</v>
      </c>
      <c r="P41" s="11">
        <f t="shared" si="5"/>
        <v>0.30000000000000004</v>
      </c>
      <c r="Q41" s="11">
        <f t="shared" si="5"/>
        <v>6.3999999999999995</v>
      </c>
      <c r="R41" s="11">
        <f t="shared" si="5"/>
        <v>0.2</v>
      </c>
      <c r="S41" s="11">
        <f t="shared" si="5"/>
        <v>0.30000000000000004</v>
      </c>
      <c r="T41" s="11">
        <f t="shared" si="5"/>
        <v>2.4000000000000004</v>
      </c>
      <c r="U41" s="11">
        <f t="shared" si="5"/>
        <v>0.6</v>
      </c>
      <c r="V41" s="11">
        <f t="shared" si="5"/>
        <v>7.5</v>
      </c>
      <c r="W41" s="11">
        <f t="shared" si="5"/>
        <v>2</v>
      </c>
      <c r="X41" s="11">
        <f t="shared" si="5"/>
        <v>1.1000000000000001</v>
      </c>
      <c r="Y41" s="11">
        <f t="shared" si="5"/>
        <v>1.2000000000000002</v>
      </c>
      <c r="Z41" s="11">
        <f t="shared" si="5"/>
        <v>1.5999999999999999</v>
      </c>
      <c r="AA41" s="11">
        <f t="shared" si="5"/>
        <v>1.2000000000000002</v>
      </c>
      <c r="AB41" s="11">
        <f t="shared" si="5"/>
        <v>1.7999999999999985</v>
      </c>
      <c r="AC41" s="11">
        <f t="shared" si="5"/>
        <v>30.799999999999997</v>
      </c>
      <c r="AD41" s="11">
        <f t="shared" si="5"/>
        <v>29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-0.1</v>
      </c>
      <c r="H43" s="35">
        <f t="shared" si="6"/>
        <v>0</v>
      </c>
      <c r="I43" s="35">
        <f t="shared" si="6"/>
        <v>0.2</v>
      </c>
      <c r="J43" s="35">
        <f t="shared" si="6"/>
        <v>-9.9999999999999978E-2</v>
      </c>
      <c r="K43" s="35">
        <f t="shared" si="6"/>
        <v>0</v>
      </c>
      <c r="L43" s="35">
        <f t="shared" si="6"/>
        <v>0.1</v>
      </c>
      <c r="M43" s="35">
        <f t="shared" si="6"/>
        <v>9.9999999999999978E-2</v>
      </c>
      <c r="N43" s="35">
        <f t="shared" si="6"/>
        <v>45.400000000000006</v>
      </c>
      <c r="O43" s="35">
        <f t="shared" si="6"/>
        <v>0.49999999999999994</v>
      </c>
      <c r="P43" s="35">
        <f t="shared" si="6"/>
        <v>9.9999999999999978E-2</v>
      </c>
      <c r="Q43" s="35">
        <f t="shared" si="6"/>
        <v>-5.6999999999999993</v>
      </c>
      <c r="R43" s="35">
        <f t="shared" si="6"/>
        <v>-0.2</v>
      </c>
      <c r="S43" s="35">
        <f t="shared" si="6"/>
        <v>-0.30000000000000004</v>
      </c>
      <c r="T43" s="35">
        <f t="shared" si="6"/>
        <v>-2.4000000000000004</v>
      </c>
      <c r="U43" s="35">
        <f t="shared" si="6"/>
        <v>-9.9999999999999978E-2</v>
      </c>
      <c r="V43" s="35">
        <f t="shared" si="6"/>
        <v>1.5</v>
      </c>
      <c r="W43" s="35">
        <f t="shared" si="6"/>
        <v>-1.5</v>
      </c>
      <c r="X43" s="35">
        <f t="shared" si="6"/>
        <v>-0.90000000000000013</v>
      </c>
      <c r="Y43" s="35">
        <f t="shared" si="6"/>
        <v>-1.1000000000000001</v>
      </c>
      <c r="Z43" s="35">
        <f t="shared" si="6"/>
        <v>-0.7</v>
      </c>
      <c r="AA43" s="35">
        <f t="shared" si="6"/>
        <v>-1.0000000000000002</v>
      </c>
      <c r="AB43" s="35">
        <f t="shared" si="6"/>
        <v>-0.60000000000001408</v>
      </c>
      <c r="AC43" s="35">
        <f t="shared" si="6"/>
        <v>33.199999999999996</v>
      </c>
      <c r="AD43" s="35">
        <f t="shared" si="6"/>
        <v>33.800000000000011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-0.1</v>
      </c>
      <c r="H47" s="35">
        <f t="shared" si="7"/>
        <v>0</v>
      </c>
      <c r="I47" s="35">
        <f t="shared" si="7"/>
        <v>0.2</v>
      </c>
      <c r="J47" s="35">
        <f t="shared" si="7"/>
        <v>-9.9999999999999978E-2</v>
      </c>
      <c r="K47" s="35">
        <f t="shared" si="7"/>
        <v>0</v>
      </c>
      <c r="L47" s="35">
        <f t="shared" si="7"/>
        <v>0.1</v>
      </c>
      <c r="M47" s="35">
        <f t="shared" si="7"/>
        <v>9.9999999999999978E-2</v>
      </c>
      <c r="N47" s="35">
        <f t="shared" si="7"/>
        <v>45.400000000000006</v>
      </c>
      <c r="O47" s="35">
        <f t="shared" si="7"/>
        <v>0.49999999999999994</v>
      </c>
      <c r="P47" s="35">
        <f t="shared" si="7"/>
        <v>9.9999999999999978E-2</v>
      </c>
      <c r="Q47" s="35">
        <f t="shared" si="7"/>
        <v>-5.6999999999999993</v>
      </c>
      <c r="R47" s="35">
        <f t="shared" si="7"/>
        <v>-0.2</v>
      </c>
      <c r="S47" s="35">
        <f t="shared" si="7"/>
        <v>-0.30000000000000004</v>
      </c>
      <c r="T47" s="35">
        <f t="shared" si="7"/>
        <v>-2.4000000000000004</v>
      </c>
      <c r="U47" s="35">
        <f t="shared" si="7"/>
        <v>-9.9999999999999978E-2</v>
      </c>
      <c r="V47" s="35">
        <f t="shared" si="7"/>
        <v>1.5</v>
      </c>
      <c r="W47" s="35">
        <f t="shared" si="7"/>
        <v>-1.5</v>
      </c>
      <c r="X47" s="35">
        <f t="shared" si="7"/>
        <v>-0.90000000000000013</v>
      </c>
      <c r="Y47" s="35">
        <f t="shared" si="7"/>
        <v>-1.1000000000000001</v>
      </c>
      <c r="Z47" s="35">
        <f t="shared" si="7"/>
        <v>-0.7</v>
      </c>
      <c r="AA47" s="35">
        <f t="shared" si="7"/>
        <v>-1.0000000000000002</v>
      </c>
      <c r="AB47" s="35">
        <f t="shared" si="7"/>
        <v>-0.60000000000001408</v>
      </c>
      <c r="AC47" s="35">
        <f t="shared" si="7"/>
        <v>33.199999999999996</v>
      </c>
      <c r="AD47" s="35">
        <f t="shared" si="7"/>
        <v>33.800000000000011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'NNG-Mar.'!A2</f>
        <v>MARCH,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'NNG-Mar.'!A3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'NNG-Mar.'!F7</f>
        <v>0</v>
      </c>
      <c r="G7" s="48" t="str">
        <f>'NNG-Mar.'!G7</f>
        <v>Act</v>
      </c>
      <c r="H7" s="48" t="str">
        <f>'NNG-Mar.'!H7</f>
        <v>Act</v>
      </c>
      <c r="I7" s="48" t="str">
        <f>'NNG-Mar.'!I7</f>
        <v>Act</v>
      </c>
      <c r="J7" s="48" t="str">
        <f>'NNG-Mar.'!J7</f>
        <v>Act</v>
      </c>
      <c r="K7" s="48" t="str">
        <f>'NNG-Mar.'!K7</f>
        <v>Act</v>
      </c>
      <c r="L7" s="48" t="str">
        <f>'NNG-Mar.'!L7</f>
        <v>Act</v>
      </c>
      <c r="M7" s="48" t="str">
        <f>'NNG-Mar.'!M7</f>
        <v>Act</v>
      </c>
      <c r="N7" s="48" t="str">
        <f>'NNG-Mar.'!N7</f>
        <v>Act</v>
      </c>
      <c r="O7" s="48" t="str">
        <f>'NNG-Mar.'!O7</f>
        <v>Act</v>
      </c>
      <c r="P7" s="48" t="str">
        <f>'NNG-Mar.'!P7</f>
        <v>Act</v>
      </c>
      <c r="Q7" s="48" t="str">
        <f>'NNG-Mar.'!Q7</f>
        <v>Act</v>
      </c>
      <c r="R7" s="48" t="str">
        <f>'NNG-Mar.'!R7</f>
        <v>Act</v>
      </c>
      <c r="S7" s="48" t="str">
        <f>'NNG-Mar.'!S7</f>
        <v>Act</v>
      </c>
      <c r="T7" s="48" t="str">
        <f>'NNG-Mar.'!T7</f>
        <v>Act</v>
      </c>
      <c r="U7" s="48" t="str">
        <f>'NNG-Mar.'!U7</f>
        <v>Act</v>
      </c>
      <c r="V7" s="48" t="str">
        <f>'NNG-Mar.'!V7</f>
        <v>Act</v>
      </c>
      <c r="W7" s="48" t="str">
        <f>'NNG-Mar.'!W7</f>
        <v>Act</v>
      </c>
      <c r="X7" s="48" t="str">
        <f>'NNG-Mar.'!X7</f>
        <v>Act</v>
      </c>
      <c r="Y7" s="48" t="str">
        <f>'NNG-Mar.'!Y7</f>
        <v>Act</v>
      </c>
      <c r="Z7" s="48" t="str">
        <f>'NNG-Mar.'!Z7</f>
        <v>Act</v>
      </c>
      <c r="AA7" s="48" t="str">
        <f>'NNG-Mar.'!AA7</f>
        <v>Act</v>
      </c>
      <c r="AB7" s="48">
        <f>'NNG-Mar.'!AB7</f>
        <v>0</v>
      </c>
      <c r="AC7" s="48"/>
      <c r="AD7" s="48" t="str">
        <f>'NNG-Mar.'!AD7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'NNG-Mar.'!F8</f>
        <v>Day</v>
      </c>
      <c r="G8" s="48" t="str">
        <f>'NNG-Mar.'!G8</f>
        <v>Thu</v>
      </c>
      <c r="H8" s="48" t="str">
        <f>'NNG-Mar.'!H8</f>
        <v>Fri</v>
      </c>
      <c r="I8" s="48" t="str">
        <f>'NNG-Mar.'!I8</f>
        <v>Mon</v>
      </c>
      <c r="J8" s="48" t="str">
        <f>'NNG-Mar.'!J8</f>
        <v>Tue</v>
      </c>
      <c r="K8" s="48" t="str">
        <f>'NNG-Mar.'!K8</f>
        <v>Wed</v>
      </c>
      <c r="L8" s="48" t="str">
        <f>'NNG-Mar.'!L8</f>
        <v>Thu</v>
      </c>
      <c r="M8" s="48" t="str">
        <f>'NNG-Mar.'!M8</f>
        <v>Fri</v>
      </c>
      <c r="N8" s="48" t="str">
        <f>'NNG-Mar.'!N8</f>
        <v>Mon</v>
      </c>
      <c r="O8" s="48" t="str">
        <f>'NNG-Mar.'!O8</f>
        <v>Tue</v>
      </c>
      <c r="P8" s="48" t="str">
        <f>'NNG-Mar.'!P8</f>
        <v>Wed</v>
      </c>
      <c r="Q8" s="48" t="str">
        <f>'NNG-Mar.'!Q8</f>
        <v>Thu</v>
      </c>
      <c r="R8" s="48" t="str">
        <f>'NNG-Mar.'!R8</f>
        <v>Fri</v>
      </c>
      <c r="S8" s="48" t="str">
        <f>'NNG-Mar.'!S8</f>
        <v>Mon</v>
      </c>
      <c r="T8" s="48" t="str">
        <f>'NNG-Mar.'!T8</f>
        <v>Tue</v>
      </c>
      <c r="U8" s="48" t="str">
        <f>'NNG-Mar.'!U8</f>
        <v>Wed</v>
      </c>
      <c r="V8" s="48" t="str">
        <f>'NNG-Mar.'!V8</f>
        <v>Thu</v>
      </c>
      <c r="W8" s="48" t="str">
        <f>'NNG-Mar.'!W8</f>
        <v>Fri</v>
      </c>
      <c r="X8" s="48" t="str">
        <f>'NNG-Mar.'!X8</f>
        <v>Mon</v>
      </c>
      <c r="Y8" s="48" t="str">
        <f>'NNG-Mar.'!Y8</f>
        <v>Tue</v>
      </c>
      <c r="Z8" s="48" t="str">
        <f>'NNG-Mar.'!Z8</f>
        <v>Wed</v>
      </c>
      <c r="AA8" s="48" t="str">
        <f>'NNG-Mar.'!AA8</f>
        <v>Thu</v>
      </c>
      <c r="AB8" s="48" t="str">
        <f>'NNG-Mar.'!AB8</f>
        <v>Fri</v>
      </c>
      <c r="AC8" s="48" t="str">
        <f>'NNG-Mar.'!AC8</f>
        <v>MARCH</v>
      </c>
      <c r="AD8" s="48" t="str">
        <f>'NNG-Mar.'!AD8</f>
        <v>3/1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'NNG-Mar.'!F9</f>
        <v>0/0</v>
      </c>
      <c r="G9" s="49" t="str">
        <f>'NNG-Mar.'!G9</f>
        <v>3/1</v>
      </c>
      <c r="H9" s="49" t="str">
        <f>'NNG-Mar.'!H9</f>
        <v>3/2</v>
      </c>
      <c r="I9" s="49" t="str">
        <f>'NNG-Mar.'!I9</f>
        <v>3/5</v>
      </c>
      <c r="J9" s="49" t="str">
        <f>'NNG-Mar.'!J9</f>
        <v>3/6</v>
      </c>
      <c r="K9" s="49" t="str">
        <f>'NNG-Mar.'!K9</f>
        <v>3/7</v>
      </c>
      <c r="L9" s="49" t="str">
        <f>'NNG-Mar.'!L9</f>
        <v>3/8</v>
      </c>
      <c r="M9" s="49" t="str">
        <f>'NNG-Mar.'!M9</f>
        <v>3/9</v>
      </c>
      <c r="N9" s="49" t="str">
        <f>'NNG-Mar.'!N9</f>
        <v>3/12</v>
      </c>
      <c r="O9" s="49" t="str">
        <f>'NNG-Mar.'!O9</f>
        <v>3/13</v>
      </c>
      <c r="P9" s="49" t="str">
        <f>'NNG-Mar.'!P9</f>
        <v>3/14</v>
      </c>
      <c r="Q9" s="49" t="str">
        <f>'NNG-Mar.'!Q9</f>
        <v>3/15</v>
      </c>
      <c r="R9" s="49" t="str">
        <f>'NNG-Mar.'!R9</f>
        <v>3/16</v>
      </c>
      <c r="S9" s="49" t="str">
        <f>'NNG-Mar.'!S9</f>
        <v>3/19</v>
      </c>
      <c r="T9" s="49" t="str">
        <f>'NNG-Mar.'!T9</f>
        <v>3/20</v>
      </c>
      <c r="U9" s="49" t="str">
        <f>'NNG-Mar.'!U9</f>
        <v>3/21</v>
      </c>
      <c r="V9" s="49" t="str">
        <f>'NNG-Mar.'!V9</f>
        <v>3/22</v>
      </c>
      <c r="W9" s="49" t="str">
        <f>'NNG-Mar.'!W9</f>
        <v>3/23</v>
      </c>
      <c r="X9" s="49" t="str">
        <f>'NNG-Mar.'!X9</f>
        <v>3/26</v>
      </c>
      <c r="Y9" s="49" t="str">
        <f>'NNG-Mar.'!Y9</f>
        <v>3/27</v>
      </c>
      <c r="Z9" s="49" t="str">
        <f>'NNG-Mar.'!Z9</f>
        <v>3/28</v>
      </c>
      <c r="AA9" s="49" t="str">
        <f>'NNG-Mar.'!AA9</f>
        <v>3/29</v>
      </c>
      <c r="AB9" s="49" t="str">
        <f>'NNG-Mar.'!AB9</f>
        <v>3/30</v>
      </c>
      <c r="AC9" s="49" t="str">
        <f>'NNG-Mar.'!AC9</f>
        <v>TOTAL</v>
      </c>
      <c r="AD9" s="49" t="str">
        <f>'NNG-Mar.'!AD9</f>
        <v>3/29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1.6</v>
      </c>
      <c r="L11" s="10">
        <v>0</v>
      </c>
      <c r="M11" s="10">
        <v>0</v>
      </c>
      <c r="N11" s="10">
        <v>13.9</v>
      </c>
      <c r="O11" s="10">
        <v>0.1</v>
      </c>
      <c r="P11" s="10">
        <v>0.2</v>
      </c>
      <c r="Q11" s="10">
        <v>0.1</v>
      </c>
      <c r="R11" s="10">
        <v>0</v>
      </c>
      <c r="S11" s="10">
        <v>0.1</v>
      </c>
      <c r="T11" s="10">
        <v>0</v>
      </c>
      <c r="U11" s="10">
        <v>0.2</v>
      </c>
      <c r="V11" s="10">
        <v>0.1</v>
      </c>
      <c r="W11" s="10">
        <v>0.3</v>
      </c>
      <c r="X11" s="10">
        <v>0</v>
      </c>
      <c r="Y11" s="10">
        <v>0</v>
      </c>
      <c r="Z11" s="10">
        <v>0.1</v>
      </c>
      <c r="AA11" s="10">
        <v>0</v>
      </c>
      <c r="AB11" s="26">
        <f t="shared" ref="AB11:AB20" si="0">AC11-SUM(F11:AA11)</f>
        <v>0</v>
      </c>
      <c r="AC11" s="60">
        <f>17-2+1.7</f>
        <v>16.7</v>
      </c>
      <c r="AD11" s="36">
        <f>SUM(F11:AA11)</f>
        <v>16.700000000000003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0.1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0.1</v>
      </c>
      <c r="AD12" s="36">
        <f t="shared" ref="AD12:AD20" si="1">SUM(F12:AA12)</f>
        <v>0.1</v>
      </c>
      <c r="AE12" s="3"/>
    </row>
    <row r="13" spans="1:31" ht="15" customHeight="1" x14ac:dyDescent="0.2">
      <c r="A13" s="19"/>
      <c r="B13" s="21"/>
      <c r="C13" s="21" t="s">
        <v>139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2</v>
      </c>
      <c r="AA13" s="10">
        <v>0</v>
      </c>
      <c r="AB13" s="26">
        <f t="shared" si="0"/>
        <v>0</v>
      </c>
      <c r="AC13" s="10">
        <v>2</v>
      </c>
      <c r="AD13" s="36">
        <f t="shared" si="1"/>
        <v>2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3.4</v>
      </c>
      <c r="X14" s="10">
        <v>2.1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5.5</v>
      </c>
      <c r="AD14" s="36">
        <f t="shared" si="1"/>
        <v>5.5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1.6</v>
      </c>
      <c r="L22" s="11">
        <f t="shared" si="2"/>
        <v>0</v>
      </c>
      <c r="M22" s="11">
        <f t="shared" si="2"/>
        <v>0</v>
      </c>
      <c r="N22" s="11">
        <f t="shared" si="2"/>
        <v>13.9</v>
      </c>
      <c r="O22" s="11">
        <f t="shared" si="2"/>
        <v>0.1</v>
      </c>
      <c r="P22" s="11">
        <f t="shared" si="2"/>
        <v>0.2</v>
      </c>
      <c r="Q22" s="11">
        <f t="shared" si="2"/>
        <v>0.1</v>
      </c>
      <c r="R22" s="11">
        <f t="shared" si="2"/>
        <v>0</v>
      </c>
      <c r="S22" s="11">
        <f t="shared" si="2"/>
        <v>0.1</v>
      </c>
      <c r="T22" s="11">
        <f t="shared" si="2"/>
        <v>0</v>
      </c>
      <c r="U22" s="11">
        <f t="shared" si="2"/>
        <v>0.2</v>
      </c>
      <c r="V22" s="11">
        <f t="shared" si="2"/>
        <v>0.1</v>
      </c>
      <c r="W22" s="11">
        <f t="shared" si="2"/>
        <v>3.6999999999999997</v>
      </c>
      <c r="X22" s="11">
        <f t="shared" si="2"/>
        <v>2.2000000000000002</v>
      </c>
      <c r="Y22" s="11">
        <f t="shared" si="2"/>
        <v>0</v>
      </c>
      <c r="Z22" s="11">
        <f t="shared" si="2"/>
        <v>2.1</v>
      </c>
      <c r="AA22" s="11">
        <f t="shared" si="2"/>
        <v>0</v>
      </c>
      <c r="AB22" s="11">
        <f t="shared" si="2"/>
        <v>0</v>
      </c>
      <c r="AC22" s="11">
        <f t="shared" si="2"/>
        <v>24.3</v>
      </c>
      <c r="AD22" s="11">
        <f t="shared" si="2"/>
        <v>24.300000000000004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10">
        <v>0</v>
      </c>
      <c r="G30" s="10">
        <v>0</v>
      </c>
      <c r="H30" s="10">
        <v>0</v>
      </c>
      <c r="I30" s="10">
        <v>0.1</v>
      </c>
      <c r="J30" s="10">
        <v>0</v>
      </c>
      <c r="K30" s="10">
        <v>0.1</v>
      </c>
      <c r="L30" s="10">
        <v>0.1</v>
      </c>
      <c r="M30" s="10">
        <v>0</v>
      </c>
      <c r="N30" s="10">
        <v>0.1</v>
      </c>
      <c r="O30" s="10">
        <v>0.1</v>
      </c>
      <c r="P30" s="10">
        <v>0</v>
      </c>
      <c r="Q30" s="10">
        <v>0</v>
      </c>
      <c r="R30" s="10">
        <v>0</v>
      </c>
      <c r="S30" s="10">
        <v>0</v>
      </c>
      <c r="T30" s="10">
        <v>0.1</v>
      </c>
      <c r="U30" s="10">
        <v>0</v>
      </c>
      <c r="V30" s="10">
        <v>0</v>
      </c>
      <c r="W30" s="10">
        <v>0</v>
      </c>
      <c r="X30" s="10">
        <v>0.1</v>
      </c>
      <c r="Y30" s="10">
        <v>0.1</v>
      </c>
      <c r="Z30" s="10">
        <v>0</v>
      </c>
      <c r="AA30" s="10">
        <v>0</v>
      </c>
      <c r="AB30" s="26">
        <f t="shared" si="3"/>
        <v>0.10000000000000009</v>
      </c>
      <c r="AC30" s="10">
        <v>0.9</v>
      </c>
      <c r="AD30" s="36">
        <f t="shared" si="4"/>
        <v>0.79999999999999993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0.1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0.1</v>
      </c>
      <c r="AD33" s="36">
        <f t="shared" si="4"/>
        <v>0.1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10">
        <v>0</v>
      </c>
      <c r="G34" s="10">
        <v>0.1</v>
      </c>
      <c r="H34" s="10">
        <v>0.4</v>
      </c>
      <c r="I34" s="10">
        <v>0.1</v>
      </c>
      <c r="J34" s="10">
        <v>0</v>
      </c>
      <c r="K34" s="10">
        <v>0</v>
      </c>
      <c r="L34" s="10">
        <v>0</v>
      </c>
      <c r="M34" s="10">
        <v>0.1</v>
      </c>
      <c r="N34" s="10">
        <v>0</v>
      </c>
      <c r="O34" s="10">
        <v>0</v>
      </c>
      <c r="P34" s="10">
        <v>0</v>
      </c>
      <c r="Q34" s="10">
        <v>0.2</v>
      </c>
      <c r="R34" s="10">
        <v>0</v>
      </c>
      <c r="S34" s="10">
        <v>0</v>
      </c>
      <c r="T34" s="10">
        <v>0</v>
      </c>
      <c r="U34" s="10">
        <v>0.1</v>
      </c>
      <c r="V34" s="10">
        <v>0.1</v>
      </c>
      <c r="W34" s="10">
        <v>0</v>
      </c>
      <c r="X34" s="10">
        <v>0</v>
      </c>
      <c r="Y34" s="10">
        <v>0</v>
      </c>
      <c r="Z34" s="10">
        <v>0</v>
      </c>
      <c r="AA34" s="10">
        <v>0.1</v>
      </c>
      <c r="AB34" s="26">
        <f t="shared" si="3"/>
        <v>0.5</v>
      </c>
      <c r="AC34" s="10">
        <v>1.7</v>
      </c>
      <c r="AD34" s="36">
        <f t="shared" si="4"/>
        <v>1.2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1.7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1.7</v>
      </c>
      <c r="AD36" s="36">
        <f t="shared" si="4"/>
        <v>1.7</v>
      </c>
      <c r="AE36" s="3"/>
    </row>
    <row r="37" spans="1:31" ht="15" customHeight="1" x14ac:dyDescent="0.2">
      <c r="A37" s="19"/>
      <c r="B37" s="21" t="s">
        <v>74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f>0</f>
        <v>0</v>
      </c>
      <c r="AD37" s="36">
        <f t="shared" si="4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0.1</v>
      </c>
      <c r="H41" s="11">
        <f t="shared" si="5"/>
        <v>0.4</v>
      </c>
      <c r="I41" s="11">
        <f t="shared" si="5"/>
        <v>0.2</v>
      </c>
      <c r="J41" s="11">
        <f t="shared" si="5"/>
        <v>0</v>
      </c>
      <c r="K41" s="11">
        <f t="shared" si="5"/>
        <v>0.1</v>
      </c>
      <c r="L41" s="11">
        <f t="shared" si="5"/>
        <v>0.1</v>
      </c>
      <c r="M41" s="11">
        <f t="shared" si="5"/>
        <v>1.8</v>
      </c>
      <c r="N41" s="11">
        <f t="shared" si="5"/>
        <v>0.1</v>
      </c>
      <c r="O41" s="11">
        <f t="shared" si="5"/>
        <v>0.1</v>
      </c>
      <c r="P41" s="11">
        <f t="shared" si="5"/>
        <v>0</v>
      </c>
      <c r="Q41" s="11">
        <f t="shared" si="5"/>
        <v>0.2</v>
      </c>
      <c r="R41" s="11">
        <f t="shared" si="5"/>
        <v>0</v>
      </c>
      <c r="S41" s="11">
        <f t="shared" si="5"/>
        <v>0</v>
      </c>
      <c r="T41" s="11">
        <f t="shared" si="5"/>
        <v>0.1</v>
      </c>
      <c r="U41" s="11">
        <f t="shared" si="5"/>
        <v>0.2</v>
      </c>
      <c r="V41" s="11">
        <f t="shared" si="5"/>
        <v>0.1</v>
      </c>
      <c r="W41" s="11">
        <f t="shared" si="5"/>
        <v>0</v>
      </c>
      <c r="X41" s="11">
        <f t="shared" si="5"/>
        <v>0.1</v>
      </c>
      <c r="Y41" s="11">
        <f t="shared" si="5"/>
        <v>0.1</v>
      </c>
      <c r="Z41" s="11">
        <f t="shared" si="5"/>
        <v>0</v>
      </c>
      <c r="AA41" s="11">
        <f t="shared" si="5"/>
        <v>0.1</v>
      </c>
      <c r="AB41" s="11">
        <f t="shared" si="5"/>
        <v>0.8</v>
      </c>
      <c r="AC41" s="11">
        <f t="shared" si="5"/>
        <v>4.6000000000000005</v>
      </c>
      <c r="AD41" s="11">
        <f t="shared" si="5"/>
        <v>3.8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-0.1</v>
      </c>
      <c r="H43" s="35">
        <f t="shared" si="6"/>
        <v>-0.4</v>
      </c>
      <c r="I43" s="35">
        <f t="shared" si="6"/>
        <v>-0.2</v>
      </c>
      <c r="J43" s="35">
        <f t="shared" si="6"/>
        <v>0</v>
      </c>
      <c r="K43" s="35">
        <f t="shared" si="6"/>
        <v>1.5</v>
      </c>
      <c r="L43" s="35">
        <f t="shared" si="6"/>
        <v>-0.1</v>
      </c>
      <c r="M43" s="35">
        <f t="shared" si="6"/>
        <v>-1.8</v>
      </c>
      <c r="N43" s="35">
        <f t="shared" si="6"/>
        <v>13.8</v>
      </c>
      <c r="O43" s="35">
        <f t="shared" si="6"/>
        <v>0</v>
      </c>
      <c r="P43" s="35">
        <f t="shared" si="6"/>
        <v>0.2</v>
      </c>
      <c r="Q43" s="35">
        <f t="shared" si="6"/>
        <v>-0.1</v>
      </c>
      <c r="R43" s="35">
        <f t="shared" si="6"/>
        <v>0</v>
      </c>
      <c r="S43" s="35">
        <f t="shared" si="6"/>
        <v>0.1</v>
      </c>
      <c r="T43" s="35">
        <f t="shared" si="6"/>
        <v>-0.1</v>
      </c>
      <c r="U43" s="35">
        <f t="shared" si="6"/>
        <v>0</v>
      </c>
      <c r="V43" s="35">
        <f t="shared" si="6"/>
        <v>0</v>
      </c>
      <c r="W43" s="35">
        <f t="shared" si="6"/>
        <v>3.6999999999999997</v>
      </c>
      <c r="X43" s="35">
        <f t="shared" si="6"/>
        <v>2.1</v>
      </c>
      <c r="Y43" s="35">
        <f t="shared" si="6"/>
        <v>-0.1</v>
      </c>
      <c r="Z43" s="35">
        <f t="shared" si="6"/>
        <v>2.1</v>
      </c>
      <c r="AA43" s="35">
        <f t="shared" si="6"/>
        <v>-0.1</v>
      </c>
      <c r="AB43" s="35">
        <f t="shared" si="6"/>
        <v>-0.8</v>
      </c>
      <c r="AC43" s="35">
        <f t="shared" si="6"/>
        <v>19.7</v>
      </c>
      <c r="AD43" s="35">
        <f t="shared" si="6"/>
        <v>20.500000000000004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-0.1</v>
      </c>
      <c r="H47" s="35">
        <f t="shared" si="7"/>
        <v>-0.4</v>
      </c>
      <c r="I47" s="35">
        <f t="shared" si="7"/>
        <v>-0.2</v>
      </c>
      <c r="J47" s="35">
        <f t="shared" si="7"/>
        <v>0</v>
      </c>
      <c r="K47" s="35">
        <f t="shared" si="7"/>
        <v>1.5</v>
      </c>
      <c r="L47" s="35">
        <f t="shared" si="7"/>
        <v>-0.1</v>
      </c>
      <c r="M47" s="35">
        <f t="shared" si="7"/>
        <v>-1.8</v>
      </c>
      <c r="N47" s="35">
        <f t="shared" si="7"/>
        <v>13.8</v>
      </c>
      <c r="O47" s="35">
        <f t="shared" si="7"/>
        <v>0</v>
      </c>
      <c r="P47" s="35">
        <f t="shared" si="7"/>
        <v>0.2</v>
      </c>
      <c r="Q47" s="35">
        <f t="shared" si="7"/>
        <v>-0.1</v>
      </c>
      <c r="R47" s="35">
        <f t="shared" si="7"/>
        <v>0</v>
      </c>
      <c r="S47" s="35">
        <f t="shared" si="7"/>
        <v>0.1</v>
      </c>
      <c r="T47" s="35">
        <f t="shared" si="7"/>
        <v>-0.1</v>
      </c>
      <c r="U47" s="35">
        <f t="shared" si="7"/>
        <v>0</v>
      </c>
      <c r="V47" s="35">
        <f t="shared" si="7"/>
        <v>0</v>
      </c>
      <c r="W47" s="35">
        <f t="shared" si="7"/>
        <v>3.6999999999999997</v>
      </c>
      <c r="X47" s="35">
        <f t="shared" si="7"/>
        <v>2.1</v>
      </c>
      <c r="Y47" s="35">
        <f t="shared" si="7"/>
        <v>-0.1</v>
      </c>
      <c r="Z47" s="35">
        <f t="shared" si="7"/>
        <v>2.1</v>
      </c>
      <c r="AA47" s="35">
        <f t="shared" si="7"/>
        <v>-0.1</v>
      </c>
      <c r="AB47" s="35">
        <f t="shared" si="7"/>
        <v>-0.8</v>
      </c>
      <c r="AC47" s="35">
        <f t="shared" si="7"/>
        <v>19.7</v>
      </c>
      <c r="AD47" s="35">
        <f t="shared" si="7"/>
        <v>20.500000000000004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140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/>
      <c r="G7" s="15"/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6</v>
      </c>
      <c r="I8" s="15" t="s">
        <v>7</v>
      </c>
      <c r="J8" s="15" t="s">
        <v>8</v>
      </c>
      <c r="K8" s="15" t="s">
        <v>9</v>
      </c>
      <c r="L8" s="15" t="s">
        <v>10</v>
      </c>
      <c r="M8" s="15" t="s">
        <v>6</v>
      </c>
      <c r="N8" s="15" t="s">
        <v>7</v>
      </c>
      <c r="O8" s="15" t="s">
        <v>8</v>
      </c>
      <c r="P8" s="15" t="s">
        <v>9</v>
      </c>
      <c r="Q8" s="15" t="s">
        <v>10</v>
      </c>
      <c r="R8" s="15" t="s">
        <v>6</v>
      </c>
      <c r="S8" s="15" t="s">
        <v>7</v>
      </c>
      <c r="T8" s="15" t="s">
        <v>8</v>
      </c>
      <c r="U8" s="15" t="s">
        <v>9</v>
      </c>
      <c r="V8" s="15" t="s">
        <v>10</v>
      </c>
      <c r="W8" s="15" t="s">
        <v>6</v>
      </c>
      <c r="X8" s="15" t="s">
        <v>7</v>
      </c>
      <c r="Y8" s="15" t="s">
        <v>8</v>
      </c>
      <c r="Z8" s="15" t="s">
        <v>9</v>
      </c>
      <c r="AA8" s="15" t="s">
        <v>10</v>
      </c>
      <c r="AB8" s="15" t="s">
        <v>6</v>
      </c>
      <c r="AC8" s="30" t="s">
        <v>141</v>
      </c>
      <c r="AD8" s="31" t="s">
        <v>142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86</v>
      </c>
      <c r="G9" s="53" t="s">
        <v>143</v>
      </c>
      <c r="H9" s="53" t="s">
        <v>144</v>
      </c>
      <c r="I9" s="57" t="s">
        <v>145</v>
      </c>
      <c r="J9" s="57" t="s">
        <v>146</v>
      </c>
      <c r="K9" s="53" t="s">
        <v>147</v>
      </c>
      <c r="L9" s="53" t="s">
        <v>148</v>
      </c>
      <c r="M9" s="53" t="s">
        <v>149</v>
      </c>
      <c r="N9" s="57" t="s">
        <v>150</v>
      </c>
      <c r="O9" s="57" t="s">
        <v>151</v>
      </c>
      <c r="P9" s="53" t="s">
        <v>152</v>
      </c>
      <c r="Q9" s="53" t="s">
        <v>153</v>
      </c>
      <c r="R9" s="53" t="s">
        <v>154</v>
      </c>
      <c r="S9" s="57" t="s">
        <v>155</v>
      </c>
      <c r="T9" s="57" t="s">
        <v>156</v>
      </c>
      <c r="U9" s="53" t="s">
        <v>157</v>
      </c>
      <c r="V9" s="53" t="s">
        <v>158</v>
      </c>
      <c r="W9" s="53" t="s">
        <v>159</v>
      </c>
      <c r="X9" s="57" t="s">
        <v>160</v>
      </c>
      <c r="Y9" s="57" t="s">
        <v>161</v>
      </c>
      <c r="Z9" s="53" t="s">
        <v>162</v>
      </c>
      <c r="AA9" s="53" t="s">
        <v>163</v>
      </c>
      <c r="AB9" s="53" t="s">
        <v>164</v>
      </c>
      <c r="AC9" s="16" t="s">
        <v>36</v>
      </c>
      <c r="AD9" s="52" t="s">
        <v>163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0.2</v>
      </c>
      <c r="J11" s="10">
        <v>0.1</v>
      </c>
      <c r="K11" s="10">
        <v>0</v>
      </c>
      <c r="L11" s="10">
        <v>0</v>
      </c>
      <c r="M11" s="10">
        <v>0</v>
      </c>
      <c r="N11" s="62">
        <f>0.8+0.5</f>
        <v>1.3</v>
      </c>
      <c r="O11" s="10">
        <v>0.1</v>
      </c>
      <c r="P11" s="62">
        <f>45.4+0.8</f>
        <v>46.199999999999996</v>
      </c>
      <c r="Q11" s="10">
        <v>0.1</v>
      </c>
      <c r="R11" s="10">
        <v>0.3</v>
      </c>
      <c r="S11" s="10">
        <v>0</v>
      </c>
      <c r="T11" s="10">
        <v>0.3</v>
      </c>
      <c r="U11" s="10">
        <v>0.6</v>
      </c>
      <c r="V11" s="62">
        <f>0+0.1</f>
        <v>0.1</v>
      </c>
      <c r="W11" s="62">
        <f>5.5+0.5</f>
        <v>6</v>
      </c>
      <c r="X11" s="62">
        <f>0+0.6</f>
        <v>0.6</v>
      </c>
      <c r="Y11" s="62">
        <f>0.4+0.1</f>
        <v>0.5</v>
      </c>
      <c r="Z11" s="10">
        <v>0.7</v>
      </c>
      <c r="AA11" s="62">
        <f>0.1+0.2</f>
        <v>0.30000000000000004</v>
      </c>
      <c r="AB11" s="26">
        <f t="shared" ref="AB11:AB20" si="0">AC11-SUM(F11:AA11)</f>
        <v>0.10000000000000142</v>
      </c>
      <c r="AC11" s="60">
        <f>55.9+1.6</f>
        <v>57.5</v>
      </c>
      <c r="AD11" s="58">
        <f>SUM(F11:AA11)</f>
        <v>57.4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0.7</v>
      </c>
      <c r="R12" s="10">
        <v>0</v>
      </c>
      <c r="S12" s="10">
        <v>0</v>
      </c>
      <c r="T12" s="10">
        <v>0</v>
      </c>
      <c r="U12" s="10">
        <v>0</v>
      </c>
      <c r="V12" s="10">
        <v>0.7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1.4</v>
      </c>
      <c r="AD12" s="58">
        <f t="shared" ref="AD12:AD20" si="1">SUM(F12:AA12)</f>
        <v>1.4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10">
        <v>0</v>
      </c>
      <c r="I13" s="10">
        <v>0.1</v>
      </c>
      <c r="J13" s="10">
        <v>0</v>
      </c>
      <c r="K13" s="10">
        <v>0</v>
      </c>
      <c r="L13" s="10">
        <v>0</v>
      </c>
      <c r="M13" s="10">
        <v>0.1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0.1</v>
      </c>
      <c r="V13" s="10">
        <v>0</v>
      </c>
      <c r="W13" s="10">
        <v>4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4.3</v>
      </c>
      <c r="AD13" s="58">
        <f t="shared" si="1"/>
        <v>4.3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">
      <c r="A18" s="19"/>
      <c r="B18" s="21" t="s">
        <v>165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0.4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0.4</v>
      </c>
      <c r="AD18" s="58">
        <f t="shared" si="1"/>
        <v>0.4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0.1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0.3</v>
      </c>
      <c r="AB19" s="26">
        <f t="shared" si="0"/>
        <v>0</v>
      </c>
      <c r="AC19" s="10">
        <v>0.4</v>
      </c>
      <c r="AD19" s="58">
        <f t="shared" si="1"/>
        <v>0.4</v>
      </c>
      <c r="AE19" s="3"/>
    </row>
    <row r="20" spans="1:31" ht="15" customHeight="1" x14ac:dyDescent="0.2">
      <c r="A20" s="19"/>
      <c r="B20" s="21" t="s">
        <v>166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>SUM(F11:F20)</f>
        <v>0</v>
      </c>
      <c r="G22" s="11">
        <f t="shared" ref="G22:AD22" si="2">SUM(G11:G20)</f>
        <v>0</v>
      </c>
      <c r="H22" s="11">
        <f t="shared" si="2"/>
        <v>0</v>
      </c>
      <c r="I22" s="11">
        <f t="shared" si="2"/>
        <v>0.30000000000000004</v>
      </c>
      <c r="J22" s="11">
        <f t="shared" si="2"/>
        <v>0.1</v>
      </c>
      <c r="K22" s="11">
        <f t="shared" si="2"/>
        <v>0.4</v>
      </c>
      <c r="L22" s="11">
        <f t="shared" si="2"/>
        <v>0</v>
      </c>
      <c r="M22" s="11">
        <f t="shared" si="2"/>
        <v>0.1</v>
      </c>
      <c r="N22" s="11">
        <f t="shared" si="2"/>
        <v>1.3</v>
      </c>
      <c r="O22" s="11">
        <f t="shared" si="2"/>
        <v>0.1</v>
      </c>
      <c r="P22" s="11">
        <f t="shared" si="2"/>
        <v>46.3</v>
      </c>
      <c r="Q22" s="11">
        <f t="shared" si="2"/>
        <v>0.79999999999999993</v>
      </c>
      <c r="R22" s="11">
        <f t="shared" si="2"/>
        <v>0.3</v>
      </c>
      <c r="S22" s="11">
        <f t="shared" si="2"/>
        <v>0</v>
      </c>
      <c r="T22" s="11">
        <f t="shared" si="2"/>
        <v>0.3</v>
      </c>
      <c r="U22" s="11">
        <f t="shared" si="2"/>
        <v>0.7</v>
      </c>
      <c r="V22" s="11">
        <f t="shared" si="2"/>
        <v>0.79999999999999993</v>
      </c>
      <c r="W22" s="11">
        <f t="shared" si="2"/>
        <v>10</v>
      </c>
      <c r="X22" s="11">
        <f t="shared" si="2"/>
        <v>0.6</v>
      </c>
      <c r="Y22" s="11">
        <f t="shared" si="2"/>
        <v>0.5</v>
      </c>
      <c r="Z22" s="11">
        <f t="shared" si="2"/>
        <v>0.7</v>
      </c>
      <c r="AA22" s="11">
        <f t="shared" si="2"/>
        <v>0.60000000000000009</v>
      </c>
      <c r="AB22" s="11">
        <f t="shared" si="2"/>
        <v>0.10000000000000142</v>
      </c>
      <c r="AC22" s="11">
        <f t="shared" si="2"/>
        <v>63.999999999999993</v>
      </c>
      <c r="AD22" s="11">
        <f t="shared" si="2"/>
        <v>63.899999999999991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10">
        <v>0.2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2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2.2000000000000002</v>
      </c>
      <c r="AD25" s="58">
        <f t="shared" ref="AD25:AD39" si="4">SUM(F25:AA25)</f>
        <v>2.2000000000000002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0.5</v>
      </c>
      <c r="AC26" s="10">
        <v>0.5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62">
        <f>0.9+0.5</f>
        <v>1.4</v>
      </c>
      <c r="O28" s="10">
        <v>0</v>
      </c>
      <c r="P28" s="62">
        <f>0+0.8</f>
        <v>0.8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62">
        <f>0.1+0.1</f>
        <v>0.2</v>
      </c>
      <c r="W28" s="62">
        <f>0.3+0.5</f>
        <v>0.8</v>
      </c>
      <c r="X28" s="62">
        <f>1.5+0.6</f>
        <v>2.1</v>
      </c>
      <c r="Y28" s="62">
        <f>0+0.1</f>
        <v>0.1</v>
      </c>
      <c r="Z28" s="10">
        <v>0</v>
      </c>
      <c r="AA28" s="62">
        <f>0.6+0.2</f>
        <v>0.8</v>
      </c>
      <c r="AB28" s="26">
        <f t="shared" si="3"/>
        <v>0</v>
      </c>
      <c r="AC28" s="10">
        <v>6.2</v>
      </c>
      <c r="AD28" s="58">
        <f t="shared" si="4"/>
        <v>6.2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0.1</v>
      </c>
      <c r="I30" s="10">
        <v>0.1</v>
      </c>
      <c r="J30" s="10">
        <v>0.1</v>
      </c>
      <c r="K30" s="10">
        <v>0</v>
      </c>
      <c r="L30" s="10">
        <v>0.1</v>
      </c>
      <c r="M30" s="10">
        <v>0.1</v>
      </c>
      <c r="N30" s="10">
        <v>0.1</v>
      </c>
      <c r="O30" s="10">
        <v>0.2</v>
      </c>
      <c r="P30" s="10">
        <v>0.1</v>
      </c>
      <c r="Q30" s="10">
        <v>0.1</v>
      </c>
      <c r="R30" s="10">
        <v>0.1</v>
      </c>
      <c r="S30" s="10">
        <v>0.1</v>
      </c>
      <c r="T30" s="10">
        <v>0.1</v>
      </c>
      <c r="U30" s="10">
        <v>0.1</v>
      </c>
      <c r="V30" s="10">
        <v>0</v>
      </c>
      <c r="W30" s="10">
        <v>0</v>
      </c>
      <c r="X30" s="10">
        <v>0.1</v>
      </c>
      <c r="Y30" s="10">
        <v>0.1</v>
      </c>
      <c r="Z30" s="10">
        <v>0</v>
      </c>
      <c r="AA30" s="10">
        <v>0.2</v>
      </c>
      <c r="AB30" s="26">
        <f t="shared" si="3"/>
        <v>0.2999999999999996</v>
      </c>
      <c r="AC30" s="10">
        <v>2.1</v>
      </c>
      <c r="AD30" s="58">
        <f t="shared" si="4"/>
        <v>1.8000000000000005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0.3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60">
        <v>0.3</v>
      </c>
      <c r="AD33" s="58">
        <f t="shared" si="4"/>
        <v>0.3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10">
        <v>0.2</v>
      </c>
      <c r="I34" s="10">
        <v>0.1</v>
      </c>
      <c r="J34" s="10">
        <v>0.2</v>
      </c>
      <c r="K34" s="10">
        <v>0.1</v>
      </c>
      <c r="L34" s="10">
        <v>0.1</v>
      </c>
      <c r="M34" s="10">
        <v>0.2</v>
      </c>
      <c r="N34" s="10">
        <v>0.1</v>
      </c>
      <c r="O34" s="10">
        <v>0.3</v>
      </c>
      <c r="P34" s="10">
        <v>0.1</v>
      </c>
      <c r="Q34" s="10">
        <v>0.9</v>
      </c>
      <c r="R34" s="10">
        <v>0.2</v>
      </c>
      <c r="S34" s="10">
        <v>0.2</v>
      </c>
      <c r="T34" s="10">
        <v>0.1</v>
      </c>
      <c r="U34" s="10">
        <v>0.1</v>
      </c>
      <c r="V34" s="10">
        <v>0.2</v>
      </c>
      <c r="W34" s="10">
        <v>0</v>
      </c>
      <c r="X34" s="10">
        <v>0.2</v>
      </c>
      <c r="Y34" s="10">
        <v>0</v>
      </c>
      <c r="Z34" s="10">
        <v>0.1</v>
      </c>
      <c r="AA34" s="10">
        <v>0.2</v>
      </c>
      <c r="AB34" s="26">
        <f t="shared" si="3"/>
        <v>1.2999999999999994</v>
      </c>
      <c r="AC34" s="10">
        <v>4.9000000000000004</v>
      </c>
      <c r="AD34" s="58">
        <f t="shared" si="4"/>
        <v>3.600000000000001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>SUM(F25:F39)</f>
        <v>0</v>
      </c>
      <c r="G41" s="11">
        <f t="shared" ref="G41:AD41" si="5">SUM(G25:G39)</f>
        <v>0</v>
      </c>
      <c r="H41" s="11">
        <f t="shared" si="5"/>
        <v>0.5</v>
      </c>
      <c r="I41" s="11">
        <f t="shared" si="5"/>
        <v>0.2</v>
      </c>
      <c r="J41" s="11">
        <f t="shared" si="5"/>
        <v>0.60000000000000009</v>
      </c>
      <c r="K41" s="11">
        <f t="shared" si="5"/>
        <v>0.1</v>
      </c>
      <c r="L41" s="11">
        <f t="shared" si="5"/>
        <v>0.2</v>
      </c>
      <c r="M41" s="11">
        <f t="shared" si="5"/>
        <v>0.30000000000000004</v>
      </c>
      <c r="N41" s="11">
        <f t="shared" si="5"/>
        <v>1.6</v>
      </c>
      <c r="O41" s="11">
        <f t="shared" si="5"/>
        <v>0.5</v>
      </c>
      <c r="P41" s="11">
        <f t="shared" si="5"/>
        <v>1</v>
      </c>
      <c r="Q41" s="11">
        <f t="shared" si="5"/>
        <v>1</v>
      </c>
      <c r="R41" s="11">
        <f t="shared" si="5"/>
        <v>0.30000000000000004</v>
      </c>
      <c r="S41" s="11">
        <f t="shared" si="5"/>
        <v>0.30000000000000004</v>
      </c>
      <c r="T41" s="11">
        <f t="shared" si="5"/>
        <v>0.2</v>
      </c>
      <c r="U41" s="11">
        <f t="shared" si="5"/>
        <v>0.2</v>
      </c>
      <c r="V41" s="11">
        <f t="shared" si="5"/>
        <v>2.4000000000000004</v>
      </c>
      <c r="W41" s="11">
        <f t="shared" si="5"/>
        <v>0.8</v>
      </c>
      <c r="X41" s="11">
        <f t="shared" si="5"/>
        <v>2.4000000000000004</v>
      </c>
      <c r="Y41" s="11">
        <f t="shared" si="5"/>
        <v>0.2</v>
      </c>
      <c r="Z41" s="11">
        <f t="shared" si="5"/>
        <v>0.1</v>
      </c>
      <c r="AA41" s="11">
        <f t="shared" si="5"/>
        <v>1.2</v>
      </c>
      <c r="AB41" s="11">
        <f t="shared" si="5"/>
        <v>2.0999999999999988</v>
      </c>
      <c r="AC41" s="11">
        <f t="shared" si="5"/>
        <v>16.200000000000003</v>
      </c>
      <c r="AD41" s="11">
        <f t="shared" si="5"/>
        <v>14.100000000000003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>F22-F41</f>
        <v>0</v>
      </c>
      <c r="G43" s="35">
        <f t="shared" ref="G43:AD43" si="6">G22-G41</f>
        <v>0</v>
      </c>
      <c r="H43" s="35">
        <f t="shared" si="6"/>
        <v>-0.5</v>
      </c>
      <c r="I43" s="35">
        <f t="shared" si="6"/>
        <v>0.10000000000000003</v>
      </c>
      <c r="J43" s="35">
        <f t="shared" si="6"/>
        <v>-0.50000000000000011</v>
      </c>
      <c r="K43" s="35">
        <f t="shared" si="6"/>
        <v>0.30000000000000004</v>
      </c>
      <c r="L43" s="35">
        <f t="shared" si="6"/>
        <v>-0.2</v>
      </c>
      <c r="M43" s="35">
        <f t="shared" si="6"/>
        <v>-0.20000000000000004</v>
      </c>
      <c r="N43" s="35">
        <f t="shared" si="6"/>
        <v>-0.30000000000000004</v>
      </c>
      <c r="O43" s="35">
        <f t="shared" si="6"/>
        <v>-0.4</v>
      </c>
      <c r="P43" s="35">
        <f t="shared" si="6"/>
        <v>45.3</v>
      </c>
      <c r="Q43" s="35">
        <f t="shared" si="6"/>
        <v>-0.20000000000000007</v>
      </c>
      <c r="R43" s="35">
        <f t="shared" si="6"/>
        <v>0</v>
      </c>
      <c r="S43" s="35">
        <f t="shared" si="6"/>
        <v>-0.30000000000000004</v>
      </c>
      <c r="T43" s="35">
        <f t="shared" si="6"/>
        <v>9.9999999999999978E-2</v>
      </c>
      <c r="U43" s="35">
        <f t="shared" si="6"/>
        <v>0.49999999999999994</v>
      </c>
      <c r="V43" s="35">
        <f t="shared" si="6"/>
        <v>-1.6000000000000005</v>
      </c>
      <c r="W43" s="35">
        <f t="shared" si="6"/>
        <v>9.1999999999999993</v>
      </c>
      <c r="X43" s="35">
        <f t="shared" si="6"/>
        <v>-1.8000000000000003</v>
      </c>
      <c r="Y43" s="35">
        <f t="shared" si="6"/>
        <v>0.3</v>
      </c>
      <c r="Z43" s="35">
        <f t="shared" si="6"/>
        <v>0.6</v>
      </c>
      <c r="AA43" s="35">
        <f t="shared" si="6"/>
        <v>-0.59999999999999987</v>
      </c>
      <c r="AB43" s="35">
        <f t="shared" si="6"/>
        <v>-1.9999999999999973</v>
      </c>
      <c r="AC43" s="35">
        <f t="shared" si="6"/>
        <v>47.79999999999999</v>
      </c>
      <c r="AD43" s="35">
        <f t="shared" si="6"/>
        <v>49.79999999999999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-0.5</v>
      </c>
      <c r="I47" s="35">
        <f t="shared" si="7"/>
        <v>0.10000000000000003</v>
      </c>
      <c r="J47" s="35">
        <f t="shared" si="7"/>
        <v>-0.50000000000000011</v>
      </c>
      <c r="K47" s="35">
        <f t="shared" si="7"/>
        <v>0.30000000000000004</v>
      </c>
      <c r="L47" s="35">
        <f t="shared" si="7"/>
        <v>-0.2</v>
      </c>
      <c r="M47" s="35">
        <f t="shared" si="7"/>
        <v>-0.20000000000000004</v>
      </c>
      <c r="N47" s="35">
        <f t="shared" si="7"/>
        <v>-0.30000000000000004</v>
      </c>
      <c r="O47" s="35">
        <f t="shared" si="7"/>
        <v>-0.4</v>
      </c>
      <c r="P47" s="35">
        <f t="shared" si="7"/>
        <v>45.3</v>
      </c>
      <c r="Q47" s="35">
        <f t="shared" si="7"/>
        <v>-0.20000000000000007</v>
      </c>
      <c r="R47" s="35">
        <f t="shared" si="7"/>
        <v>0</v>
      </c>
      <c r="S47" s="35">
        <f t="shared" si="7"/>
        <v>-0.30000000000000004</v>
      </c>
      <c r="T47" s="35">
        <f t="shared" si="7"/>
        <v>9.9999999999999978E-2</v>
      </c>
      <c r="U47" s="35">
        <f t="shared" si="7"/>
        <v>0.49999999999999994</v>
      </c>
      <c r="V47" s="35">
        <f t="shared" si="7"/>
        <v>-1.6000000000000005</v>
      </c>
      <c r="W47" s="35">
        <f t="shared" si="7"/>
        <v>9.1999999999999993</v>
      </c>
      <c r="X47" s="35">
        <f t="shared" si="7"/>
        <v>-1.8000000000000003</v>
      </c>
      <c r="Y47" s="35">
        <f t="shared" si="7"/>
        <v>0.3</v>
      </c>
      <c r="Z47" s="35">
        <f t="shared" si="7"/>
        <v>0.6</v>
      </c>
      <c r="AA47" s="35">
        <f t="shared" si="7"/>
        <v>-0.59999999999999987</v>
      </c>
      <c r="AB47" s="35">
        <f t="shared" si="7"/>
        <v>-1.9999999999999973</v>
      </c>
      <c r="AC47" s="35">
        <f t="shared" si="7"/>
        <v>47.79999999999999</v>
      </c>
      <c r="AD47" s="35">
        <f t="shared" si="7"/>
        <v>49.79999999999999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50" t="str">
        <f>'NNG-Apr.'!A2</f>
        <v>APRIL,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51" t="str">
        <f>'NNG-Apr.'!A3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48">
        <f>'NNG-Apr.'!F7</f>
        <v>0</v>
      </c>
      <c r="G7" s="48">
        <f>'NNG-Apr.'!G7</f>
        <v>0</v>
      </c>
      <c r="H7" s="48" t="str">
        <f>'NNG-Apr.'!H7</f>
        <v>Act</v>
      </c>
      <c r="I7" s="48" t="str">
        <f>'NNG-Apr.'!I7</f>
        <v>Act</v>
      </c>
      <c r="J7" s="48" t="str">
        <f>'NNG-Apr.'!J7</f>
        <v>Act</v>
      </c>
      <c r="K7" s="48" t="str">
        <f>'NNG-Apr.'!K7</f>
        <v>Act</v>
      </c>
      <c r="L7" s="48" t="str">
        <f>'NNG-Apr.'!L7</f>
        <v>Act</v>
      </c>
      <c r="M7" s="48" t="str">
        <f>'NNG-Apr.'!M7</f>
        <v>Act</v>
      </c>
      <c r="N7" s="48" t="str">
        <f>'NNG-Apr.'!N7</f>
        <v>Act</v>
      </c>
      <c r="O7" s="48" t="str">
        <f>'NNG-Apr.'!O7</f>
        <v>Act</v>
      </c>
      <c r="P7" s="48" t="str">
        <f>'NNG-Apr.'!P7</f>
        <v>Act</v>
      </c>
      <c r="Q7" s="48" t="str">
        <f>'NNG-Apr.'!Q7</f>
        <v>Act</v>
      </c>
      <c r="R7" s="48" t="str">
        <f>'NNG-Apr.'!R7</f>
        <v>Act</v>
      </c>
      <c r="S7" s="48" t="str">
        <f>'NNG-Apr.'!S7</f>
        <v>Act</v>
      </c>
      <c r="T7" s="48" t="str">
        <f>'NNG-Apr.'!T7</f>
        <v>Act</v>
      </c>
      <c r="U7" s="48" t="str">
        <f>'NNG-Apr.'!U7</f>
        <v>Act</v>
      </c>
      <c r="V7" s="48" t="str">
        <f>'NNG-Apr.'!V7</f>
        <v>Act</v>
      </c>
      <c r="W7" s="48" t="str">
        <f>'NNG-Apr.'!W7</f>
        <v>Act</v>
      </c>
      <c r="X7" s="48" t="str">
        <f>'NNG-Apr.'!X7</f>
        <v>Act</v>
      </c>
      <c r="Y7" s="48" t="str">
        <f>'NNG-Apr.'!Y7</f>
        <v>Act</v>
      </c>
      <c r="Z7" s="48" t="str">
        <f>'NNG-Apr.'!Z7</f>
        <v>Act</v>
      </c>
      <c r="AA7" s="48" t="str">
        <f>'NNG-Apr.'!AA7</f>
        <v>Act</v>
      </c>
      <c r="AB7" s="48" t="str">
        <f>'NNG-Apr.'!AB7</f>
        <v>Act</v>
      </c>
      <c r="AC7" s="48"/>
      <c r="AD7" s="48" t="str">
        <f>'NNG-Apr.'!AD7</f>
        <v>ACT.</v>
      </c>
      <c r="AE7" s="3"/>
    </row>
    <row r="8" spans="1:31" ht="15" customHeight="1" x14ac:dyDescent="0.2">
      <c r="A8" s="3"/>
      <c r="B8" s="3"/>
      <c r="C8" s="3"/>
      <c r="D8" s="3"/>
      <c r="E8" s="4"/>
      <c r="F8" s="48" t="str">
        <f>'NNG-Apr.'!F8</f>
        <v>Day</v>
      </c>
      <c r="G8" s="48" t="str">
        <f>'NNG-Apr.'!G8</f>
        <v>Day</v>
      </c>
      <c r="H8" s="48" t="str">
        <f>'NNG-Apr.'!H8</f>
        <v>Mon</v>
      </c>
      <c r="I8" s="48" t="str">
        <f>'NNG-Apr.'!I8</f>
        <v>Tue</v>
      </c>
      <c r="J8" s="48" t="str">
        <f>'NNG-Apr.'!J8</f>
        <v>Wed</v>
      </c>
      <c r="K8" s="48" t="str">
        <f>'NNG-Apr.'!K8</f>
        <v>Thu</v>
      </c>
      <c r="L8" s="48" t="str">
        <f>'NNG-Apr.'!L8</f>
        <v>Fri</v>
      </c>
      <c r="M8" s="48" t="str">
        <f>'NNG-Apr.'!M8</f>
        <v>Mon</v>
      </c>
      <c r="N8" s="48" t="str">
        <f>'NNG-Apr.'!N8</f>
        <v>Tue</v>
      </c>
      <c r="O8" s="48" t="str">
        <f>'NNG-Apr.'!O8</f>
        <v>Wed</v>
      </c>
      <c r="P8" s="48" t="str">
        <f>'NNG-Apr.'!P8</f>
        <v>Thu</v>
      </c>
      <c r="Q8" s="48" t="str">
        <f>'NNG-Apr.'!Q8</f>
        <v>Fri</v>
      </c>
      <c r="R8" s="48" t="str">
        <f>'NNG-Apr.'!R8</f>
        <v>Mon</v>
      </c>
      <c r="S8" s="48" t="str">
        <f>'NNG-Apr.'!S8</f>
        <v>Tue</v>
      </c>
      <c r="T8" s="48" t="str">
        <f>'NNG-Apr.'!T8</f>
        <v>Wed</v>
      </c>
      <c r="U8" s="48" t="str">
        <f>'NNG-Apr.'!U8</f>
        <v>Thu</v>
      </c>
      <c r="V8" s="48" t="str">
        <f>'NNG-Apr.'!V8</f>
        <v>Fri</v>
      </c>
      <c r="W8" s="48" t="str">
        <f>'NNG-Apr.'!W8</f>
        <v>Mon</v>
      </c>
      <c r="X8" s="48" t="str">
        <f>'NNG-Apr.'!X8</f>
        <v>Tue</v>
      </c>
      <c r="Y8" s="48" t="str">
        <f>'NNG-Apr.'!Y8</f>
        <v>Wed</v>
      </c>
      <c r="Z8" s="48" t="str">
        <f>'NNG-Apr.'!Z8</f>
        <v>Thu</v>
      </c>
      <c r="AA8" s="48" t="str">
        <f>'NNG-Apr.'!AA8</f>
        <v>Fri</v>
      </c>
      <c r="AB8" s="48" t="str">
        <f>'NNG-Apr.'!AB8</f>
        <v>Mon</v>
      </c>
      <c r="AC8" s="48" t="str">
        <f>'NNG-Apr.'!AC8</f>
        <v>APRIL</v>
      </c>
      <c r="AD8" s="48" t="str">
        <f>'NNG-Apr.'!AD8</f>
        <v>4/1 Thru</v>
      </c>
      <c r="AE8" s="3"/>
    </row>
    <row r="9" spans="1:31" ht="15" customHeight="1" x14ac:dyDescent="0.2">
      <c r="A9" s="3"/>
      <c r="B9" s="3"/>
      <c r="C9" s="17"/>
      <c r="D9" s="3"/>
      <c r="E9" s="7"/>
      <c r="F9" s="49" t="str">
        <f>'NNG-Apr.'!F9</f>
        <v>0/0</v>
      </c>
      <c r="G9" s="49" t="str">
        <f>'NNG-Apr.'!G9</f>
        <v>4/1</v>
      </c>
      <c r="H9" s="49" t="str">
        <f>'NNG-Apr.'!H9</f>
        <v>4/2</v>
      </c>
      <c r="I9" s="49" t="str">
        <f>'NNG-Apr.'!I9</f>
        <v>4/3</v>
      </c>
      <c r="J9" s="49" t="str">
        <f>'NNG-Apr.'!J9</f>
        <v>4/4</v>
      </c>
      <c r="K9" s="49" t="str">
        <f>'NNG-Apr.'!K9</f>
        <v>4/5</v>
      </c>
      <c r="L9" s="49" t="str">
        <f>'NNG-Apr.'!L9</f>
        <v>4/6</v>
      </c>
      <c r="M9" s="49" t="str">
        <f>'NNG-Apr.'!M9</f>
        <v>4/9</v>
      </c>
      <c r="N9" s="49" t="str">
        <f>'NNG-Apr.'!N9</f>
        <v>4/10</v>
      </c>
      <c r="O9" s="49" t="str">
        <f>'NNG-Apr.'!O9</f>
        <v>4/11</v>
      </c>
      <c r="P9" s="49" t="str">
        <f>'NNG-Apr.'!P9</f>
        <v>4/12</v>
      </c>
      <c r="Q9" s="49" t="str">
        <f>'NNG-Apr.'!Q9</f>
        <v>4/13</v>
      </c>
      <c r="R9" s="49" t="str">
        <f>'NNG-Apr.'!R9</f>
        <v>4/16</v>
      </c>
      <c r="S9" s="49" t="str">
        <f>'NNG-Apr.'!S9</f>
        <v>4/17</v>
      </c>
      <c r="T9" s="49" t="str">
        <f>'NNG-Apr.'!T9</f>
        <v>4/18</v>
      </c>
      <c r="U9" s="49" t="str">
        <f>'NNG-Apr.'!U9</f>
        <v>4/19</v>
      </c>
      <c r="V9" s="49" t="str">
        <f>'NNG-Apr.'!V9</f>
        <v>4/20</v>
      </c>
      <c r="W9" s="49" t="str">
        <f>'NNG-Apr.'!W9</f>
        <v>4/23</v>
      </c>
      <c r="X9" s="49" t="str">
        <f>'NNG-Apr.'!X9</f>
        <v>4/24</v>
      </c>
      <c r="Y9" s="49" t="str">
        <f>'NNG-Apr.'!Y9</f>
        <v>4/25</v>
      </c>
      <c r="Z9" s="49" t="str">
        <f>'NNG-Apr.'!Z9</f>
        <v>4/26</v>
      </c>
      <c r="AA9" s="49" t="str">
        <f>'NNG-Apr.'!AA9</f>
        <v>4/27</v>
      </c>
      <c r="AB9" s="49" t="str">
        <f>'NNG-Apr.'!AB9</f>
        <v>4/30</v>
      </c>
      <c r="AC9" s="49" t="str">
        <f>'NNG-Apr.'!AC9</f>
        <v>TOTAL</v>
      </c>
      <c r="AD9" s="49" t="str">
        <f>'NNG-Apr.'!AD9</f>
        <v>4/27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0.6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4.2</v>
      </c>
      <c r="Q11" s="10">
        <v>7.2</v>
      </c>
      <c r="R11" s="10">
        <v>1.3</v>
      </c>
      <c r="S11" s="10">
        <v>0</v>
      </c>
      <c r="T11" s="10">
        <v>0.7</v>
      </c>
      <c r="U11" s="10">
        <v>0</v>
      </c>
      <c r="V11" s="10">
        <v>2.4</v>
      </c>
      <c r="W11" s="10">
        <v>0</v>
      </c>
      <c r="X11" s="10">
        <v>0</v>
      </c>
      <c r="Y11" s="10">
        <v>0.2</v>
      </c>
      <c r="Z11" s="10">
        <v>0</v>
      </c>
      <c r="AA11" s="10">
        <v>0</v>
      </c>
      <c r="AB11" s="26">
        <f t="shared" ref="AB11:AB20" si="0">AC11-SUM(F11:AA11)</f>
        <v>0.40000000000000568</v>
      </c>
      <c r="AC11" s="60">
        <f>17.6-2.2+1.6</f>
        <v>17.000000000000004</v>
      </c>
      <c r="AD11" s="36">
        <f>SUM(F11:AA11)</f>
        <v>16.599999999999998</v>
      </c>
      <c r="AE11" s="3"/>
    </row>
    <row r="12" spans="1:31" ht="15" customHeight="1" x14ac:dyDescent="0.2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0.4</v>
      </c>
      <c r="AB12" s="26">
        <f t="shared" si="0"/>
        <v>0</v>
      </c>
      <c r="AC12" s="10">
        <v>0.4</v>
      </c>
      <c r="AD12" s="36">
        <f t="shared" ref="AD12:AD20" si="1">SUM(F12:AA12)</f>
        <v>0.4</v>
      </c>
      <c r="AE12" s="3"/>
    </row>
    <row r="13" spans="1:31" ht="15" customHeight="1" x14ac:dyDescent="0.2">
      <c r="A13" s="19"/>
      <c r="B13" s="21"/>
      <c r="C13" s="21" t="s">
        <v>167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1.6</v>
      </c>
      <c r="Z13" s="10">
        <v>0</v>
      </c>
      <c r="AA13" s="10">
        <v>0</v>
      </c>
      <c r="AB13" s="26">
        <f t="shared" si="0"/>
        <v>0</v>
      </c>
      <c r="AC13" s="10">
        <v>1.6</v>
      </c>
      <c r="AD13" s="36">
        <f t="shared" si="1"/>
        <v>1.6</v>
      </c>
      <c r="AE13" s="3"/>
    </row>
    <row r="14" spans="1:31" ht="15" customHeight="1" x14ac:dyDescent="0.2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4.8</v>
      </c>
      <c r="Z14" s="10">
        <v>0</v>
      </c>
      <c r="AA14" s="10">
        <v>0</v>
      </c>
      <c r="AB14" s="26">
        <f t="shared" si="0"/>
        <v>0</v>
      </c>
      <c r="AC14" s="10">
        <v>4.8</v>
      </c>
      <c r="AD14" s="36">
        <f t="shared" si="1"/>
        <v>4.8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">
      <c r="A16" s="19"/>
      <c r="B16" s="17" t="s">
        <v>74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">
      <c r="A17" s="19"/>
      <c r="B17" s="17" t="s">
        <v>74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0.6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4.2</v>
      </c>
      <c r="Q22" s="11">
        <f t="shared" si="2"/>
        <v>7.2</v>
      </c>
      <c r="R22" s="11">
        <f t="shared" si="2"/>
        <v>1.3</v>
      </c>
      <c r="S22" s="11">
        <f t="shared" si="2"/>
        <v>0</v>
      </c>
      <c r="T22" s="11">
        <f t="shared" si="2"/>
        <v>0.7</v>
      </c>
      <c r="U22" s="11">
        <f t="shared" si="2"/>
        <v>0</v>
      </c>
      <c r="V22" s="11">
        <f t="shared" si="2"/>
        <v>2.4</v>
      </c>
      <c r="W22" s="11">
        <f t="shared" si="2"/>
        <v>0</v>
      </c>
      <c r="X22" s="11">
        <f t="shared" si="2"/>
        <v>0</v>
      </c>
      <c r="Y22" s="11">
        <f t="shared" si="2"/>
        <v>6.6</v>
      </c>
      <c r="Z22" s="11">
        <f t="shared" si="2"/>
        <v>0</v>
      </c>
      <c r="AA22" s="11">
        <f t="shared" si="2"/>
        <v>0.4</v>
      </c>
      <c r="AB22" s="11">
        <f t="shared" si="2"/>
        <v>0.40000000000000568</v>
      </c>
      <c r="AC22" s="11">
        <f t="shared" si="2"/>
        <v>23.800000000000004</v>
      </c>
      <c r="AD22" s="11">
        <f t="shared" si="2"/>
        <v>23.4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0.1</v>
      </c>
      <c r="I30" s="10">
        <v>0.1</v>
      </c>
      <c r="J30" s="10">
        <v>0</v>
      </c>
      <c r="K30" s="10">
        <v>0.2</v>
      </c>
      <c r="L30" s="10">
        <v>0</v>
      </c>
      <c r="M30" s="10">
        <v>0.2</v>
      </c>
      <c r="N30" s="10">
        <v>0</v>
      </c>
      <c r="O30" s="10">
        <v>0</v>
      </c>
      <c r="P30" s="10">
        <v>0.1</v>
      </c>
      <c r="Q30" s="10">
        <v>0</v>
      </c>
      <c r="R30" s="10">
        <v>0.1</v>
      </c>
      <c r="S30" s="10">
        <v>0</v>
      </c>
      <c r="T30" s="10">
        <v>0</v>
      </c>
      <c r="U30" s="10">
        <v>0</v>
      </c>
      <c r="V30" s="10">
        <v>0</v>
      </c>
      <c r="W30" s="10">
        <v>0.1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3"/>
        <v>9.9999999999999978E-2</v>
      </c>
      <c r="AC30" s="10">
        <v>1</v>
      </c>
      <c r="AD30" s="36">
        <f t="shared" si="4"/>
        <v>0.9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1.6</v>
      </c>
      <c r="AA33" s="10">
        <v>1.4</v>
      </c>
      <c r="AB33" s="26">
        <f t="shared" si="3"/>
        <v>0</v>
      </c>
      <c r="AC33" s="10">
        <v>3</v>
      </c>
      <c r="AD33" s="36">
        <f t="shared" si="4"/>
        <v>3</v>
      </c>
      <c r="AE33" s="3"/>
    </row>
    <row r="34" spans="1:31" ht="15" customHeight="1" x14ac:dyDescent="0.2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10">
        <v>0.1</v>
      </c>
      <c r="I34" s="10">
        <v>0</v>
      </c>
      <c r="J34" s="10">
        <v>0.1</v>
      </c>
      <c r="K34" s="10">
        <v>0</v>
      </c>
      <c r="L34" s="10">
        <v>0.1</v>
      </c>
      <c r="M34" s="10">
        <v>0</v>
      </c>
      <c r="N34" s="10">
        <v>0.1</v>
      </c>
      <c r="O34" s="10">
        <v>0</v>
      </c>
      <c r="P34" s="10">
        <v>0</v>
      </c>
      <c r="Q34" s="10">
        <v>0.2</v>
      </c>
      <c r="R34" s="10">
        <v>0</v>
      </c>
      <c r="S34" s="10">
        <v>0.1</v>
      </c>
      <c r="T34" s="10">
        <v>0.1</v>
      </c>
      <c r="U34" s="10">
        <v>0</v>
      </c>
      <c r="V34" s="10">
        <v>0</v>
      </c>
      <c r="W34" s="10">
        <v>0</v>
      </c>
      <c r="X34" s="10">
        <v>0</v>
      </c>
      <c r="Y34" s="10">
        <v>0.1</v>
      </c>
      <c r="Z34" s="10">
        <v>0</v>
      </c>
      <c r="AA34" s="10">
        <v>0.3</v>
      </c>
      <c r="AB34" s="26">
        <f t="shared" si="3"/>
        <v>0.30000000000000004</v>
      </c>
      <c r="AC34" s="10">
        <v>1.5</v>
      </c>
      <c r="AD34" s="36">
        <f t="shared" si="4"/>
        <v>1.2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5.5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5.5</v>
      </c>
      <c r="AD35" s="36">
        <f t="shared" si="4"/>
        <v>5.5</v>
      </c>
      <c r="AE35" s="3"/>
    </row>
    <row r="36" spans="1:31" ht="15" customHeight="1" x14ac:dyDescent="0.2">
      <c r="A36" s="19"/>
      <c r="B36" s="21" t="s">
        <v>80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1</v>
      </c>
      <c r="AD36" s="36">
        <f t="shared" si="4"/>
        <v>1</v>
      </c>
      <c r="AE36" s="3"/>
    </row>
    <row r="37" spans="1:31" ht="15" customHeight="1" x14ac:dyDescent="0.2">
      <c r="A37" s="19"/>
      <c r="B37" s="21" t="s">
        <v>74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36">
        <f t="shared" si="4"/>
        <v>0</v>
      </c>
      <c r="AE37" s="3"/>
    </row>
    <row r="38" spans="1:31" ht="15" customHeight="1" x14ac:dyDescent="0.2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5.7</v>
      </c>
      <c r="I41" s="11">
        <f t="shared" si="5"/>
        <v>0.1</v>
      </c>
      <c r="J41" s="11">
        <f t="shared" si="5"/>
        <v>0.1</v>
      </c>
      <c r="K41" s="11">
        <f t="shared" si="5"/>
        <v>0.2</v>
      </c>
      <c r="L41" s="11">
        <f t="shared" si="5"/>
        <v>0.1</v>
      </c>
      <c r="M41" s="11">
        <f t="shared" si="5"/>
        <v>0.2</v>
      </c>
      <c r="N41" s="11">
        <f t="shared" si="5"/>
        <v>0.1</v>
      </c>
      <c r="O41" s="11">
        <f t="shared" si="5"/>
        <v>0</v>
      </c>
      <c r="P41" s="11">
        <f t="shared" si="5"/>
        <v>1.1000000000000001</v>
      </c>
      <c r="Q41" s="11">
        <f t="shared" si="5"/>
        <v>0.2</v>
      </c>
      <c r="R41" s="11">
        <f t="shared" si="5"/>
        <v>0.1</v>
      </c>
      <c r="S41" s="11">
        <f t="shared" si="5"/>
        <v>0.1</v>
      </c>
      <c r="T41" s="11">
        <f t="shared" si="5"/>
        <v>0.1</v>
      </c>
      <c r="U41" s="11">
        <f t="shared" si="5"/>
        <v>0</v>
      </c>
      <c r="V41" s="11">
        <f t="shared" si="5"/>
        <v>0</v>
      </c>
      <c r="W41" s="11">
        <f t="shared" si="5"/>
        <v>0.1</v>
      </c>
      <c r="X41" s="11">
        <f t="shared" si="5"/>
        <v>0</v>
      </c>
      <c r="Y41" s="11">
        <f t="shared" si="5"/>
        <v>0.1</v>
      </c>
      <c r="Z41" s="11">
        <f t="shared" si="5"/>
        <v>1.6</v>
      </c>
      <c r="AA41" s="11">
        <f t="shared" si="5"/>
        <v>1.7</v>
      </c>
      <c r="AB41" s="11">
        <f t="shared" si="5"/>
        <v>0.60000000000000009</v>
      </c>
      <c r="AC41" s="11">
        <f t="shared" si="5"/>
        <v>12.2</v>
      </c>
      <c r="AD41" s="11">
        <f t="shared" si="5"/>
        <v>11.6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-5.7</v>
      </c>
      <c r="I43" s="35">
        <f t="shared" si="6"/>
        <v>0.5</v>
      </c>
      <c r="J43" s="35">
        <f t="shared" si="6"/>
        <v>-0.1</v>
      </c>
      <c r="K43" s="35">
        <f t="shared" si="6"/>
        <v>-0.2</v>
      </c>
      <c r="L43" s="35">
        <f t="shared" si="6"/>
        <v>-0.1</v>
      </c>
      <c r="M43" s="35">
        <f t="shared" si="6"/>
        <v>-0.2</v>
      </c>
      <c r="N43" s="35">
        <f t="shared" si="6"/>
        <v>-0.1</v>
      </c>
      <c r="O43" s="35">
        <f t="shared" si="6"/>
        <v>0</v>
      </c>
      <c r="P43" s="35">
        <f t="shared" si="6"/>
        <v>3.1</v>
      </c>
      <c r="Q43" s="35">
        <f t="shared" si="6"/>
        <v>7</v>
      </c>
      <c r="R43" s="35">
        <f t="shared" si="6"/>
        <v>1.2</v>
      </c>
      <c r="S43" s="35">
        <f t="shared" si="6"/>
        <v>-0.1</v>
      </c>
      <c r="T43" s="35">
        <f t="shared" si="6"/>
        <v>0.6</v>
      </c>
      <c r="U43" s="35">
        <f t="shared" si="6"/>
        <v>0</v>
      </c>
      <c r="V43" s="35">
        <f t="shared" si="6"/>
        <v>2.4</v>
      </c>
      <c r="W43" s="35">
        <f t="shared" si="6"/>
        <v>-0.1</v>
      </c>
      <c r="X43" s="35">
        <f t="shared" si="6"/>
        <v>0</v>
      </c>
      <c r="Y43" s="35">
        <f t="shared" si="6"/>
        <v>6.5</v>
      </c>
      <c r="Z43" s="35">
        <f t="shared" si="6"/>
        <v>-1.6</v>
      </c>
      <c r="AA43" s="35">
        <f t="shared" si="6"/>
        <v>-1.2999999999999998</v>
      </c>
      <c r="AB43" s="35">
        <f t="shared" si="6"/>
        <v>-0.1999999999999944</v>
      </c>
      <c r="AC43" s="35">
        <f t="shared" si="6"/>
        <v>11.600000000000005</v>
      </c>
      <c r="AD43" s="35">
        <f t="shared" si="6"/>
        <v>11.799999999999999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-5.7</v>
      </c>
      <c r="I47" s="35">
        <f t="shared" si="7"/>
        <v>0.5</v>
      </c>
      <c r="J47" s="35">
        <f t="shared" si="7"/>
        <v>-0.1</v>
      </c>
      <c r="K47" s="35">
        <f t="shared" si="7"/>
        <v>-0.2</v>
      </c>
      <c r="L47" s="35">
        <f t="shared" si="7"/>
        <v>-0.1</v>
      </c>
      <c r="M47" s="35">
        <f t="shared" si="7"/>
        <v>-0.2</v>
      </c>
      <c r="N47" s="35">
        <f t="shared" si="7"/>
        <v>-0.1</v>
      </c>
      <c r="O47" s="35">
        <f t="shared" si="7"/>
        <v>0</v>
      </c>
      <c r="P47" s="35">
        <f t="shared" si="7"/>
        <v>3.1</v>
      </c>
      <c r="Q47" s="35">
        <f t="shared" si="7"/>
        <v>7</v>
      </c>
      <c r="R47" s="35">
        <f t="shared" si="7"/>
        <v>1.2</v>
      </c>
      <c r="S47" s="35">
        <f t="shared" si="7"/>
        <v>-0.1</v>
      </c>
      <c r="T47" s="35">
        <f t="shared" si="7"/>
        <v>0.6</v>
      </c>
      <c r="U47" s="35">
        <f t="shared" si="7"/>
        <v>0</v>
      </c>
      <c r="V47" s="35">
        <f t="shared" si="7"/>
        <v>2.4</v>
      </c>
      <c r="W47" s="35">
        <f t="shared" si="7"/>
        <v>-0.1</v>
      </c>
      <c r="X47" s="35">
        <f t="shared" si="7"/>
        <v>0</v>
      </c>
      <c r="Y47" s="35">
        <f t="shared" si="7"/>
        <v>6.5</v>
      </c>
      <c r="Z47" s="35">
        <f t="shared" si="7"/>
        <v>-1.6</v>
      </c>
      <c r="AA47" s="35">
        <f t="shared" si="7"/>
        <v>-1.2999999999999998</v>
      </c>
      <c r="AB47" s="35">
        <f t="shared" si="7"/>
        <v>-0.1999999999999944</v>
      </c>
      <c r="AC47" s="35">
        <f t="shared" si="7"/>
        <v>11.600000000000005</v>
      </c>
      <c r="AD47" s="35">
        <f t="shared" si="7"/>
        <v>11.799999999999999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7109375" defaultRowHeight="12.75" x14ac:dyDescent="0.2"/>
  <cols>
    <col min="1" max="2" width="1.7109375" customWidth="1"/>
    <col min="3" max="4" width="15.7109375" customWidth="1"/>
    <col min="5" max="5" width="10.7109375" customWidth="1"/>
    <col min="6" max="28" width="5.7109375" customWidth="1"/>
    <col min="29" max="30" width="8.7109375" customWidth="1"/>
    <col min="35" max="36" width="2.7109375" customWidth="1"/>
    <col min="37" max="37" width="3.7109375" customWidth="1"/>
    <col min="38" max="40" width="9.7109375" customWidth="1"/>
    <col min="41" max="53" width="6.7109375" customWidth="1"/>
    <col min="54" max="55" width="7.7109375" customWidth="1"/>
    <col min="56" max="56" width="2.7109375" customWidth="1"/>
  </cols>
  <sheetData>
    <row r="1" spans="1:31" ht="15" customHeight="1" x14ac:dyDescent="0.25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25">
      <c r="A2" s="43" t="s">
        <v>168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">
      <c r="A7" s="4"/>
      <c r="B7" s="24"/>
      <c r="C7" s="6"/>
      <c r="D7" s="6"/>
      <c r="E7" s="3"/>
      <c r="F7" s="15" t="s">
        <v>4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3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">
      <c r="A8" s="3"/>
      <c r="B8" s="3"/>
      <c r="C8" s="3"/>
      <c r="D8" s="3"/>
      <c r="E8" s="4"/>
      <c r="F8" s="15" t="s">
        <v>7</v>
      </c>
      <c r="G8" s="15" t="s">
        <v>8</v>
      </c>
      <c r="H8" s="15" t="s">
        <v>9</v>
      </c>
      <c r="I8" s="15" t="s">
        <v>10</v>
      </c>
      <c r="J8" s="15" t="s">
        <v>6</v>
      </c>
      <c r="K8" s="15" t="s">
        <v>7</v>
      </c>
      <c r="L8" s="15" t="s">
        <v>8</v>
      </c>
      <c r="M8" s="15" t="s">
        <v>9</v>
      </c>
      <c r="N8" s="15" t="s">
        <v>10</v>
      </c>
      <c r="O8" s="15" t="s">
        <v>6</v>
      </c>
      <c r="P8" s="15" t="s">
        <v>7</v>
      </c>
      <c r="Q8" s="15" t="s">
        <v>8</v>
      </c>
      <c r="R8" s="15" t="s">
        <v>9</v>
      </c>
      <c r="S8" s="15" t="s">
        <v>10</v>
      </c>
      <c r="T8" s="15" t="s">
        <v>6</v>
      </c>
      <c r="U8" s="15" t="s">
        <v>7</v>
      </c>
      <c r="V8" s="15" t="s">
        <v>8</v>
      </c>
      <c r="W8" s="15" t="s">
        <v>9</v>
      </c>
      <c r="X8" s="15" t="s">
        <v>10</v>
      </c>
      <c r="Y8" s="15" t="s">
        <v>6</v>
      </c>
      <c r="Z8" s="15" t="s">
        <v>7</v>
      </c>
      <c r="AA8" s="15" t="s">
        <v>8</v>
      </c>
      <c r="AB8" s="15" t="s">
        <v>9</v>
      </c>
      <c r="AC8" s="30" t="s">
        <v>169</v>
      </c>
      <c r="AD8" s="31" t="s">
        <v>170</v>
      </c>
      <c r="AE8" s="3"/>
    </row>
    <row r="9" spans="1:31" ht="15" customHeight="1" x14ac:dyDescent="0.2">
      <c r="A9" s="3"/>
      <c r="B9" s="3"/>
      <c r="C9" s="17"/>
      <c r="D9" s="3"/>
      <c r="E9" s="7"/>
      <c r="F9" s="53" t="s">
        <v>171</v>
      </c>
      <c r="G9" s="53" t="s">
        <v>172</v>
      </c>
      <c r="H9" s="53" t="s">
        <v>173</v>
      </c>
      <c r="I9" s="53" t="s">
        <v>174</v>
      </c>
      <c r="J9" s="53" t="s">
        <v>175</v>
      </c>
      <c r="K9" s="57" t="s">
        <v>176</v>
      </c>
      <c r="L9" s="57" t="s">
        <v>177</v>
      </c>
      <c r="M9" s="57" t="s">
        <v>178</v>
      </c>
      <c r="N9" s="53" t="s">
        <v>179</v>
      </c>
      <c r="O9" s="57" t="s">
        <v>180</v>
      </c>
      <c r="P9" s="57" t="s">
        <v>181</v>
      </c>
      <c r="Q9" s="57" t="s">
        <v>182</v>
      </c>
      <c r="R9" s="57" t="s">
        <v>183</v>
      </c>
      <c r="S9" s="57" t="s">
        <v>184</v>
      </c>
      <c r="T9" s="53" t="s">
        <v>185</v>
      </c>
      <c r="U9" s="57" t="s">
        <v>186</v>
      </c>
      <c r="V9" s="57" t="s">
        <v>187</v>
      </c>
      <c r="W9" s="53" t="s">
        <v>188</v>
      </c>
      <c r="X9" s="53" t="s">
        <v>189</v>
      </c>
      <c r="Y9" s="57" t="s">
        <v>190</v>
      </c>
      <c r="Z9" s="57" t="s">
        <v>191</v>
      </c>
      <c r="AA9" s="57" t="s">
        <v>192</v>
      </c>
      <c r="AB9" s="53" t="s">
        <v>193</v>
      </c>
      <c r="AC9" s="16" t="s">
        <v>36</v>
      </c>
      <c r="AD9" s="52" t="s">
        <v>192</v>
      </c>
      <c r="AE9" s="3"/>
    </row>
    <row r="10" spans="1:31" ht="15" customHeight="1" x14ac:dyDescent="0.2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">
      <c r="A11" s="19"/>
      <c r="B11" s="21" t="s">
        <v>39</v>
      </c>
      <c r="C11" s="3"/>
      <c r="D11" s="3"/>
      <c r="E11" s="3"/>
      <c r="F11" s="10">
        <v>0.1</v>
      </c>
      <c r="G11" s="10">
        <v>0</v>
      </c>
      <c r="H11" s="10">
        <v>0.1</v>
      </c>
      <c r="I11" s="10">
        <v>0.2</v>
      </c>
      <c r="J11" s="10">
        <v>0</v>
      </c>
      <c r="K11" s="10">
        <v>0.2</v>
      </c>
      <c r="L11" s="10">
        <v>0</v>
      </c>
      <c r="M11" s="10">
        <v>0.3</v>
      </c>
      <c r="N11" s="62">
        <f>16.4+0.2</f>
        <v>16.599999999999998</v>
      </c>
      <c r="O11" s="10">
        <v>0.2</v>
      </c>
      <c r="P11" s="10">
        <v>0.5</v>
      </c>
      <c r="Q11" s="10">
        <v>0.2</v>
      </c>
      <c r="R11" s="10">
        <v>0</v>
      </c>
      <c r="S11" s="62">
        <f>0.4+0.1</f>
        <v>0.5</v>
      </c>
      <c r="T11" s="62">
        <f>4.1+0.7</f>
        <v>4.8</v>
      </c>
      <c r="U11" s="10">
        <v>0.2</v>
      </c>
      <c r="V11" s="62">
        <f>0.2+0.2</f>
        <v>0.4</v>
      </c>
      <c r="W11" s="10">
        <v>0</v>
      </c>
      <c r="X11" s="10">
        <v>0.5</v>
      </c>
      <c r="Y11" s="55" t="s">
        <v>40</v>
      </c>
      <c r="Z11" s="10">
        <v>0.2</v>
      </c>
      <c r="AA11" s="10">
        <v>0</v>
      </c>
      <c r="AB11" s="26">
        <f t="shared" ref="AB11:AB20" si="0">AC11-SUM(F11:AA11)</f>
        <v>0.60000000000000853</v>
      </c>
      <c r="AC11" s="60">
        <f>23.1+2.5</f>
        <v>25.6</v>
      </c>
      <c r="AD11" s="58">
        <f>SUM(F11:AA11)</f>
        <v>24.999999999999993</v>
      </c>
      <c r="AE11" s="3"/>
    </row>
    <row r="12" spans="1:31" ht="15" customHeight="1" x14ac:dyDescent="0.2">
      <c r="A12" s="19"/>
      <c r="B12" s="21"/>
      <c r="C12" s="21" t="s">
        <v>107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0.7</v>
      </c>
      <c r="X12" s="10">
        <v>12.8</v>
      </c>
      <c r="Y12" s="55" t="s">
        <v>40</v>
      </c>
      <c r="Z12" s="10">
        <v>0</v>
      </c>
      <c r="AA12" s="10">
        <v>0</v>
      </c>
      <c r="AB12" s="26">
        <f t="shared" si="0"/>
        <v>0</v>
      </c>
      <c r="AC12" s="36">
        <f>0.7+12.8</f>
        <v>13.5</v>
      </c>
      <c r="AD12" s="58">
        <f t="shared" ref="AD12:AD20" si="1">SUM(F12:AA12)</f>
        <v>13.5</v>
      </c>
    </row>
    <row r="13" spans="1:31" ht="15" customHeight="1" x14ac:dyDescent="0.2">
      <c r="A13" s="19"/>
      <c r="B13" s="21"/>
      <c r="C13" s="21" t="s">
        <v>42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0.2</v>
      </c>
      <c r="K13" s="10">
        <v>0</v>
      </c>
      <c r="L13" s="10">
        <v>0.5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0.8</v>
      </c>
      <c r="U13" s="10">
        <v>0.1</v>
      </c>
      <c r="V13" s="10">
        <v>0</v>
      </c>
      <c r="W13" s="10">
        <v>0</v>
      </c>
      <c r="X13" s="10">
        <v>0</v>
      </c>
      <c r="Y13" s="55" t="s">
        <v>40</v>
      </c>
      <c r="Z13" s="10">
        <v>0</v>
      </c>
      <c r="AA13" s="10">
        <v>0</v>
      </c>
      <c r="AB13" s="26">
        <f t="shared" si="0"/>
        <v>0.19999999999999996</v>
      </c>
      <c r="AC13" s="10">
        <v>1.8</v>
      </c>
      <c r="AD13" s="58">
        <f t="shared" si="1"/>
        <v>1.6</v>
      </c>
      <c r="AE13" s="3"/>
    </row>
    <row r="14" spans="1:31" ht="15" customHeight="1" x14ac:dyDescent="0.2">
      <c r="A14" s="19"/>
      <c r="B14" s="17" t="s">
        <v>43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55" t="s">
        <v>40</v>
      </c>
      <c r="Z14" s="10">
        <v>0</v>
      </c>
      <c r="AA14" s="10">
        <v>0</v>
      </c>
      <c r="AB14" s="26">
        <f t="shared" si="0"/>
        <v>0</v>
      </c>
      <c r="AC14" s="60">
        <f>5-5</f>
        <v>0</v>
      </c>
      <c r="AD14" s="58">
        <f t="shared" si="1"/>
        <v>0</v>
      </c>
      <c r="AE14" s="3"/>
    </row>
    <row r="15" spans="1:31" ht="15" customHeight="1" x14ac:dyDescent="0.2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55" t="s">
        <v>40</v>
      </c>
      <c r="Z15" s="10">
        <v>0</v>
      </c>
      <c r="AA15" s="10">
        <v>0</v>
      </c>
      <c r="AB15" s="26">
        <f t="shared" si="0"/>
        <v>3.4</v>
      </c>
      <c r="AC15" s="10">
        <v>3.4</v>
      </c>
      <c r="AD15" s="58">
        <f t="shared" si="1"/>
        <v>0</v>
      </c>
      <c r="AE15" s="3"/>
    </row>
    <row r="16" spans="1:31" ht="15" customHeight="1" x14ac:dyDescent="0.2">
      <c r="A16" s="19"/>
      <c r="B16" s="21" t="s">
        <v>45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55" t="s">
        <v>40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1.5</v>
      </c>
      <c r="W17" s="10">
        <v>0</v>
      </c>
      <c r="X17" s="10">
        <v>0</v>
      </c>
      <c r="Y17" s="55" t="s">
        <v>40</v>
      </c>
      <c r="Z17" s="10">
        <v>0</v>
      </c>
      <c r="AA17" s="10">
        <v>0</v>
      </c>
      <c r="AB17" s="26">
        <f t="shared" si="0"/>
        <v>0</v>
      </c>
      <c r="AC17" s="10">
        <v>1.5</v>
      </c>
      <c r="AD17" s="58">
        <f t="shared" si="1"/>
        <v>1.5</v>
      </c>
      <c r="AE17" s="3"/>
    </row>
    <row r="18" spans="1:31" ht="15" customHeight="1" x14ac:dyDescent="0.2">
      <c r="A18" s="19"/>
      <c r="B18" s="21" t="s">
        <v>165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0.1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0.1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55" t="s">
        <v>40</v>
      </c>
      <c r="Z18" s="10">
        <v>0</v>
      </c>
      <c r="AA18" s="10">
        <v>0</v>
      </c>
      <c r="AB18" s="26">
        <f t="shared" si="0"/>
        <v>0</v>
      </c>
      <c r="AC18" s="10">
        <v>0.2</v>
      </c>
      <c r="AD18" s="58">
        <f t="shared" si="1"/>
        <v>0.2</v>
      </c>
      <c r="AE18" s="3"/>
    </row>
    <row r="19" spans="1:31" ht="15" customHeight="1" x14ac:dyDescent="0.2">
      <c r="A19" s="19"/>
      <c r="B19" s="21" t="s">
        <v>48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f>0.3-0.3</f>
        <v>0</v>
      </c>
      <c r="U19" s="10">
        <v>0</v>
      </c>
      <c r="V19" s="10">
        <v>0</v>
      </c>
      <c r="W19" s="10">
        <v>0</v>
      </c>
      <c r="X19" s="10">
        <v>0</v>
      </c>
      <c r="Y19" s="55" t="s">
        <v>40</v>
      </c>
      <c r="Z19" s="10">
        <v>0</v>
      </c>
      <c r="AA19" s="10">
        <v>0</v>
      </c>
      <c r="AB19" s="26">
        <f t="shared" si="0"/>
        <v>0.1</v>
      </c>
      <c r="AC19" s="10">
        <v>0.1</v>
      </c>
      <c r="AD19" s="58">
        <f t="shared" si="1"/>
        <v>0</v>
      </c>
      <c r="AE19" s="3"/>
    </row>
    <row r="20" spans="1:31" ht="15" customHeight="1" x14ac:dyDescent="0.2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56" t="s">
        <v>40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5" customHeight="1" x14ac:dyDescent="0.2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">
      <c r="A22" s="19"/>
      <c r="B22" s="19"/>
      <c r="C22" s="18" t="s">
        <v>50</v>
      </c>
      <c r="D22" s="3"/>
      <c r="E22" s="3"/>
      <c r="F22" s="11">
        <f t="shared" ref="F22:AD22" si="2">SUM(F11:F20)</f>
        <v>0.1</v>
      </c>
      <c r="G22" s="11">
        <f t="shared" si="2"/>
        <v>0</v>
      </c>
      <c r="H22" s="11">
        <f t="shared" si="2"/>
        <v>0.1</v>
      </c>
      <c r="I22" s="11">
        <f t="shared" si="2"/>
        <v>0.2</v>
      </c>
      <c r="J22" s="11">
        <f t="shared" si="2"/>
        <v>0.2</v>
      </c>
      <c r="K22" s="11">
        <f t="shared" si="2"/>
        <v>0.30000000000000004</v>
      </c>
      <c r="L22" s="11">
        <f t="shared" si="2"/>
        <v>0.5</v>
      </c>
      <c r="M22" s="11">
        <f t="shared" si="2"/>
        <v>0.3</v>
      </c>
      <c r="N22" s="11">
        <f t="shared" si="2"/>
        <v>16.599999999999998</v>
      </c>
      <c r="O22" s="11">
        <f t="shared" si="2"/>
        <v>0.2</v>
      </c>
      <c r="P22" s="11">
        <f t="shared" si="2"/>
        <v>0.5</v>
      </c>
      <c r="Q22" s="11">
        <f t="shared" si="2"/>
        <v>0.2</v>
      </c>
      <c r="R22" s="11">
        <f t="shared" si="2"/>
        <v>0.1</v>
      </c>
      <c r="S22" s="11">
        <f t="shared" si="2"/>
        <v>0.5</v>
      </c>
      <c r="T22" s="11">
        <f t="shared" si="2"/>
        <v>5.6</v>
      </c>
      <c r="U22" s="11">
        <f t="shared" si="2"/>
        <v>0.30000000000000004</v>
      </c>
      <c r="V22" s="11">
        <f t="shared" si="2"/>
        <v>1.9</v>
      </c>
      <c r="W22" s="11">
        <f t="shared" si="2"/>
        <v>0.7</v>
      </c>
      <c r="X22" s="11">
        <f t="shared" si="2"/>
        <v>13.3</v>
      </c>
      <c r="Y22" s="11">
        <f t="shared" si="2"/>
        <v>0</v>
      </c>
      <c r="Z22" s="11">
        <f t="shared" si="2"/>
        <v>0.2</v>
      </c>
      <c r="AA22" s="11">
        <f t="shared" si="2"/>
        <v>0</v>
      </c>
      <c r="AB22" s="11">
        <f t="shared" si="2"/>
        <v>4.3000000000000078</v>
      </c>
      <c r="AC22" s="11">
        <f t="shared" si="2"/>
        <v>46.1</v>
      </c>
      <c r="AD22" s="11">
        <f t="shared" si="2"/>
        <v>41.8</v>
      </c>
      <c r="AE22" s="3"/>
    </row>
    <row r="23" spans="1:31" ht="15" customHeight="1" x14ac:dyDescent="0.2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">
      <c r="A25" s="19"/>
      <c r="B25" s="21" t="s">
        <v>52</v>
      </c>
      <c r="C25" s="3"/>
      <c r="D25" s="3"/>
      <c r="E25" s="3"/>
      <c r="F25" s="10">
        <v>0.3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1.4</v>
      </c>
      <c r="U25" s="10">
        <v>0</v>
      </c>
      <c r="V25" s="10">
        <v>0</v>
      </c>
      <c r="W25" s="10">
        <v>0</v>
      </c>
      <c r="X25" s="10">
        <v>0</v>
      </c>
      <c r="Y25" s="55" t="s">
        <v>40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1.7</v>
      </c>
      <c r="AD25" s="58">
        <f t="shared" ref="AD25:AD39" si="4">SUM(F25:AA25)</f>
        <v>1.7</v>
      </c>
      <c r="AE25" s="3"/>
    </row>
    <row r="26" spans="1:31" ht="15" customHeight="1" x14ac:dyDescent="0.2">
      <c r="A26" s="19"/>
      <c r="B26" s="21"/>
      <c r="C26" s="21" t="s">
        <v>53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55" t="s">
        <v>40</v>
      </c>
      <c r="Z26" s="10">
        <v>0</v>
      </c>
      <c r="AA26" s="10">
        <v>0</v>
      </c>
      <c r="AB26" s="26">
        <f t="shared" si="3"/>
        <v>0</v>
      </c>
      <c r="AC26" s="60">
        <f>0.4-0.4</f>
        <v>0</v>
      </c>
      <c r="AD26" s="58">
        <f t="shared" si="4"/>
        <v>0</v>
      </c>
      <c r="AE26" s="3"/>
    </row>
    <row r="27" spans="1:31" ht="15" customHeight="1" x14ac:dyDescent="0.2">
      <c r="A27" s="19"/>
      <c r="B27" s="21"/>
      <c r="C27" s="21" t="s">
        <v>54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55" t="s">
        <v>40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62">
        <f>0+0.2</f>
        <v>0.2</v>
      </c>
      <c r="O28" s="10">
        <v>0</v>
      </c>
      <c r="P28" s="10">
        <v>0</v>
      </c>
      <c r="Q28" s="10">
        <v>0</v>
      </c>
      <c r="R28" s="10">
        <v>0</v>
      </c>
      <c r="S28" s="62">
        <f>0.1+0.1</f>
        <v>0.2</v>
      </c>
      <c r="T28" s="62">
        <f>2.4+0.7</f>
        <v>3.0999999999999996</v>
      </c>
      <c r="U28" s="10">
        <v>0</v>
      </c>
      <c r="V28" s="62">
        <f>0.8+0.2</f>
        <v>1</v>
      </c>
      <c r="W28" s="10">
        <v>0.6</v>
      </c>
      <c r="X28" s="60">
        <f>0.6+0.2</f>
        <v>0.8</v>
      </c>
      <c r="Y28" s="55" t="s">
        <v>40</v>
      </c>
      <c r="Z28" s="10">
        <v>0</v>
      </c>
      <c r="AA28" s="60">
        <v>-0.2</v>
      </c>
      <c r="AB28" s="26">
        <f t="shared" si="3"/>
        <v>0.30000000000000071</v>
      </c>
      <c r="AC28" s="10">
        <v>6</v>
      </c>
      <c r="AD28" s="58">
        <f t="shared" si="4"/>
        <v>5.6999999999999993</v>
      </c>
      <c r="AE28" s="3"/>
    </row>
    <row r="29" spans="1:31" ht="15" customHeight="1" x14ac:dyDescent="0.2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55" t="s">
        <v>40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">
      <c r="A30" s="19"/>
      <c r="B30" s="21" t="s">
        <v>57</v>
      </c>
      <c r="C30" s="3"/>
      <c r="D30" s="3"/>
      <c r="E30" s="3"/>
      <c r="F30" s="10">
        <v>0.3</v>
      </c>
      <c r="G30" s="10">
        <v>0.1</v>
      </c>
      <c r="H30" s="10">
        <v>0.1</v>
      </c>
      <c r="I30" s="10">
        <v>0</v>
      </c>
      <c r="J30" s="10">
        <v>0.1</v>
      </c>
      <c r="K30" s="10">
        <v>0</v>
      </c>
      <c r="L30" s="10">
        <v>0.1</v>
      </c>
      <c r="M30" s="10">
        <v>0</v>
      </c>
      <c r="N30" s="10">
        <v>0.1</v>
      </c>
      <c r="O30" s="10">
        <v>1.1000000000000001</v>
      </c>
      <c r="P30" s="10">
        <v>0.2</v>
      </c>
      <c r="Q30" s="10">
        <v>0.2</v>
      </c>
      <c r="R30" s="10">
        <v>0.3</v>
      </c>
      <c r="S30" s="10">
        <v>0.1</v>
      </c>
      <c r="T30" s="10">
        <v>0.3</v>
      </c>
      <c r="U30" s="10">
        <v>0.3</v>
      </c>
      <c r="V30" s="10">
        <v>0.2</v>
      </c>
      <c r="W30" s="10">
        <v>0.1</v>
      </c>
      <c r="X30" s="10">
        <v>0.1</v>
      </c>
      <c r="Y30" s="55" t="s">
        <v>40</v>
      </c>
      <c r="Z30" s="10">
        <v>0.4</v>
      </c>
      <c r="AA30" s="10">
        <v>0.2</v>
      </c>
      <c r="AB30" s="26">
        <f t="shared" si="3"/>
        <v>0</v>
      </c>
      <c r="AC30" s="10">
        <v>4.3</v>
      </c>
      <c r="AD30" s="58">
        <f t="shared" si="4"/>
        <v>4.3000000000000007</v>
      </c>
      <c r="AE30" s="3"/>
    </row>
    <row r="31" spans="1:31" ht="15" customHeight="1" x14ac:dyDescent="0.2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55" t="s">
        <v>40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55" t="s">
        <v>40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0.2</v>
      </c>
      <c r="I33" s="10">
        <v>0.1</v>
      </c>
      <c r="J33" s="10">
        <v>0.1</v>
      </c>
      <c r="K33" s="10">
        <v>0</v>
      </c>
      <c r="L33" s="10">
        <v>0.4</v>
      </c>
      <c r="M33" s="10">
        <v>0</v>
      </c>
      <c r="N33" s="10">
        <v>0</v>
      </c>
      <c r="O33" s="10">
        <v>0.1</v>
      </c>
      <c r="P33" s="10">
        <v>0.2</v>
      </c>
      <c r="Q33" s="10">
        <v>1.4</v>
      </c>
      <c r="R33" s="10">
        <v>0.6</v>
      </c>
      <c r="S33" s="10">
        <v>0.3</v>
      </c>
      <c r="T33" s="10">
        <v>0.7</v>
      </c>
      <c r="U33" s="10">
        <v>1.5</v>
      </c>
      <c r="V33" s="10">
        <v>0.3</v>
      </c>
      <c r="W33" s="10">
        <v>0.4</v>
      </c>
      <c r="X33" s="10">
        <v>0.1</v>
      </c>
      <c r="Y33" s="55" t="s">
        <v>40</v>
      </c>
      <c r="Z33" s="10">
        <v>0</v>
      </c>
      <c r="AA33" s="10">
        <v>0</v>
      </c>
      <c r="AB33" s="26">
        <f t="shared" si="3"/>
        <v>0.10000000000000053</v>
      </c>
      <c r="AC33" s="10">
        <v>6.5</v>
      </c>
      <c r="AD33" s="58">
        <f t="shared" si="4"/>
        <v>6.3999999999999995</v>
      </c>
      <c r="AE33" s="3"/>
    </row>
    <row r="34" spans="1:31" ht="15" customHeight="1" x14ac:dyDescent="0.2">
      <c r="A34" s="19"/>
      <c r="B34" s="21" t="s">
        <v>109</v>
      </c>
      <c r="C34" s="3"/>
      <c r="D34" s="3"/>
      <c r="E34" s="3"/>
      <c r="F34" s="10">
        <v>0.5</v>
      </c>
      <c r="G34" s="10">
        <v>0.1</v>
      </c>
      <c r="H34" s="10">
        <v>0.2</v>
      </c>
      <c r="I34" s="10">
        <v>0</v>
      </c>
      <c r="J34" s="10">
        <v>0.1</v>
      </c>
      <c r="K34" s="10">
        <v>0.1</v>
      </c>
      <c r="L34" s="10">
        <v>0.1</v>
      </c>
      <c r="M34" s="10">
        <v>0.1</v>
      </c>
      <c r="N34" s="10">
        <v>0.1</v>
      </c>
      <c r="O34" s="10">
        <v>0.1</v>
      </c>
      <c r="P34" s="10">
        <v>0.9</v>
      </c>
      <c r="Q34" s="10">
        <v>0.2</v>
      </c>
      <c r="R34" s="10">
        <v>0.3</v>
      </c>
      <c r="S34" s="10">
        <v>0.1</v>
      </c>
      <c r="T34" s="10">
        <v>0.1</v>
      </c>
      <c r="U34" s="10">
        <v>0.2</v>
      </c>
      <c r="V34" s="10">
        <v>0.1</v>
      </c>
      <c r="W34" s="10">
        <v>0.1</v>
      </c>
      <c r="X34" s="10">
        <v>0.1</v>
      </c>
      <c r="Y34" s="55" t="s">
        <v>40</v>
      </c>
      <c r="Z34" s="10">
        <v>0.3</v>
      </c>
      <c r="AA34" s="10">
        <v>0.3</v>
      </c>
      <c r="AB34" s="26">
        <f t="shared" si="3"/>
        <v>0.89999999999999947</v>
      </c>
      <c r="AC34" s="10">
        <v>5</v>
      </c>
      <c r="AD34" s="58">
        <f t="shared" si="4"/>
        <v>4.1000000000000005</v>
      </c>
      <c r="AE34" s="3"/>
    </row>
    <row r="35" spans="1:31" ht="15" customHeight="1" x14ac:dyDescent="0.2">
      <c r="A35" s="19"/>
      <c r="B35" s="17" t="s">
        <v>62</v>
      </c>
      <c r="C35" s="3"/>
      <c r="D35" s="3"/>
      <c r="E35" s="3"/>
      <c r="F35" s="10">
        <v>3.4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55" t="s">
        <v>40</v>
      </c>
      <c r="Z35" s="10">
        <v>0</v>
      </c>
      <c r="AA35" s="10">
        <v>0</v>
      </c>
      <c r="AB35" s="26">
        <f t="shared" si="3"/>
        <v>0</v>
      </c>
      <c r="AC35" s="10">
        <v>3.4</v>
      </c>
      <c r="AD35" s="58">
        <f t="shared" si="4"/>
        <v>3.4</v>
      </c>
      <c r="AE35" s="3"/>
    </row>
    <row r="36" spans="1:31" ht="15" customHeight="1" x14ac:dyDescent="0.2">
      <c r="A36" s="19"/>
      <c r="B36" s="17" t="s">
        <v>138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55" t="s">
        <v>40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">
      <c r="A37" s="19"/>
      <c r="B37" s="17" t="s">
        <v>138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55" t="s">
        <v>40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">
      <c r="A38" s="19"/>
      <c r="B38" s="17" t="s">
        <v>138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55" t="s">
        <v>40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56" t="s">
        <v>40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5" customHeight="1" x14ac:dyDescent="0.2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">
      <c r="A41" s="19"/>
      <c r="B41" s="19"/>
      <c r="C41" s="22" t="s">
        <v>66</v>
      </c>
      <c r="D41" s="3"/>
      <c r="E41" s="3"/>
      <c r="F41" s="11">
        <f t="shared" ref="F41:AD41" si="5">SUM(F25:F39)</f>
        <v>4.5</v>
      </c>
      <c r="G41" s="11">
        <f t="shared" si="5"/>
        <v>0.2</v>
      </c>
      <c r="H41" s="11">
        <f t="shared" si="5"/>
        <v>0.5</v>
      </c>
      <c r="I41" s="11">
        <f t="shared" si="5"/>
        <v>0.1</v>
      </c>
      <c r="J41" s="11">
        <f t="shared" si="5"/>
        <v>0.30000000000000004</v>
      </c>
      <c r="K41" s="11">
        <f t="shared" si="5"/>
        <v>0.1</v>
      </c>
      <c r="L41" s="11">
        <f t="shared" si="5"/>
        <v>0.6</v>
      </c>
      <c r="M41" s="11">
        <f t="shared" si="5"/>
        <v>0.1</v>
      </c>
      <c r="N41" s="11">
        <f t="shared" si="5"/>
        <v>0.4</v>
      </c>
      <c r="O41" s="11">
        <f t="shared" si="5"/>
        <v>1.3000000000000003</v>
      </c>
      <c r="P41" s="11">
        <f t="shared" si="5"/>
        <v>1.3</v>
      </c>
      <c r="Q41" s="11">
        <f t="shared" si="5"/>
        <v>1.7999999999999998</v>
      </c>
      <c r="R41" s="11">
        <f t="shared" si="5"/>
        <v>1.2</v>
      </c>
      <c r="S41" s="11">
        <f t="shared" si="5"/>
        <v>0.70000000000000007</v>
      </c>
      <c r="T41" s="11">
        <f t="shared" si="5"/>
        <v>5.6</v>
      </c>
      <c r="U41" s="11">
        <f t="shared" si="5"/>
        <v>2</v>
      </c>
      <c r="V41" s="11">
        <f t="shared" si="5"/>
        <v>1.6</v>
      </c>
      <c r="W41" s="11">
        <f t="shared" si="5"/>
        <v>1.2000000000000002</v>
      </c>
      <c r="X41" s="11">
        <f t="shared" si="5"/>
        <v>1.1000000000000001</v>
      </c>
      <c r="Y41" s="11">
        <f t="shared" si="5"/>
        <v>0</v>
      </c>
      <c r="Z41" s="11">
        <f t="shared" si="5"/>
        <v>0.7</v>
      </c>
      <c r="AA41" s="11">
        <f t="shared" si="5"/>
        <v>0.3</v>
      </c>
      <c r="AB41" s="11">
        <f t="shared" si="5"/>
        <v>1.3000000000000007</v>
      </c>
      <c r="AC41" s="11">
        <f t="shared" si="5"/>
        <v>26.9</v>
      </c>
      <c r="AD41" s="11">
        <f t="shared" si="5"/>
        <v>25.599999999999998</v>
      </c>
      <c r="AE41" s="3"/>
    </row>
    <row r="42" spans="1:31" ht="15" customHeight="1" x14ac:dyDescent="0.2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">
      <c r="A43" s="46" t="s">
        <v>67</v>
      </c>
      <c r="B43" s="33"/>
      <c r="C43" s="34"/>
      <c r="D43" s="34"/>
      <c r="E43" s="34"/>
      <c r="F43" s="35">
        <f t="shared" ref="F43:AD43" si="6">F22-F41</f>
        <v>-4.4000000000000004</v>
      </c>
      <c r="G43" s="35">
        <f t="shared" si="6"/>
        <v>-0.2</v>
      </c>
      <c r="H43" s="35">
        <f t="shared" si="6"/>
        <v>-0.4</v>
      </c>
      <c r="I43" s="35">
        <f t="shared" si="6"/>
        <v>0.1</v>
      </c>
      <c r="J43" s="35">
        <f t="shared" si="6"/>
        <v>-0.10000000000000003</v>
      </c>
      <c r="K43" s="35">
        <f t="shared" si="6"/>
        <v>0.20000000000000004</v>
      </c>
      <c r="L43" s="35">
        <f t="shared" si="6"/>
        <v>-9.9999999999999978E-2</v>
      </c>
      <c r="M43" s="35">
        <f t="shared" si="6"/>
        <v>0.19999999999999998</v>
      </c>
      <c r="N43" s="35">
        <f t="shared" si="6"/>
        <v>16.2</v>
      </c>
      <c r="O43" s="35">
        <f t="shared" si="6"/>
        <v>-1.1000000000000003</v>
      </c>
      <c r="P43" s="35">
        <f t="shared" si="6"/>
        <v>-0.8</v>
      </c>
      <c r="Q43" s="35">
        <f t="shared" si="6"/>
        <v>-1.5999999999999999</v>
      </c>
      <c r="R43" s="35">
        <f t="shared" si="6"/>
        <v>-1.0999999999999999</v>
      </c>
      <c r="S43" s="35">
        <f t="shared" si="6"/>
        <v>-0.20000000000000007</v>
      </c>
      <c r="T43" s="35">
        <f t="shared" si="6"/>
        <v>0</v>
      </c>
      <c r="U43" s="35">
        <f t="shared" si="6"/>
        <v>-1.7</v>
      </c>
      <c r="V43" s="35">
        <f t="shared" si="6"/>
        <v>0.29999999999999982</v>
      </c>
      <c r="W43" s="35">
        <f t="shared" si="6"/>
        <v>-0.50000000000000022</v>
      </c>
      <c r="X43" s="35">
        <f t="shared" si="6"/>
        <v>12.200000000000001</v>
      </c>
      <c r="Y43" s="35">
        <f t="shared" si="6"/>
        <v>0</v>
      </c>
      <c r="Z43" s="35">
        <f t="shared" si="6"/>
        <v>-0.49999999999999994</v>
      </c>
      <c r="AA43" s="35">
        <f t="shared" si="6"/>
        <v>-0.3</v>
      </c>
      <c r="AB43" s="35">
        <f t="shared" si="6"/>
        <v>3.0000000000000071</v>
      </c>
      <c r="AC43" s="35">
        <f t="shared" si="6"/>
        <v>19.200000000000003</v>
      </c>
      <c r="AD43" s="35">
        <f t="shared" si="6"/>
        <v>16.2</v>
      </c>
      <c r="AE43" s="3"/>
    </row>
    <row r="44" spans="1:31" ht="12" customHeight="1" x14ac:dyDescent="0.2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">
      <c r="A47" s="46" t="s">
        <v>69</v>
      </c>
      <c r="B47" s="33"/>
      <c r="C47" s="34"/>
      <c r="D47" s="34"/>
      <c r="E47" s="34"/>
      <c r="F47" s="35">
        <f t="shared" ref="F47:AD47" si="7">F43-F45</f>
        <v>-4.4000000000000004</v>
      </c>
      <c r="G47" s="35">
        <f t="shared" si="7"/>
        <v>-0.2</v>
      </c>
      <c r="H47" s="35">
        <f t="shared" si="7"/>
        <v>-0.4</v>
      </c>
      <c r="I47" s="35">
        <f t="shared" si="7"/>
        <v>0.1</v>
      </c>
      <c r="J47" s="35">
        <f t="shared" si="7"/>
        <v>-0.10000000000000003</v>
      </c>
      <c r="K47" s="35">
        <f t="shared" si="7"/>
        <v>0.20000000000000004</v>
      </c>
      <c r="L47" s="35">
        <f t="shared" si="7"/>
        <v>-9.9999999999999978E-2</v>
      </c>
      <c r="M47" s="35">
        <f t="shared" si="7"/>
        <v>0.19999999999999998</v>
      </c>
      <c r="N47" s="35">
        <f t="shared" si="7"/>
        <v>16.2</v>
      </c>
      <c r="O47" s="35">
        <f t="shared" si="7"/>
        <v>-1.1000000000000003</v>
      </c>
      <c r="P47" s="35">
        <f t="shared" si="7"/>
        <v>-0.8</v>
      </c>
      <c r="Q47" s="35">
        <f t="shared" si="7"/>
        <v>-1.5999999999999999</v>
      </c>
      <c r="R47" s="35">
        <f t="shared" si="7"/>
        <v>-1.0999999999999999</v>
      </c>
      <c r="S47" s="35">
        <f t="shared" si="7"/>
        <v>-0.20000000000000007</v>
      </c>
      <c r="T47" s="35">
        <f t="shared" si="7"/>
        <v>0</v>
      </c>
      <c r="U47" s="35">
        <f t="shared" si="7"/>
        <v>-1.7</v>
      </c>
      <c r="V47" s="35">
        <f t="shared" si="7"/>
        <v>0.29999999999999982</v>
      </c>
      <c r="W47" s="35">
        <f t="shared" si="7"/>
        <v>-0.50000000000000022</v>
      </c>
      <c r="X47" s="35">
        <f t="shared" si="7"/>
        <v>12.200000000000001</v>
      </c>
      <c r="Y47" s="35">
        <f t="shared" si="7"/>
        <v>0</v>
      </c>
      <c r="Z47" s="35">
        <f t="shared" si="7"/>
        <v>-0.49999999999999994</v>
      </c>
      <c r="AA47" s="35">
        <f t="shared" si="7"/>
        <v>-0.3</v>
      </c>
      <c r="AB47" s="35">
        <f t="shared" si="7"/>
        <v>3.0000000000000071</v>
      </c>
      <c r="AC47" s="35">
        <f t="shared" si="7"/>
        <v>19.200000000000003</v>
      </c>
      <c r="AD47" s="35">
        <f t="shared" si="7"/>
        <v>16.2</v>
      </c>
      <c r="AE47" s="3"/>
    </row>
    <row r="48" spans="1:31" ht="12" customHeight="1" x14ac:dyDescent="0.2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">
      <c r="AD55" s="1"/>
    </row>
    <row r="56" spans="1:31" x14ac:dyDescent="0.2">
      <c r="AD56" s="1"/>
    </row>
    <row r="57" spans="1:31" ht="12" customHeight="1" x14ac:dyDescent="0.2">
      <c r="B57" s="2"/>
      <c r="C57" s="2"/>
    </row>
    <row r="58" spans="1:31" ht="12" customHeight="1" x14ac:dyDescent="0.2">
      <c r="C58" s="2"/>
    </row>
    <row r="59" spans="1:31" ht="12" customHeight="1" x14ac:dyDescent="0.2">
      <c r="C59" s="2"/>
    </row>
    <row r="60" spans="1:31" ht="12" customHeight="1" x14ac:dyDescent="0.2"/>
    <row r="63" spans="1:31" ht="12" customHeight="1" x14ac:dyDescent="0.2">
      <c r="B63" s="2"/>
      <c r="C63" s="2"/>
    </row>
    <row r="64" spans="1:31" ht="12" customHeight="1" x14ac:dyDescent="0.2">
      <c r="C64" s="2"/>
    </row>
    <row r="65" spans="3:3" ht="12" customHeight="1" x14ac:dyDescent="0.2">
      <c r="C65" s="2"/>
    </row>
    <row r="66" spans="3:3" ht="12" customHeight="1" x14ac:dyDescent="0.2">
      <c r="C66" s="2"/>
    </row>
    <row r="67" spans="3:3" x14ac:dyDescent="0.2">
      <c r="C67" s="2"/>
    </row>
    <row r="68" spans="3:3" x14ac:dyDescent="0.2">
      <c r="C68" s="2"/>
    </row>
    <row r="69" spans="3:3" ht="12" customHeight="1" x14ac:dyDescent="0.2">
      <c r="C69" s="2"/>
    </row>
    <row r="70" spans="3:3" ht="12" customHeight="1" x14ac:dyDescent="0.2"/>
    <row r="71" spans="3:3" ht="12" customHeight="1" x14ac:dyDescent="0.2"/>
    <row r="72" spans="3:3" ht="12" customHeight="1" x14ac:dyDescent="0.2"/>
    <row r="73" spans="3:3" ht="12" customHeight="1" x14ac:dyDescent="0.2"/>
    <row r="74" spans="3:3" ht="12" customHeight="1" x14ac:dyDescent="0.2"/>
    <row r="75" spans="3:3" ht="12" customHeight="1" x14ac:dyDescent="0.2"/>
    <row r="76" spans="3:3" ht="12" customHeight="1" x14ac:dyDescent="0.2"/>
    <row r="77" spans="3:3" ht="12" customHeight="1" x14ac:dyDescent="0.2"/>
    <row r="78" spans="3:3" ht="12" customHeight="1" x14ac:dyDescent="0.2"/>
    <row r="79" spans="3:3" ht="3.95" customHeight="1" x14ac:dyDescent="0.2"/>
    <row r="80" spans="3:3" ht="12" customHeight="1" x14ac:dyDescent="0.2"/>
    <row r="81" ht="3.95" customHeight="1" x14ac:dyDescent="0.2"/>
    <row r="82" ht="12" customHeight="1" x14ac:dyDescent="0.2"/>
    <row r="83" ht="12" customHeight="1" x14ac:dyDescent="0.2"/>
    <row r="85" ht="12" customHeight="1" x14ac:dyDescent="0.2"/>
    <row r="88" ht="12" customHeight="1" x14ac:dyDescent="0.2"/>
    <row r="91" ht="12" customHeight="1" x14ac:dyDescent="0.2"/>
    <row r="92" ht="12" customHeight="1" x14ac:dyDescent="0.2"/>
    <row r="94" ht="12" customHeight="1" x14ac:dyDescent="0.2"/>
    <row r="96" ht="12" customHeight="1" x14ac:dyDescent="0.2"/>
    <row r="97" ht="12" customHeight="1" x14ac:dyDescent="0.2"/>
    <row r="98" ht="12" customHeight="1" x14ac:dyDescent="0.2"/>
    <row r="100" ht="12" customHeight="1" x14ac:dyDescent="0.2"/>
    <row r="104" ht="12" customHeight="1" x14ac:dyDescent="0.2"/>
    <row r="105" ht="3.95" customHeight="1" x14ac:dyDescent="0.2"/>
    <row r="107" ht="6" customHeight="1" x14ac:dyDescent="0.2"/>
    <row r="109" ht="6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3.95" customHeight="1" x14ac:dyDescent="0.2"/>
    <row r="117" ht="6" customHeight="1" x14ac:dyDescent="0.2"/>
    <row r="120" ht="6" customHeight="1" x14ac:dyDescent="0.2"/>
    <row r="123" ht="6" customHeight="1" x14ac:dyDescent="0.2"/>
    <row r="126" ht="6" customHeight="1" x14ac:dyDescent="0.2"/>
    <row r="130" ht="8.1" customHeight="1" x14ac:dyDescent="0.2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96</vt:i4>
      </vt:variant>
    </vt:vector>
  </HeadingPairs>
  <TitlesOfParts>
    <vt:vector size="120" baseType="lpstr">
      <vt:lpstr>NNG-Jan.</vt:lpstr>
      <vt:lpstr>TW-Jan.</vt:lpstr>
      <vt:lpstr>NNG-Feb.</vt:lpstr>
      <vt:lpstr>TW-Feb.</vt:lpstr>
      <vt:lpstr>NNG-Mar.</vt:lpstr>
      <vt:lpstr>TW-Mar.</vt:lpstr>
      <vt:lpstr>NNG-Apr.</vt:lpstr>
      <vt:lpstr>TW-Apr.</vt:lpstr>
      <vt:lpstr>NNG-May</vt:lpstr>
      <vt:lpstr>TW-May</vt:lpstr>
      <vt:lpstr>NNG-Jun</vt:lpstr>
      <vt:lpstr>TW-Jun</vt:lpstr>
      <vt:lpstr>NNG-Jul</vt:lpstr>
      <vt:lpstr>TW &amp; ETS-Jul</vt:lpstr>
      <vt:lpstr>NNG-Aug</vt:lpstr>
      <vt:lpstr>TW &amp; ETS-Aug</vt:lpstr>
      <vt:lpstr>NNG-Sep</vt:lpstr>
      <vt:lpstr>TW &amp; ETS-Sep</vt:lpstr>
      <vt:lpstr>NNG-Oct</vt:lpstr>
      <vt:lpstr>TW &amp; ETS-Oct</vt:lpstr>
      <vt:lpstr>NNG-Nov</vt:lpstr>
      <vt:lpstr>TW &amp; ETS-Nov</vt:lpstr>
      <vt:lpstr>NNG-Dec</vt:lpstr>
      <vt:lpstr>TW &amp; ETS-Dec</vt:lpstr>
      <vt:lpstr>'NNG-Apr.'!\F</vt:lpstr>
      <vt:lpstr>'NNG-Aug'!\F</vt:lpstr>
      <vt:lpstr>'NNG-Dec'!\F</vt:lpstr>
      <vt:lpstr>'NNG-Feb.'!\F</vt:lpstr>
      <vt:lpstr>'NNG-Jul'!\F</vt:lpstr>
      <vt:lpstr>'NNG-Jun'!\F</vt:lpstr>
      <vt:lpstr>'NNG-Mar.'!\F</vt:lpstr>
      <vt:lpstr>'NNG-May'!\F</vt:lpstr>
      <vt:lpstr>'NNG-Nov'!\F</vt:lpstr>
      <vt:lpstr>'NNG-Oct'!\F</vt:lpstr>
      <vt:lpstr>'NNG-Sep'!\F</vt:lpstr>
      <vt:lpstr>'TW &amp; ETS-Aug'!\F</vt:lpstr>
      <vt:lpstr>'TW &amp; ETS-Dec'!\F</vt:lpstr>
      <vt:lpstr>'TW &amp; ETS-Jul'!\F</vt:lpstr>
      <vt:lpstr>'TW &amp; ETS-Nov'!\F</vt:lpstr>
      <vt:lpstr>'TW &amp; ETS-Oct'!\F</vt:lpstr>
      <vt:lpstr>'TW &amp; ETS-Sep'!\F</vt:lpstr>
      <vt:lpstr>'TW-Apr.'!\F</vt:lpstr>
      <vt:lpstr>'TW-Feb.'!\F</vt:lpstr>
      <vt:lpstr>'TW-Jan.'!\F</vt:lpstr>
      <vt:lpstr>'TW-Jun'!\F</vt:lpstr>
      <vt:lpstr>'TW-Mar.'!\F</vt:lpstr>
      <vt:lpstr>'TW-May'!\F</vt:lpstr>
      <vt:lpstr>\F</vt:lpstr>
      <vt:lpstr>'NNG-Apr.'!\P</vt:lpstr>
      <vt:lpstr>'NNG-Aug'!\P</vt:lpstr>
      <vt:lpstr>'NNG-Dec'!\P</vt:lpstr>
      <vt:lpstr>'NNG-Feb.'!\P</vt:lpstr>
      <vt:lpstr>'NNG-Jul'!\P</vt:lpstr>
      <vt:lpstr>'NNG-Jun'!\P</vt:lpstr>
      <vt:lpstr>'NNG-Mar.'!\P</vt:lpstr>
      <vt:lpstr>'NNG-May'!\P</vt:lpstr>
      <vt:lpstr>'NNG-Nov'!\P</vt:lpstr>
      <vt:lpstr>'NNG-Oct'!\P</vt:lpstr>
      <vt:lpstr>'NNG-Sep'!\P</vt:lpstr>
      <vt:lpstr>'TW &amp; ETS-Aug'!\P</vt:lpstr>
      <vt:lpstr>'TW &amp; ETS-Dec'!\P</vt:lpstr>
      <vt:lpstr>'TW &amp; ETS-Jul'!\P</vt:lpstr>
      <vt:lpstr>'TW &amp; ETS-Nov'!\P</vt:lpstr>
      <vt:lpstr>'TW &amp; ETS-Oct'!\P</vt:lpstr>
      <vt:lpstr>'TW &amp; ETS-Sep'!\P</vt:lpstr>
      <vt:lpstr>'TW-Apr.'!\P</vt:lpstr>
      <vt:lpstr>'TW-Feb.'!\P</vt:lpstr>
      <vt:lpstr>'TW-Jan.'!\P</vt:lpstr>
      <vt:lpstr>'TW-Jun'!\P</vt:lpstr>
      <vt:lpstr>'TW-Mar.'!\P</vt:lpstr>
      <vt:lpstr>'TW-May'!\P</vt:lpstr>
      <vt:lpstr>\P</vt:lpstr>
      <vt:lpstr>'NNG-Apr.'!LATESTFC</vt:lpstr>
      <vt:lpstr>'NNG-Aug'!LATESTFC</vt:lpstr>
      <vt:lpstr>'NNG-Dec'!LATESTFC</vt:lpstr>
      <vt:lpstr>'NNG-Feb.'!LATESTFC</vt:lpstr>
      <vt:lpstr>'NNG-Jul'!LATESTFC</vt:lpstr>
      <vt:lpstr>'NNG-Jun'!LATESTFC</vt:lpstr>
      <vt:lpstr>'NNG-Mar.'!LATESTFC</vt:lpstr>
      <vt:lpstr>'NNG-May'!LATESTFC</vt:lpstr>
      <vt:lpstr>'NNG-Nov'!LATESTFC</vt:lpstr>
      <vt:lpstr>'NNG-Oct'!LATESTFC</vt:lpstr>
      <vt:lpstr>'NNG-Sep'!LATESTFC</vt:lpstr>
      <vt:lpstr>'TW &amp; ETS-Aug'!LATESTFC</vt:lpstr>
      <vt:lpstr>'TW &amp; ETS-Dec'!LATESTFC</vt:lpstr>
      <vt:lpstr>'TW &amp; ETS-Jul'!LATESTFC</vt:lpstr>
      <vt:lpstr>'TW &amp; ETS-Nov'!LATESTFC</vt:lpstr>
      <vt:lpstr>'TW &amp; ETS-Oct'!LATESTFC</vt:lpstr>
      <vt:lpstr>'TW &amp; ETS-Sep'!LATESTFC</vt:lpstr>
      <vt:lpstr>'TW-Apr.'!LATESTFC</vt:lpstr>
      <vt:lpstr>'TW-Feb.'!LATESTFC</vt:lpstr>
      <vt:lpstr>'TW-Jan.'!LATESTFC</vt:lpstr>
      <vt:lpstr>'TW-Jun'!LATESTFC</vt:lpstr>
      <vt:lpstr>'TW-Mar.'!LATESTFC</vt:lpstr>
      <vt:lpstr>'TW-May'!LATESTFC</vt:lpstr>
      <vt:lpstr>LATESTFC</vt:lpstr>
      <vt:lpstr>'NNG-Apr.'!Print_Area</vt:lpstr>
      <vt:lpstr>'NNG-Aug'!Print_Area</vt:lpstr>
      <vt:lpstr>'NNG-Dec'!Print_Area</vt:lpstr>
      <vt:lpstr>'NNG-Feb.'!Print_Area</vt:lpstr>
      <vt:lpstr>'NNG-Jan.'!Print_Area</vt:lpstr>
      <vt:lpstr>'NNG-Jul'!Print_Area</vt:lpstr>
      <vt:lpstr>'NNG-Jun'!Print_Area</vt:lpstr>
      <vt:lpstr>'NNG-Mar.'!Print_Area</vt:lpstr>
      <vt:lpstr>'NNG-May'!Print_Area</vt:lpstr>
      <vt:lpstr>'NNG-Nov'!Print_Area</vt:lpstr>
      <vt:lpstr>'NNG-Oct'!Print_Area</vt:lpstr>
      <vt:lpstr>'NNG-Sep'!Print_Area</vt:lpstr>
      <vt:lpstr>'TW &amp; ETS-Aug'!Print_Area</vt:lpstr>
      <vt:lpstr>'TW &amp; ETS-Dec'!Print_Area</vt:lpstr>
      <vt:lpstr>'TW &amp; ETS-Jul'!Print_Area</vt:lpstr>
      <vt:lpstr>'TW &amp; ETS-Nov'!Print_Area</vt:lpstr>
      <vt:lpstr>'TW &amp; ETS-Oct'!Print_Area</vt:lpstr>
      <vt:lpstr>'TW &amp; ETS-Sep'!Print_Area</vt:lpstr>
      <vt:lpstr>'TW-Apr.'!Print_Area</vt:lpstr>
      <vt:lpstr>'TW-Feb.'!Print_Area</vt:lpstr>
      <vt:lpstr>'TW-Jan.'!Print_Area</vt:lpstr>
      <vt:lpstr>'TW-Jun'!Print_Area</vt:lpstr>
      <vt:lpstr>'TW-Mar.'!Print_Area</vt:lpstr>
      <vt:lpstr>'TW-May'!Print_Area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Jan Havlíček</cp:lastModifiedBy>
  <cp:lastPrinted>2001-11-27T17:07:04Z</cp:lastPrinted>
  <dcterms:created xsi:type="dcterms:W3CDTF">1997-03-03T22:09:18Z</dcterms:created>
  <dcterms:modified xsi:type="dcterms:W3CDTF">2023-09-14T18:26:55Z</dcterms:modified>
</cp:coreProperties>
</file>