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E5CCDB-5E24-45A2-A79F-765E7D10A098}" xr6:coauthVersionLast="47" xr6:coauthVersionMax="47" xr10:uidLastSave="{00000000-0000-0000-0000-000000000000}"/>
  <bookViews>
    <workbookView xWindow="-120" yWindow="-120" windowWidth="38640" windowHeight="15720" tabRatio="771" firstSheet="1" activeTab="4"/>
  </bookViews>
  <sheets>
    <sheet name="Explaination about this model" sheetId="39" r:id="rId1"/>
    <sheet name="Assumptions" sheetId="24" r:id="rId2"/>
    <sheet name="Summary" sheetId="38" state="hidden" r:id="rId3"/>
    <sheet name="Lev. Consolid" sheetId="37" state="hidden" r:id="rId4"/>
    <sheet name="Unlev. Consolid" sheetId="9" r:id="rId5"/>
    <sheet name="Asset 1" sheetId="26" r:id="rId6"/>
    <sheet name="Asset 2" sheetId="34" state="hidden" r:id="rId7"/>
    <sheet name="Asset 3" sheetId="35" state="hidden" r:id="rId8"/>
    <sheet name="Cons. BS" sheetId="12" state="hidden" r:id="rId9"/>
  </sheets>
  <externalReferences>
    <externalReference r:id="rId10"/>
    <externalReference r:id="rId11"/>
    <externalReference r:id="rId12"/>
    <externalReference r:id="rId13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'Asset 1'!$L$34</definedName>
    <definedName name="Asset1Loop">'Asset 1'!$F$36</definedName>
    <definedName name="Asset1NPVPrice">'Asset 1'!$L$36</definedName>
    <definedName name="Asset1PurPrice">'Asset 1'!$G$36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Consolid'!$N$53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Consolid'!$I$55</definedName>
    <definedName name="CM">[1]JuneYTD!#REF!</definedName>
    <definedName name="CNPVPrice">'Unlev. Consolid'!$N$55</definedName>
    <definedName name="ConsDRate">Assumptions!$D$21</definedName>
    <definedName name="CPurPrice">'Unlev. Consolid'!$J$55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PRYR">[1]JuneYTD!#REF!</definedName>
    <definedName name="DESC">[1]JuneYTD!#REF!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ethDRate">'Asset 2'!$L$32</definedName>
    <definedName name="MethLoop">'Asset 2'!$F$34</definedName>
    <definedName name="MethNPVPrice">'Asset 2'!$L$34</definedName>
    <definedName name="MethPurPrice">'Asset 2'!$G$34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BLDRate">'Asset 3'!$L$32</definedName>
    <definedName name="OBLLoop">'Asset 3'!$F$34</definedName>
    <definedName name="OBLNPVPrice">'Asset 3'!$L$34</definedName>
    <definedName name="OBLPurPrice">'Asset 3'!$G$34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6" l="1"/>
  <c r="F3" i="26"/>
  <c r="F7" i="26"/>
  <c r="G7" i="26"/>
  <c r="H7" i="26"/>
  <c r="I7" i="26"/>
  <c r="J7" i="26"/>
  <c r="K7" i="26"/>
  <c r="L7" i="26"/>
  <c r="M7" i="26"/>
  <c r="N7" i="26"/>
  <c r="O7" i="26"/>
  <c r="P7" i="26"/>
  <c r="Q7" i="26"/>
  <c r="G10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G13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G18" i="26"/>
  <c r="H18" i="26"/>
  <c r="I18" i="26"/>
  <c r="J18" i="26"/>
  <c r="K18" i="26"/>
  <c r="L18" i="26"/>
  <c r="M18" i="26"/>
  <c r="N18" i="26"/>
  <c r="O18" i="26"/>
  <c r="P18" i="26"/>
  <c r="Q18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G22" i="26"/>
  <c r="H22" i="26"/>
  <c r="I22" i="26"/>
  <c r="J22" i="26"/>
  <c r="K22" i="26"/>
  <c r="L22" i="26"/>
  <c r="M22" i="26"/>
  <c r="N22" i="26"/>
  <c r="O22" i="26"/>
  <c r="P22" i="26"/>
  <c r="Q22" i="26"/>
  <c r="G23" i="26"/>
  <c r="H23" i="26"/>
  <c r="I23" i="26"/>
  <c r="J23" i="26"/>
  <c r="K23" i="26"/>
  <c r="L23" i="26"/>
  <c r="M23" i="26"/>
  <c r="N23" i="26"/>
  <c r="O23" i="26"/>
  <c r="P23" i="26"/>
  <c r="Q23" i="26"/>
  <c r="B24" i="26"/>
  <c r="G24" i="26"/>
  <c r="H24" i="26"/>
  <c r="I24" i="26"/>
  <c r="J24" i="26"/>
  <c r="K24" i="26"/>
  <c r="L24" i="26"/>
  <c r="M24" i="26"/>
  <c r="N24" i="26"/>
  <c r="O24" i="26"/>
  <c r="P24" i="26"/>
  <c r="Q24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B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F30" i="26"/>
  <c r="G30" i="26"/>
  <c r="H30" i="26"/>
  <c r="I30" i="26"/>
  <c r="J30" i="26"/>
  <c r="K30" i="26"/>
  <c r="L30" i="26"/>
  <c r="M30" i="26"/>
  <c r="N30" i="26"/>
  <c r="O30" i="26"/>
  <c r="P30" i="26"/>
  <c r="Q30" i="26"/>
  <c r="R30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H33" i="26"/>
  <c r="K34" i="26"/>
  <c r="L34" i="26"/>
  <c r="M34" i="26"/>
  <c r="F36" i="26"/>
  <c r="H36" i="26"/>
  <c r="I36" i="26"/>
  <c r="K36" i="26"/>
  <c r="L36" i="26"/>
  <c r="M36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A43" i="26"/>
  <c r="B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A46" i="26"/>
  <c r="G47" i="26"/>
  <c r="H47" i="26"/>
  <c r="I47" i="26"/>
  <c r="J47" i="26"/>
  <c r="K47" i="26"/>
  <c r="L47" i="26"/>
  <c r="M47" i="26"/>
  <c r="N47" i="26"/>
  <c r="O47" i="26"/>
  <c r="P47" i="26"/>
  <c r="Q47" i="26"/>
  <c r="F48" i="26"/>
  <c r="G48" i="26"/>
  <c r="H48" i="26"/>
  <c r="I48" i="26"/>
  <c r="J48" i="26"/>
  <c r="K48" i="26"/>
  <c r="L48" i="26"/>
  <c r="M48" i="26"/>
  <c r="N48" i="26"/>
  <c r="O48" i="26"/>
  <c r="P48" i="26"/>
  <c r="Q48" i="26"/>
  <c r="I49" i="26"/>
  <c r="J49" i="26"/>
  <c r="K49" i="26"/>
  <c r="L49" i="26"/>
  <c r="M49" i="26"/>
  <c r="N49" i="26"/>
  <c r="O49" i="26"/>
  <c r="P49" i="26"/>
  <c r="Q49" i="26"/>
  <c r="A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I52" i="26"/>
  <c r="J52" i="26"/>
  <c r="K52" i="26"/>
  <c r="L52" i="26"/>
  <c r="M52" i="26"/>
  <c r="N52" i="26"/>
  <c r="O52" i="26"/>
  <c r="P52" i="26"/>
  <c r="Q52" i="26"/>
  <c r="A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I55" i="26"/>
  <c r="J55" i="26"/>
  <c r="K55" i="26"/>
  <c r="L55" i="26"/>
  <c r="M55" i="26"/>
  <c r="N55" i="26"/>
  <c r="O55" i="26"/>
  <c r="P55" i="26"/>
  <c r="Q55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A60" i="26"/>
  <c r="B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A63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A69" i="26"/>
  <c r="F69" i="26"/>
  <c r="G69" i="26"/>
  <c r="H69" i="26"/>
  <c r="I69" i="26"/>
  <c r="J69" i="26"/>
  <c r="K69" i="26"/>
  <c r="L69" i="26"/>
  <c r="M69" i="26"/>
  <c r="N69" i="26"/>
  <c r="O69" i="26"/>
  <c r="P69" i="26"/>
  <c r="Q69" i="26"/>
  <c r="I70" i="26"/>
  <c r="J70" i="26"/>
  <c r="K70" i="26"/>
  <c r="L70" i="26"/>
  <c r="M70" i="26"/>
  <c r="N70" i="26"/>
  <c r="O70" i="26"/>
  <c r="P70" i="26"/>
  <c r="Q70" i="26"/>
  <c r="A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I73" i="26"/>
  <c r="J73" i="26"/>
  <c r="K73" i="26"/>
  <c r="L73" i="26"/>
  <c r="M73" i="26"/>
  <c r="N73" i="26"/>
  <c r="O73" i="26"/>
  <c r="P73" i="26"/>
  <c r="Q73" i="26"/>
  <c r="G78" i="26"/>
  <c r="H78" i="26"/>
  <c r="I78" i="26"/>
  <c r="J78" i="26"/>
  <c r="K78" i="26"/>
  <c r="L78" i="26"/>
  <c r="M78" i="26"/>
  <c r="N78" i="26"/>
  <c r="O78" i="26"/>
  <c r="P78" i="26"/>
  <c r="Q78" i="26"/>
  <c r="B82" i="26"/>
  <c r="C82" i="26"/>
  <c r="G82" i="26"/>
  <c r="H82" i="26"/>
  <c r="I82" i="26"/>
  <c r="J82" i="26"/>
  <c r="K82" i="26"/>
  <c r="L82" i="26"/>
  <c r="M82" i="26"/>
  <c r="N82" i="26"/>
  <c r="O82" i="26"/>
  <c r="P82" i="26"/>
  <c r="Q82" i="26"/>
  <c r="G83" i="26"/>
  <c r="H83" i="26"/>
  <c r="I83" i="26"/>
  <c r="J83" i="26"/>
  <c r="K83" i="26"/>
  <c r="L83" i="26"/>
  <c r="M83" i="26"/>
  <c r="N83" i="26"/>
  <c r="O83" i="26"/>
  <c r="P83" i="26"/>
  <c r="Q83" i="26"/>
  <c r="G84" i="26"/>
  <c r="H84" i="26"/>
  <c r="I84" i="26"/>
  <c r="J84" i="26"/>
  <c r="K84" i="26"/>
  <c r="L84" i="26"/>
  <c r="M84" i="26"/>
  <c r="N84" i="26"/>
  <c r="O84" i="26"/>
  <c r="P84" i="26"/>
  <c r="Q84" i="26"/>
  <c r="G85" i="26"/>
  <c r="H85" i="26"/>
  <c r="I85" i="26"/>
  <c r="J85" i="26"/>
  <c r="K85" i="26"/>
  <c r="L85" i="26"/>
  <c r="M85" i="26"/>
  <c r="N85" i="26"/>
  <c r="O85" i="26"/>
  <c r="P85" i="26"/>
  <c r="Q85" i="26"/>
  <c r="G88" i="26"/>
  <c r="H88" i="26"/>
  <c r="I88" i="26"/>
  <c r="J88" i="26"/>
  <c r="K88" i="26"/>
  <c r="L88" i="26"/>
  <c r="M88" i="26"/>
  <c r="N88" i="26"/>
  <c r="O88" i="26"/>
  <c r="P88" i="26"/>
  <c r="Q88" i="26"/>
  <c r="G89" i="26"/>
  <c r="H89" i="26"/>
  <c r="I89" i="26"/>
  <c r="J89" i="26"/>
  <c r="K89" i="26"/>
  <c r="L89" i="26"/>
  <c r="M89" i="26"/>
  <c r="N89" i="26"/>
  <c r="O89" i="26"/>
  <c r="P89" i="26"/>
  <c r="Q89" i="26"/>
  <c r="G90" i="26"/>
  <c r="H90" i="26"/>
  <c r="I90" i="26"/>
  <c r="J90" i="26"/>
  <c r="K90" i="26"/>
  <c r="L90" i="26"/>
  <c r="M90" i="26"/>
  <c r="N90" i="26"/>
  <c r="O90" i="26"/>
  <c r="P90" i="26"/>
  <c r="Q90" i="26"/>
  <c r="A1" i="34"/>
  <c r="F3" i="34"/>
  <c r="F5" i="34"/>
  <c r="G5" i="34"/>
  <c r="H5" i="34"/>
  <c r="I5" i="34"/>
  <c r="J5" i="34"/>
  <c r="K5" i="34"/>
  <c r="L5" i="34"/>
  <c r="M5" i="34"/>
  <c r="N5" i="34"/>
  <c r="O5" i="34"/>
  <c r="P5" i="34"/>
  <c r="Q5" i="34"/>
  <c r="G8" i="34"/>
  <c r="F9" i="34"/>
  <c r="G9" i="34"/>
  <c r="H9" i="34"/>
  <c r="I9" i="34"/>
  <c r="J9" i="34"/>
  <c r="K9" i="34"/>
  <c r="L9" i="34"/>
  <c r="M9" i="34"/>
  <c r="N9" i="34"/>
  <c r="O9" i="34"/>
  <c r="P9" i="34"/>
  <c r="Q9" i="34"/>
  <c r="G11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G16" i="34"/>
  <c r="H16" i="34"/>
  <c r="I16" i="34"/>
  <c r="J16" i="34"/>
  <c r="K16" i="34"/>
  <c r="L16" i="34"/>
  <c r="M16" i="34"/>
  <c r="N16" i="34"/>
  <c r="O16" i="34"/>
  <c r="P16" i="34"/>
  <c r="Q16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G20" i="34"/>
  <c r="H20" i="34"/>
  <c r="I20" i="34"/>
  <c r="J20" i="34"/>
  <c r="K20" i="34"/>
  <c r="L20" i="34"/>
  <c r="M20" i="34"/>
  <c r="N20" i="34"/>
  <c r="O20" i="34"/>
  <c r="P20" i="34"/>
  <c r="Q20" i="34"/>
  <c r="G21" i="34"/>
  <c r="H21" i="34"/>
  <c r="I21" i="34"/>
  <c r="J21" i="34"/>
  <c r="K21" i="34"/>
  <c r="L21" i="34"/>
  <c r="M21" i="34"/>
  <c r="N21" i="34"/>
  <c r="O21" i="34"/>
  <c r="P21" i="34"/>
  <c r="Q21" i="34"/>
  <c r="B22" i="34"/>
  <c r="G22" i="34"/>
  <c r="H22" i="34"/>
  <c r="I22" i="34"/>
  <c r="J22" i="34"/>
  <c r="K22" i="34"/>
  <c r="L22" i="34"/>
  <c r="M22" i="34"/>
  <c r="N22" i="34"/>
  <c r="O22" i="34"/>
  <c r="P22" i="34"/>
  <c r="Q22" i="34"/>
  <c r="F24" i="34"/>
  <c r="G24" i="34"/>
  <c r="H24" i="34"/>
  <c r="I24" i="34"/>
  <c r="J24" i="34"/>
  <c r="K24" i="34"/>
  <c r="L24" i="34"/>
  <c r="M24" i="34"/>
  <c r="N24" i="34"/>
  <c r="O24" i="34"/>
  <c r="P24" i="34"/>
  <c r="Q24" i="34"/>
  <c r="F26" i="34"/>
  <c r="G26" i="34"/>
  <c r="H26" i="34"/>
  <c r="I26" i="34"/>
  <c r="J26" i="34"/>
  <c r="K26" i="34"/>
  <c r="L26" i="34"/>
  <c r="M26" i="34"/>
  <c r="N26" i="34"/>
  <c r="O26" i="34"/>
  <c r="P26" i="34"/>
  <c r="Q26" i="34"/>
  <c r="B27" i="34"/>
  <c r="F27" i="34"/>
  <c r="G27" i="34"/>
  <c r="H27" i="34"/>
  <c r="I27" i="34"/>
  <c r="J27" i="34"/>
  <c r="K27" i="34"/>
  <c r="L27" i="34"/>
  <c r="M27" i="34"/>
  <c r="N27" i="34"/>
  <c r="O27" i="34"/>
  <c r="P27" i="34"/>
  <c r="Q27" i="34"/>
  <c r="R27" i="34"/>
  <c r="F28" i="34"/>
  <c r="G28" i="34"/>
  <c r="H28" i="34"/>
  <c r="I28" i="34"/>
  <c r="J28" i="34"/>
  <c r="K28" i="34"/>
  <c r="L28" i="34"/>
  <c r="M28" i="34"/>
  <c r="N28" i="34"/>
  <c r="O28" i="34"/>
  <c r="P28" i="34"/>
  <c r="Q28" i="34"/>
  <c r="R28" i="34"/>
  <c r="H31" i="34"/>
  <c r="K32" i="34"/>
  <c r="L32" i="34"/>
  <c r="M32" i="34"/>
  <c r="F34" i="34"/>
  <c r="H34" i="34"/>
  <c r="I34" i="34"/>
  <c r="K34" i="34"/>
  <c r="L34" i="34"/>
  <c r="M34" i="34"/>
  <c r="F40" i="34"/>
  <c r="G40" i="34"/>
  <c r="H40" i="34"/>
  <c r="I40" i="34"/>
  <c r="J40" i="34"/>
  <c r="K40" i="34"/>
  <c r="L40" i="34"/>
  <c r="M40" i="34"/>
  <c r="N40" i="34"/>
  <c r="O40" i="34"/>
  <c r="P40" i="34"/>
  <c r="Q40" i="34"/>
  <c r="A41" i="34"/>
  <c r="B41" i="34"/>
  <c r="F41" i="34"/>
  <c r="G41" i="34"/>
  <c r="H41" i="34"/>
  <c r="I41" i="34"/>
  <c r="J41" i="34"/>
  <c r="K41" i="34"/>
  <c r="L41" i="34"/>
  <c r="M41" i="34"/>
  <c r="N41" i="34"/>
  <c r="O41" i="34"/>
  <c r="P41" i="34"/>
  <c r="Q41" i="34"/>
  <c r="A44" i="34"/>
  <c r="H45" i="34"/>
  <c r="I45" i="34"/>
  <c r="J45" i="34"/>
  <c r="K45" i="34"/>
  <c r="L45" i="34"/>
  <c r="M45" i="34"/>
  <c r="N45" i="34"/>
  <c r="O45" i="34"/>
  <c r="P45" i="34"/>
  <c r="Q45" i="34"/>
  <c r="H46" i="34"/>
  <c r="I46" i="34"/>
  <c r="J46" i="34"/>
  <c r="K46" i="34"/>
  <c r="L46" i="34"/>
  <c r="M46" i="34"/>
  <c r="N46" i="34"/>
  <c r="O46" i="34"/>
  <c r="P46" i="34"/>
  <c r="Q46" i="34"/>
  <c r="H47" i="34"/>
  <c r="I47" i="34"/>
  <c r="J47" i="34"/>
  <c r="K47" i="34"/>
  <c r="L47" i="34"/>
  <c r="M47" i="34"/>
  <c r="N47" i="34"/>
  <c r="O47" i="34"/>
  <c r="P47" i="34"/>
  <c r="Q47" i="34"/>
  <c r="H49" i="34"/>
  <c r="I49" i="34"/>
  <c r="J49" i="34"/>
  <c r="K49" i="34"/>
  <c r="L49" i="34"/>
  <c r="M49" i="34"/>
  <c r="N49" i="34"/>
  <c r="O49" i="34"/>
  <c r="P49" i="34"/>
  <c r="Q49" i="34"/>
  <c r="H50" i="34"/>
  <c r="I50" i="34"/>
  <c r="J50" i="34"/>
  <c r="K50" i="34"/>
  <c r="L50" i="34"/>
  <c r="M50" i="34"/>
  <c r="N50" i="34"/>
  <c r="O50" i="34"/>
  <c r="P50" i="34"/>
  <c r="Q50" i="34"/>
  <c r="H51" i="34"/>
  <c r="I51" i="34"/>
  <c r="J51" i="34"/>
  <c r="K51" i="34"/>
  <c r="L51" i="34"/>
  <c r="M51" i="34"/>
  <c r="N51" i="34"/>
  <c r="O51" i="34"/>
  <c r="P51" i="34"/>
  <c r="Q51" i="34"/>
  <c r="H52" i="34"/>
  <c r="I52" i="34"/>
  <c r="J52" i="34"/>
  <c r="K52" i="34"/>
  <c r="L52" i="34"/>
  <c r="M52" i="34"/>
  <c r="N52" i="34"/>
  <c r="O52" i="34"/>
  <c r="P52" i="34"/>
  <c r="Q52" i="34"/>
  <c r="F53" i="34"/>
  <c r="G53" i="34"/>
  <c r="H53" i="34"/>
  <c r="I53" i="34"/>
  <c r="J53" i="34"/>
  <c r="K53" i="34"/>
  <c r="L53" i="34"/>
  <c r="M53" i="34"/>
  <c r="N53" i="34"/>
  <c r="O53" i="34"/>
  <c r="P53" i="34"/>
  <c r="Q53" i="34"/>
  <c r="I54" i="34"/>
  <c r="J54" i="34"/>
  <c r="K54" i="34"/>
  <c r="L54" i="34"/>
  <c r="M54" i="34"/>
  <c r="N54" i="34"/>
  <c r="O54" i="34"/>
  <c r="P54" i="34"/>
  <c r="Q54" i="34"/>
  <c r="A56" i="34"/>
  <c r="F56" i="34"/>
  <c r="G56" i="34"/>
  <c r="H56" i="34"/>
  <c r="I56" i="34"/>
  <c r="J56" i="34"/>
  <c r="K56" i="34"/>
  <c r="L56" i="34"/>
  <c r="M56" i="34"/>
  <c r="N56" i="34"/>
  <c r="O56" i="34"/>
  <c r="P56" i="34"/>
  <c r="Q56" i="34"/>
  <c r="I57" i="34"/>
  <c r="J57" i="34"/>
  <c r="K57" i="34"/>
  <c r="L57" i="34"/>
  <c r="M57" i="34"/>
  <c r="N57" i="34"/>
  <c r="O57" i="34"/>
  <c r="P57" i="34"/>
  <c r="Q57" i="34"/>
  <c r="A59" i="34"/>
  <c r="F59" i="34"/>
  <c r="G59" i="34"/>
  <c r="H59" i="34"/>
  <c r="I59" i="34"/>
  <c r="J59" i="34"/>
  <c r="K59" i="34"/>
  <c r="L59" i="34"/>
  <c r="M59" i="34"/>
  <c r="N59" i="34"/>
  <c r="O59" i="34"/>
  <c r="P59" i="34"/>
  <c r="Q59" i="34"/>
  <c r="I60" i="34"/>
  <c r="J60" i="34"/>
  <c r="K60" i="34"/>
  <c r="L60" i="34"/>
  <c r="M60" i="34"/>
  <c r="N60" i="34"/>
  <c r="O60" i="34"/>
  <c r="P60" i="34"/>
  <c r="Q60" i="34"/>
  <c r="F64" i="34"/>
  <c r="G64" i="34"/>
  <c r="H64" i="34"/>
  <c r="I64" i="34"/>
  <c r="J64" i="34"/>
  <c r="K64" i="34"/>
  <c r="L64" i="34"/>
  <c r="M64" i="34"/>
  <c r="N64" i="34"/>
  <c r="O64" i="34"/>
  <c r="P64" i="34"/>
  <c r="Q64" i="34"/>
  <c r="A65" i="34"/>
  <c r="B65" i="34"/>
  <c r="F65" i="34"/>
  <c r="G65" i="34"/>
  <c r="H65" i="34"/>
  <c r="I65" i="34"/>
  <c r="J65" i="34"/>
  <c r="K65" i="34"/>
  <c r="L65" i="34"/>
  <c r="M65" i="34"/>
  <c r="N65" i="34"/>
  <c r="O65" i="34"/>
  <c r="P65" i="34"/>
  <c r="Q65" i="34"/>
  <c r="A68" i="34"/>
  <c r="H71" i="34"/>
  <c r="I71" i="34"/>
  <c r="J71" i="34"/>
  <c r="K71" i="34"/>
  <c r="L71" i="34"/>
  <c r="M71" i="34"/>
  <c r="N71" i="34"/>
  <c r="O71" i="34"/>
  <c r="P71" i="34"/>
  <c r="Q71" i="34"/>
  <c r="H72" i="34"/>
  <c r="I72" i="34"/>
  <c r="J72" i="34"/>
  <c r="K72" i="34"/>
  <c r="L72" i="34"/>
  <c r="M72" i="34"/>
  <c r="N72" i="34"/>
  <c r="O72" i="34"/>
  <c r="P72" i="34"/>
  <c r="Q72" i="34"/>
  <c r="H73" i="34"/>
  <c r="I73" i="34"/>
  <c r="J73" i="34"/>
  <c r="K73" i="34"/>
  <c r="L73" i="34"/>
  <c r="M73" i="34"/>
  <c r="N73" i="34"/>
  <c r="O73" i="34"/>
  <c r="P73" i="34"/>
  <c r="Q73" i="34"/>
  <c r="H74" i="34"/>
  <c r="I74" i="34"/>
  <c r="J74" i="34"/>
  <c r="K74" i="34"/>
  <c r="L74" i="34"/>
  <c r="M74" i="34"/>
  <c r="N74" i="34"/>
  <c r="O74" i="34"/>
  <c r="P74" i="34"/>
  <c r="Q74" i="34"/>
  <c r="H75" i="34"/>
  <c r="I75" i="34"/>
  <c r="J75" i="34"/>
  <c r="K75" i="34"/>
  <c r="L75" i="34"/>
  <c r="M75" i="34"/>
  <c r="N75" i="34"/>
  <c r="O75" i="34"/>
  <c r="P75" i="34"/>
  <c r="Q75" i="34"/>
  <c r="H76" i="34"/>
  <c r="I76" i="34"/>
  <c r="J76" i="34"/>
  <c r="K76" i="34"/>
  <c r="L76" i="34"/>
  <c r="M76" i="34"/>
  <c r="N76" i="34"/>
  <c r="O76" i="34"/>
  <c r="P76" i="34"/>
  <c r="Q76" i="34"/>
  <c r="H77" i="34"/>
  <c r="I77" i="34"/>
  <c r="J77" i="34"/>
  <c r="K77" i="34"/>
  <c r="L77" i="34"/>
  <c r="M77" i="34"/>
  <c r="N77" i="34"/>
  <c r="O77" i="34"/>
  <c r="P77" i="34"/>
  <c r="Q77" i="34"/>
  <c r="H78" i="34"/>
  <c r="I78" i="34"/>
  <c r="J78" i="34"/>
  <c r="K78" i="34"/>
  <c r="L78" i="34"/>
  <c r="M78" i="34"/>
  <c r="N78" i="34"/>
  <c r="O78" i="34"/>
  <c r="P78" i="34"/>
  <c r="Q78" i="34"/>
  <c r="H79" i="34"/>
  <c r="I79" i="34"/>
  <c r="J79" i="34"/>
  <c r="K79" i="34"/>
  <c r="L79" i="34"/>
  <c r="M79" i="34"/>
  <c r="N79" i="34"/>
  <c r="O79" i="34"/>
  <c r="P79" i="34"/>
  <c r="Q79" i="34"/>
  <c r="H81" i="34"/>
  <c r="I81" i="34"/>
  <c r="J81" i="34"/>
  <c r="K81" i="34"/>
  <c r="L81" i="34"/>
  <c r="M81" i="34"/>
  <c r="N81" i="34"/>
  <c r="O81" i="34"/>
  <c r="P81" i="34"/>
  <c r="Q81" i="34"/>
  <c r="H82" i="34"/>
  <c r="I82" i="34"/>
  <c r="J82" i="34"/>
  <c r="K82" i="34"/>
  <c r="L82" i="34"/>
  <c r="M82" i="34"/>
  <c r="N82" i="34"/>
  <c r="O82" i="34"/>
  <c r="P82" i="34"/>
  <c r="Q82" i="34"/>
  <c r="H83" i="34"/>
  <c r="I83" i="34"/>
  <c r="J83" i="34"/>
  <c r="K83" i="34"/>
  <c r="L83" i="34"/>
  <c r="M83" i="34"/>
  <c r="N83" i="34"/>
  <c r="O83" i="34"/>
  <c r="P83" i="34"/>
  <c r="Q83" i="34"/>
  <c r="H84" i="34"/>
  <c r="I84" i="34"/>
  <c r="J84" i="34"/>
  <c r="K84" i="34"/>
  <c r="L84" i="34"/>
  <c r="M84" i="34"/>
  <c r="N84" i="34"/>
  <c r="O84" i="34"/>
  <c r="P84" i="34"/>
  <c r="Q84" i="34"/>
  <c r="H85" i="34"/>
  <c r="I85" i="34"/>
  <c r="J85" i="34"/>
  <c r="K85" i="34"/>
  <c r="L85" i="34"/>
  <c r="M85" i="34"/>
  <c r="N85" i="34"/>
  <c r="O85" i="34"/>
  <c r="P85" i="34"/>
  <c r="Q85" i="34"/>
  <c r="F86" i="34"/>
  <c r="G86" i="34"/>
  <c r="H86" i="34"/>
  <c r="I86" i="34"/>
  <c r="J86" i="34"/>
  <c r="K86" i="34"/>
  <c r="L86" i="34"/>
  <c r="M86" i="34"/>
  <c r="N86" i="34"/>
  <c r="O86" i="34"/>
  <c r="P86" i="34"/>
  <c r="Q86" i="34"/>
  <c r="A89" i="34"/>
  <c r="F89" i="34"/>
  <c r="G89" i="34"/>
  <c r="H89" i="34"/>
  <c r="I89" i="34"/>
  <c r="J89" i="34"/>
  <c r="K89" i="34"/>
  <c r="L89" i="34"/>
  <c r="M89" i="34"/>
  <c r="N89" i="34"/>
  <c r="O89" i="34"/>
  <c r="P89" i="34"/>
  <c r="Q89" i="34"/>
  <c r="I90" i="34"/>
  <c r="J90" i="34"/>
  <c r="K90" i="34"/>
  <c r="L90" i="34"/>
  <c r="M90" i="34"/>
  <c r="N90" i="34"/>
  <c r="O90" i="34"/>
  <c r="P90" i="34"/>
  <c r="Q90" i="34"/>
  <c r="A92" i="34"/>
  <c r="F92" i="34"/>
  <c r="G92" i="34"/>
  <c r="H92" i="34"/>
  <c r="I92" i="34"/>
  <c r="J92" i="34"/>
  <c r="K92" i="34"/>
  <c r="L92" i="34"/>
  <c r="M92" i="34"/>
  <c r="N92" i="34"/>
  <c r="O92" i="34"/>
  <c r="P92" i="34"/>
  <c r="Q92" i="34"/>
  <c r="I93" i="34"/>
  <c r="J93" i="34"/>
  <c r="K93" i="34"/>
  <c r="L93" i="34"/>
  <c r="M93" i="34"/>
  <c r="N93" i="34"/>
  <c r="O93" i="34"/>
  <c r="P93" i="34"/>
  <c r="Q93" i="34"/>
  <c r="F98" i="34"/>
  <c r="G98" i="34"/>
  <c r="H98" i="34"/>
  <c r="I98" i="34"/>
  <c r="J98" i="34"/>
  <c r="K98" i="34"/>
  <c r="L98" i="34"/>
  <c r="M98" i="34"/>
  <c r="N98" i="34"/>
  <c r="O98" i="34"/>
  <c r="P98" i="34"/>
  <c r="Q98" i="34"/>
  <c r="B101" i="34"/>
  <c r="C101" i="34"/>
  <c r="G101" i="34"/>
  <c r="H101" i="34"/>
  <c r="I101" i="34"/>
  <c r="J101" i="34"/>
  <c r="K101" i="34"/>
  <c r="L101" i="34"/>
  <c r="M101" i="34"/>
  <c r="N101" i="34"/>
  <c r="O101" i="34"/>
  <c r="P101" i="34"/>
  <c r="Q101" i="34"/>
  <c r="G102" i="34"/>
  <c r="H102" i="34"/>
  <c r="I102" i="34"/>
  <c r="J102" i="34"/>
  <c r="K102" i="34"/>
  <c r="L102" i="34"/>
  <c r="M102" i="34"/>
  <c r="N102" i="34"/>
  <c r="O102" i="34"/>
  <c r="P102" i="34"/>
  <c r="Q102" i="34"/>
  <c r="G103" i="34"/>
  <c r="H103" i="34"/>
  <c r="I103" i="34"/>
  <c r="J103" i="34"/>
  <c r="K103" i="34"/>
  <c r="L103" i="34"/>
  <c r="M103" i="34"/>
  <c r="N103" i="34"/>
  <c r="O103" i="34"/>
  <c r="P103" i="34"/>
  <c r="Q103" i="34"/>
  <c r="G104" i="34"/>
  <c r="H104" i="34"/>
  <c r="I104" i="34"/>
  <c r="J104" i="34"/>
  <c r="K104" i="34"/>
  <c r="L104" i="34"/>
  <c r="M104" i="34"/>
  <c r="N104" i="34"/>
  <c r="O104" i="34"/>
  <c r="P104" i="34"/>
  <c r="Q104" i="34"/>
  <c r="G107" i="34"/>
  <c r="H107" i="34"/>
  <c r="I107" i="34"/>
  <c r="J107" i="34"/>
  <c r="K107" i="34"/>
  <c r="L107" i="34"/>
  <c r="M107" i="34"/>
  <c r="N107" i="34"/>
  <c r="O107" i="34"/>
  <c r="P107" i="34"/>
  <c r="Q107" i="34"/>
  <c r="G108" i="34"/>
  <c r="H108" i="34"/>
  <c r="I108" i="34"/>
  <c r="J108" i="34"/>
  <c r="K108" i="34"/>
  <c r="L108" i="34"/>
  <c r="M108" i="34"/>
  <c r="N108" i="34"/>
  <c r="O108" i="34"/>
  <c r="P108" i="34"/>
  <c r="Q108" i="34"/>
  <c r="G109" i="34"/>
  <c r="H109" i="34"/>
  <c r="I109" i="34"/>
  <c r="J109" i="34"/>
  <c r="K109" i="34"/>
  <c r="L109" i="34"/>
  <c r="M109" i="34"/>
  <c r="N109" i="34"/>
  <c r="O109" i="34"/>
  <c r="P109" i="34"/>
  <c r="Q109" i="34"/>
  <c r="A1" i="35"/>
  <c r="F5" i="35"/>
  <c r="G5" i="35"/>
  <c r="H5" i="35"/>
  <c r="I5" i="35"/>
  <c r="J5" i="35"/>
  <c r="K5" i="35"/>
  <c r="L5" i="35"/>
  <c r="M5" i="35"/>
  <c r="N5" i="35"/>
  <c r="O5" i="35"/>
  <c r="P5" i="35"/>
  <c r="Q5" i="35"/>
  <c r="G8" i="35"/>
  <c r="F9" i="35"/>
  <c r="G9" i="35"/>
  <c r="H9" i="35"/>
  <c r="I9" i="35"/>
  <c r="J9" i="35"/>
  <c r="K9" i="35"/>
  <c r="L9" i="35"/>
  <c r="M9" i="35"/>
  <c r="N9" i="35"/>
  <c r="O9" i="35"/>
  <c r="P9" i="35"/>
  <c r="Q9" i="35"/>
  <c r="G11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G16" i="35"/>
  <c r="H16" i="35"/>
  <c r="I16" i="35"/>
  <c r="J16" i="35"/>
  <c r="K16" i="35"/>
  <c r="L16" i="35"/>
  <c r="M16" i="35"/>
  <c r="N16" i="35"/>
  <c r="O16" i="35"/>
  <c r="P16" i="35"/>
  <c r="Q16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G20" i="35"/>
  <c r="H20" i="35"/>
  <c r="I20" i="35"/>
  <c r="J20" i="35"/>
  <c r="K20" i="35"/>
  <c r="L20" i="35"/>
  <c r="M20" i="35"/>
  <c r="N20" i="35"/>
  <c r="O20" i="35"/>
  <c r="P20" i="35"/>
  <c r="Q20" i="35"/>
  <c r="G21" i="35"/>
  <c r="H21" i="35"/>
  <c r="I21" i="35"/>
  <c r="J21" i="35"/>
  <c r="K21" i="35"/>
  <c r="L21" i="35"/>
  <c r="M21" i="35"/>
  <c r="N21" i="35"/>
  <c r="O21" i="35"/>
  <c r="P21" i="35"/>
  <c r="Q21" i="35"/>
  <c r="B22" i="35"/>
  <c r="G22" i="35"/>
  <c r="H22" i="35"/>
  <c r="I22" i="35"/>
  <c r="J22" i="35"/>
  <c r="K22" i="35"/>
  <c r="L22" i="35"/>
  <c r="M22" i="35"/>
  <c r="N22" i="35"/>
  <c r="O22" i="35"/>
  <c r="P22" i="35"/>
  <c r="Q22" i="35"/>
  <c r="F24" i="35"/>
  <c r="G24" i="35"/>
  <c r="H24" i="35"/>
  <c r="I24" i="35"/>
  <c r="J24" i="35"/>
  <c r="K24" i="35"/>
  <c r="L24" i="35"/>
  <c r="M24" i="35"/>
  <c r="N24" i="35"/>
  <c r="O24" i="35"/>
  <c r="P24" i="35"/>
  <c r="Q24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B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R27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R28" i="35"/>
  <c r="H31" i="35"/>
  <c r="K32" i="35"/>
  <c r="L32" i="35"/>
  <c r="M32" i="35"/>
  <c r="F34" i="35"/>
  <c r="H34" i="35"/>
  <c r="I34" i="35"/>
  <c r="K34" i="35"/>
  <c r="L34" i="35"/>
  <c r="M34" i="35"/>
  <c r="F40" i="35"/>
  <c r="G40" i="35"/>
  <c r="H40" i="35"/>
  <c r="I40" i="35"/>
  <c r="J40" i="35"/>
  <c r="K40" i="35"/>
  <c r="L40" i="35"/>
  <c r="M40" i="35"/>
  <c r="N40" i="35"/>
  <c r="O40" i="35"/>
  <c r="P40" i="35"/>
  <c r="Q40" i="35"/>
  <c r="A41" i="35"/>
  <c r="B41" i="35"/>
  <c r="F41" i="35"/>
  <c r="G41" i="35"/>
  <c r="H41" i="35"/>
  <c r="I41" i="35"/>
  <c r="J41" i="35"/>
  <c r="K41" i="35"/>
  <c r="L41" i="35"/>
  <c r="M41" i="35"/>
  <c r="N41" i="35"/>
  <c r="O41" i="35"/>
  <c r="P41" i="35"/>
  <c r="Q41" i="35"/>
  <c r="A44" i="35"/>
  <c r="H45" i="35"/>
  <c r="I45" i="35"/>
  <c r="J45" i="35"/>
  <c r="K45" i="35"/>
  <c r="L45" i="35"/>
  <c r="M45" i="35"/>
  <c r="N45" i="35"/>
  <c r="O45" i="35"/>
  <c r="P45" i="35"/>
  <c r="Q45" i="35"/>
  <c r="H46" i="35"/>
  <c r="I46" i="35"/>
  <c r="J46" i="35"/>
  <c r="K46" i="35"/>
  <c r="L46" i="35"/>
  <c r="M46" i="35"/>
  <c r="N46" i="35"/>
  <c r="O46" i="35"/>
  <c r="P46" i="35"/>
  <c r="Q46" i="35"/>
  <c r="H47" i="35"/>
  <c r="I47" i="35"/>
  <c r="J47" i="35"/>
  <c r="K47" i="35"/>
  <c r="L47" i="35"/>
  <c r="M47" i="35"/>
  <c r="N47" i="35"/>
  <c r="O47" i="35"/>
  <c r="P47" i="35"/>
  <c r="Q47" i="35"/>
  <c r="H48" i="35"/>
  <c r="I48" i="35"/>
  <c r="J48" i="35"/>
  <c r="K48" i="35"/>
  <c r="L48" i="35"/>
  <c r="M48" i="35"/>
  <c r="N48" i="35"/>
  <c r="O48" i="35"/>
  <c r="P48" i="35"/>
  <c r="Q48" i="35"/>
  <c r="H49" i="35"/>
  <c r="I49" i="35"/>
  <c r="J49" i="35"/>
  <c r="K49" i="35"/>
  <c r="L49" i="35"/>
  <c r="M49" i="35"/>
  <c r="N49" i="35"/>
  <c r="O49" i="35"/>
  <c r="P49" i="35"/>
  <c r="Q49" i="35"/>
  <c r="H51" i="35"/>
  <c r="I51" i="35"/>
  <c r="J51" i="35"/>
  <c r="K51" i="35"/>
  <c r="L51" i="35"/>
  <c r="M51" i="35"/>
  <c r="N51" i="35"/>
  <c r="O51" i="35"/>
  <c r="P51" i="35"/>
  <c r="Q51" i="35"/>
  <c r="H52" i="35"/>
  <c r="I52" i="35"/>
  <c r="J52" i="35"/>
  <c r="K52" i="35"/>
  <c r="L52" i="35"/>
  <c r="M52" i="35"/>
  <c r="N52" i="35"/>
  <c r="O52" i="35"/>
  <c r="P52" i="35"/>
  <c r="Q52" i="35"/>
  <c r="H53" i="35"/>
  <c r="I53" i="35"/>
  <c r="J53" i="35"/>
  <c r="K53" i="35"/>
  <c r="L53" i="35"/>
  <c r="M53" i="35"/>
  <c r="N53" i="35"/>
  <c r="O53" i="35"/>
  <c r="P53" i="35"/>
  <c r="Q53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I55" i="35"/>
  <c r="J55" i="35"/>
  <c r="K55" i="35"/>
  <c r="L55" i="35"/>
  <c r="M55" i="35"/>
  <c r="N55" i="35"/>
  <c r="O55" i="35"/>
  <c r="P55" i="35"/>
  <c r="Q55" i="35"/>
  <c r="A57" i="35"/>
  <c r="F57" i="35"/>
  <c r="G57" i="35"/>
  <c r="H57" i="35"/>
  <c r="I57" i="35"/>
  <c r="J57" i="35"/>
  <c r="K57" i="35"/>
  <c r="L57" i="35"/>
  <c r="M57" i="35"/>
  <c r="N57" i="35"/>
  <c r="O57" i="35"/>
  <c r="P57" i="35"/>
  <c r="Q57" i="35"/>
  <c r="I58" i="35"/>
  <c r="J58" i="35"/>
  <c r="K58" i="35"/>
  <c r="L58" i="35"/>
  <c r="M58" i="35"/>
  <c r="N58" i="35"/>
  <c r="O58" i="35"/>
  <c r="P58" i="35"/>
  <c r="Q58" i="35"/>
  <c r="A60" i="35"/>
  <c r="F60" i="35"/>
  <c r="G60" i="35"/>
  <c r="H60" i="35"/>
  <c r="I60" i="35"/>
  <c r="J60" i="35"/>
  <c r="K60" i="35"/>
  <c r="L60" i="35"/>
  <c r="M60" i="35"/>
  <c r="N60" i="35"/>
  <c r="O60" i="35"/>
  <c r="P60" i="35"/>
  <c r="Q60" i="35"/>
  <c r="I61" i="35"/>
  <c r="J61" i="35"/>
  <c r="K61" i="35"/>
  <c r="L61" i="35"/>
  <c r="M61" i="35"/>
  <c r="N61" i="35"/>
  <c r="O61" i="35"/>
  <c r="P61" i="35"/>
  <c r="Q61" i="35"/>
  <c r="F65" i="35"/>
  <c r="G65" i="35"/>
  <c r="H65" i="35"/>
  <c r="I65" i="35"/>
  <c r="J65" i="35"/>
  <c r="K65" i="35"/>
  <c r="L65" i="35"/>
  <c r="M65" i="35"/>
  <c r="N65" i="35"/>
  <c r="O65" i="35"/>
  <c r="P65" i="35"/>
  <c r="Q65" i="35"/>
  <c r="A66" i="35"/>
  <c r="B66" i="35"/>
  <c r="F66" i="35"/>
  <c r="G66" i="35"/>
  <c r="H66" i="35"/>
  <c r="I66" i="35"/>
  <c r="J66" i="35"/>
  <c r="K66" i="35"/>
  <c r="L66" i="35"/>
  <c r="M66" i="35"/>
  <c r="N66" i="35"/>
  <c r="O66" i="35"/>
  <c r="P66" i="35"/>
  <c r="Q66" i="35"/>
  <c r="A69" i="35"/>
  <c r="H72" i="35"/>
  <c r="I72" i="35"/>
  <c r="J72" i="35"/>
  <c r="K72" i="35"/>
  <c r="L72" i="35"/>
  <c r="M72" i="35"/>
  <c r="N72" i="35"/>
  <c r="O72" i="35"/>
  <c r="P72" i="35"/>
  <c r="Q72" i="35"/>
  <c r="H73" i="35"/>
  <c r="I73" i="35"/>
  <c r="J73" i="35"/>
  <c r="K73" i="35"/>
  <c r="L73" i="35"/>
  <c r="M73" i="35"/>
  <c r="N73" i="35"/>
  <c r="O73" i="35"/>
  <c r="P73" i="35"/>
  <c r="Q73" i="35"/>
  <c r="H74" i="35"/>
  <c r="I74" i="35"/>
  <c r="J74" i="35"/>
  <c r="K74" i="35"/>
  <c r="L74" i="35"/>
  <c r="M74" i="35"/>
  <c r="N74" i="35"/>
  <c r="O74" i="35"/>
  <c r="P74" i="35"/>
  <c r="Q74" i="35"/>
  <c r="H75" i="35"/>
  <c r="I75" i="35"/>
  <c r="J75" i="35"/>
  <c r="K75" i="35"/>
  <c r="L75" i="35"/>
  <c r="M75" i="35"/>
  <c r="N75" i="35"/>
  <c r="O75" i="35"/>
  <c r="P75" i="35"/>
  <c r="Q75" i="35"/>
  <c r="H76" i="35"/>
  <c r="I76" i="35"/>
  <c r="J76" i="35"/>
  <c r="K76" i="35"/>
  <c r="L76" i="35"/>
  <c r="M76" i="35"/>
  <c r="N76" i="35"/>
  <c r="O76" i="35"/>
  <c r="P76" i="35"/>
  <c r="Q76" i="35"/>
  <c r="H77" i="35"/>
  <c r="I77" i="35"/>
  <c r="J77" i="35"/>
  <c r="K77" i="35"/>
  <c r="L77" i="35"/>
  <c r="M77" i="35"/>
  <c r="N77" i="35"/>
  <c r="O77" i="35"/>
  <c r="P77" i="35"/>
  <c r="Q77" i="35"/>
  <c r="H78" i="35"/>
  <c r="I78" i="35"/>
  <c r="J78" i="35"/>
  <c r="K78" i="35"/>
  <c r="L78" i="35"/>
  <c r="M78" i="35"/>
  <c r="N78" i="35"/>
  <c r="O78" i="35"/>
  <c r="P78" i="35"/>
  <c r="Q78" i="35"/>
  <c r="H79" i="35"/>
  <c r="I79" i="35"/>
  <c r="J79" i="35"/>
  <c r="K79" i="35"/>
  <c r="L79" i="35"/>
  <c r="M79" i="35"/>
  <c r="N79" i="35"/>
  <c r="O79" i="35"/>
  <c r="P79" i="35"/>
  <c r="Q79" i="35"/>
  <c r="H80" i="35"/>
  <c r="I80" i="35"/>
  <c r="J80" i="35"/>
  <c r="K80" i="35"/>
  <c r="L80" i="35"/>
  <c r="M80" i="35"/>
  <c r="N80" i="35"/>
  <c r="O80" i="35"/>
  <c r="P80" i="35"/>
  <c r="Q80" i="35"/>
  <c r="H81" i="35"/>
  <c r="I81" i="35"/>
  <c r="J81" i="35"/>
  <c r="K81" i="35"/>
  <c r="L81" i="35"/>
  <c r="M81" i="35"/>
  <c r="N81" i="35"/>
  <c r="O81" i="35"/>
  <c r="P81" i="35"/>
  <c r="Q81" i="35"/>
  <c r="H82" i="35"/>
  <c r="I82" i="35"/>
  <c r="J82" i="35"/>
  <c r="K82" i="35"/>
  <c r="L82" i="35"/>
  <c r="M82" i="35"/>
  <c r="N82" i="35"/>
  <c r="O82" i="35"/>
  <c r="P82" i="35"/>
  <c r="Q82" i="35"/>
  <c r="H83" i="35"/>
  <c r="I83" i="35"/>
  <c r="J83" i="35"/>
  <c r="K83" i="35"/>
  <c r="L83" i="35"/>
  <c r="M83" i="35"/>
  <c r="N83" i="35"/>
  <c r="O83" i="35"/>
  <c r="P83" i="35"/>
  <c r="Q83" i="35"/>
  <c r="H85" i="35"/>
  <c r="I85" i="35"/>
  <c r="J85" i="35"/>
  <c r="K85" i="35"/>
  <c r="L85" i="35"/>
  <c r="M85" i="35"/>
  <c r="N85" i="35"/>
  <c r="O85" i="35"/>
  <c r="P85" i="35"/>
  <c r="Q85" i="35"/>
  <c r="H86" i="35"/>
  <c r="I86" i="35"/>
  <c r="J86" i="35"/>
  <c r="K86" i="35"/>
  <c r="L86" i="35"/>
  <c r="M86" i="35"/>
  <c r="N86" i="35"/>
  <c r="O86" i="35"/>
  <c r="P86" i="35"/>
  <c r="Q86" i="35"/>
  <c r="H87" i="35"/>
  <c r="I87" i="35"/>
  <c r="J87" i="35"/>
  <c r="K87" i="35"/>
  <c r="L87" i="35"/>
  <c r="M87" i="35"/>
  <c r="N87" i="35"/>
  <c r="O87" i="35"/>
  <c r="P87" i="35"/>
  <c r="Q87" i="35"/>
  <c r="H88" i="35"/>
  <c r="I88" i="35"/>
  <c r="J88" i="35"/>
  <c r="K88" i="35"/>
  <c r="L88" i="35"/>
  <c r="M88" i="35"/>
  <c r="N88" i="35"/>
  <c r="O88" i="35"/>
  <c r="P88" i="35"/>
  <c r="Q88" i="35"/>
  <c r="H89" i="35"/>
  <c r="I89" i="35"/>
  <c r="J89" i="35"/>
  <c r="K89" i="35"/>
  <c r="L89" i="35"/>
  <c r="M89" i="35"/>
  <c r="N89" i="35"/>
  <c r="O89" i="35"/>
  <c r="P89" i="35"/>
  <c r="Q89" i="35"/>
  <c r="F90" i="35"/>
  <c r="G90" i="35"/>
  <c r="H90" i="35"/>
  <c r="I90" i="35"/>
  <c r="J90" i="35"/>
  <c r="K90" i="35"/>
  <c r="L90" i="35"/>
  <c r="M90" i="35"/>
  <c r="N90" i="35"/>
  <c r="O90" i="35"/>
  <c r="P90" i="35"/>
  <c r="Q90" i="35"/>
  <c r="A93" i="35"/>
  <c r="F93" i="35"/>
  <c r="G93" i="35"/>
  <c r="H93" i="35"/>
  <c r="I93" i="35"/>
  <c r="J93" i="35"/>
  <c r="K93" i="35"/>
  <c r="L93" i="35"/>
  <c r="M93" i="35"/>
  <c r="N93" i="35"/>
  <c r="O93" i="35"/>
  <c r="P93" i="35"/>
  <c r="Q93" i="35"/>
  <c r="I94" i="35"/>
  <c r="J94" i="35"/>
  <c r="K94" i="35"/>
  <c r="L94" i="35"/>
  <c r="M94" i="35"/>
  <c r="N94" i="35"/>
  <c r="O94" i="35"/>
  <c r="P94" i="35"/>
  <c r="Q94" i="35"/>
  <c r="A96" i="35"/>
  <c r="F96" i="35"/>
  <c r="G96" i="35"/>
  <c r="H96" i="35"/>
  <c r="I96" i="35"/>
  <c r="J96" i="35"/>
  <c r="K96" i="35"/>
  <c r="L96" i="35"/>
  <c r="M96" i="35"/>
  <c r="N96" i="35"/>
  <c r="O96" i="35"/>
  <c r="P96" i="35"/>
  <c r="Q96" i="35"/>
  <c r="I97" i="35"/>
  <c r="J97" i="35"/>
  <c r="K97" i="35"/>
  <c r="L97" i="35"/>
  <c r="M97" i="35"/>
  <c r="N97" i="35"/>
  <c r="O97" i="35"/>
  <c r="P97" i="35"/>
  <c r="Q97" i="35"/>
  <c r="F102" i="35"/>
  <c r="G102" i="35"/>
  <c r="H102" i="35"/>
  <c r="I102" i="35"/>
  <c r="J102" i="35"/>
  <c r="K102" i="35"/>
  <c r="L102" i="35"/>
  <c r="M102" i="35"/>
  <c r="N102" i="35"/>
  <c r="O102" i="35"/>
  <c r="P102" i="35"/>
  <c r="Q102" i="35"/>
  <c r="B105" i="35"/>
  <c r="C105" i="35"/>
  <c r="G105" i="35"/>
  <c r="H105" i="35"/>
  <c r="I105" i="35"/>
  <c r="J105" i="35"/>
  <c r="K105" i="35"/>
  <c r="L105" i="35"/>
  <c r="M105" i="35"/>
  <c r="N105" i="35"/>
  <c r="O105" i="35"/>
  <c r="P105" i="35"/>
  <c r="Q105" i="35"/>
  <c r="G106" i="35"/>
  <c r="H106" i="35"/>
  <c r="I106" i="35"/>
  <c r="J106" i="35"/>
  <c r="K106" i="35"/>
  <c r="L106" i="35"/>
  <c r="M106" i="35"/>
  <c r="N106" i="35"/>
  <c r="O106" i="35"/>
  <c r="P106" i="35"/>
  <c r="Q106" i="35"/>
  <c r="G107" i="35"/>
  <c r="H107" i="35"/>
  <c r="I107" i="35"/>
  <c r="J107" i="35"/>
  <c r="K107" i="35"/>
  <c r="L107" i="35"/>
  <c r="M107" i="35"/>
  <c r="N107" i="35"/>
  <c r="O107" i="35"/>
  <c r="P107" i="35"/>
  <c r="Q107" i="35"/>
  <c r="G108" i="35"/>
  <c r="H108" i="35"/>
  <c r="I108" i="35"/>
  <c r="J108" i="35"/>
  <c r="K108" i="35"/>
  <c r="L108" i="35"/>
  <c r="M108" i="35"/>
  <c r="N108" i="35"/>
  <c r="O108" i="35"/>
  <c r="P108" i="35"/>
  <c r="Q108" i="35"/>
  <c r="G111" i="35"/>
  <c r="H111" i="35"/>
  <c r="I111" i="35"/>
  <c r="J111" i="35"/>
  <c r="K111" i="35"/>
  <c r="L111" i="35"/>
  <c r="M111" i="35"/>
  <c r="N111" i="35"/>
  <c r="O111" i="35"/>
  <c r="P111" i="35"/>
  <c r="Q111" i="35"/>
  <c r="G112" i="35"/>
  <c r="H112" i="35"/>
  <c r="I112" i="35"/>
  <c r="J112" i="35"/>
  <c r="K112" i="35"/>
  <c r="L112" i="35"/>
  <c r="M112" i="35"/>
  <c r="N112" i="35"/>
  <c r="O112" i="35"/>
  <c r="P112" i="35"/>
  <c r="Q112" i="35"/>
  <c r="G113" i="35"/>
  <c r="H113" i="35"/>
  <c r="I113" i="35"/>
  <c r="J113" i="35"/>
  <c r="K113" i="35"/>
  <c r="L113" i="35"/>
  <c r="M113" i="35"/>
  <c r="N113" i="35"/>
  <c r="O113" i="35"/>
  <c r="P113" i="35"/>
  <c r="Q113" i="35"/>
  <c r="A1" i="24"/>
  <c r="E1" i="24"/>
  <c r="F4" i="24"/>
  <c r="I8" i="24"/>
  <c r="D11" i="24"/>
  <c r="E21" i="24"/>
  <c r="D32" i="24"/>
  <c r="B37" i="24"/>
  <c r="D37" i="24"/>
  <c r="I37" i="24"/>
  <c r="B40" i="24"/>
  <c r="D40" i="24"/>
  <c r="I40" i="24"/>
  <c r="B43" i="24"/>
  <c r="D43" i="24"/>
  <c r="I43" i="24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37"/>
  <c r="C5" i="37"/>
  <c r="D5" i="37"/>
  <c r="J5" i="37"/>
  <c r="F6" i="37"/>
  <c r="G6" i="37"/>
  <c r="H6" i="37"/>
  <c r="J6" i="37"/>
  <c r="C7" i="37"/>
  <c r="F7" i="37"/>
  <c r="G7" i="37"/>
  <c r="H7" i="37"/>
  <c r="J7" i="37"/>
  <c r="B8" i="37"/>
  <c r="C8" i="37"/>
  <c r="C9" i="37"/>
  <c r="G9" i="37"/>
  <c r="D12" i="37"/>
  <c r="E12" i="37"/>
  <c r="F12" i="37"/>
  <c r="G12" i="37"/>
  <c r="H12" i="37"/>
  <c r="I12" i="37"/>
  <c r="J12" i="37"/>
  <c r="K12" i="37"/>
  <c r="L12" i="37"/>
  <c r="M12" i="37"/>
  <c r="N12" i="37"/>
  <c r="B13" i="37"/>
  <c r="D14" i="37"/>
  <c r="E14" i="37"/>
  <c r="F14" i="37"/>
  <c r="G14" i="37"/>
  <c r="H14" i="37"/>
  <c r="I14" i="37"/>
  <c r="J14" i="37"/>
  <c r="K14" i="37"/>
  <c r="L14" i="37"/>
  <c r="M14" i="37"/>
  <c r="N14" i="37"/>
  <c r="D15" i="37"/>
  <c r="E15" i="37"/>
  <c r="F15" i="37"/>
  <c r="G15" i="37"/>
  <c r="H15" i="37"/>
  <c r="I15" i="37"/>
  <c r="J15" i="37"/>
  <c r="K15" i="37"/>
  <c r="L15" i="37"/>
  <c r="M15" i="37"/>
  <c r="N15" i="37"/>
  <c r="D16" i="37"/>
  <c r="E16" i="37"/>
  <c r="F16" i="37"/>
  <c r="G16" i="37"/>
  <c r="H16" i="37"/>
  <c r="I16" i="37"/>
  <c r="J16" i="37"/>
  <c r="K16" i="37"/>
  <c r="L16" i="37"/>
  <c r="M16" i="37"/>
  <c r="N16" i="37"/>
  <c r="D17" i="37"/>
  <c r="E17" i="37"/>
  <c r="F17" i="37"/>
  <c r="G17" i="37"/>
  <c r="H17" i="37"/>
  <c r="I17" i="37"/>
  <c r="J17" i="37"/>
  <c r="K17" i="37"/>
  <c r="L17" i="37"/>
  <c r="M17" i="37"/>
  <c r="N17" i="37"/>
  <c r="B18" i="37"/>
  <c r="D18" i="37"/>
  <c r="E18" i="37"/>
  <c r="F18" i="37"/>
  <c r="G18" i="37"/>
  <c r="H18" i="37"/>
  <c r="I18" i="37"/>
  <c r="J18" i="37"/>
  <c r="K18" i="37"/>
  <c r="L18" i="37"/>
  <c r="M18" i="37"/>
  <c r="N18" i="37"/>
  <c r="D19" i="37"/>
  <c r="E19" i="37"/>
  <c r="F19" i="37"/>
  <c r="G19" i="37"/>
  <c r="H19" i="37"/>
  <c r="I19" i="37"/>
  <c r="J19" i="37"/>
  <c r="K19" i="37"/>
  <c r="L19" i="37"/>
  <c r="M19" i="37"/>
  <c r="N19" i="37"/>
  <c r="B20" i="37"/>
  <c r="D20" i="37"/>
  <c r="E20" i="37"/>
  <c r="F20" i="37"/>
  <c r="G20" i="37"/>
  <c r="H20" i="37"/>
  <c r="I20" i="37"/>
  <c r="J20" i="37"/>
  <c r="K20" i="37"/>
  <c r="L20" i="37"/>
  <c r="M20" i="37"/>
  <c r="N20" i="37"/>
  <c r="D21" i="37"/>
  <c r="E21" i="37"/>
  <c r="F21" i="37"/>
  <c r="G21" i="37"/>
  <c r="H21" i="37"/>
  <c r="I21" i="37"/>
  <c r="J21" i="37"/>
  <c r="K21" i="37"/>
  <c r="L21" i="37"/>
  <c r="M21" i="37"/>
  <c r="N21" i="37"/>
  <c r="D24" i="37"/>
  <c r="E24" i="37"/>
  <c r="F24" i="37"/>
  <c r="G24" i="37"/>
  <c r="H24" i="37"/>
  <c r="I24" i="37"/>
  <c r="J24" i="37"/>
  <c r="K24" i="37"/>
  <c r="L24" i="37"/>
  <c r="M24" i="37"/>
  <c r="N24" i="37"/>
  <c r="D25" i="37"/>
  <c r="E25" i="37"/>
  <c r="F25" i="37"/>
  <c r="G25" i="37"/>
  <c r="H25" i="37"/>
  <c r="I25" i="37"/>
  <c r="J25" i="37"/>
  <c r="K25" i="37"/>
  <c r="L25" i="37"/>
  <c r="M25" i="37"/>
  <c r="N25" i="37"/>
  <c r="D26" i="37"/>
  <c r="E26" i="37"/>
  <c r="F26" i="37"/>
  <c r="G26" i="37"/>
  <c r="H26" i="37"/>
  <c r="I26" i="37"/>
  <c r="J26" i="37"/>
  <c r="K26" i="37"/>
  <c r="L26" i="37"/>
  <c r="M26" i="37"/>
  <c r="N26" i="37"/>
  <c r="O26" i="37"/>
  <c r="D28" i="37"/>
  <c r="E28" i="37"/>
  <c r="F28" i="37"/>
  <c r="G28" i="37"/>
  <c r="H28" i="37"/>
  <c r="I28" i="37"/>
  <c r="J28" i="37"/>
  <c r="K28" i="37"/>
  <c r="L28" i="37"/>
  <c r="M28" i="37"/>
  <c r="N28" i="37"/>
  <c r="O28" i="37"/>
  <c r="D29" i="37"/>
  <c r="E29" i="37"/>
  <c r="F29" i="37"/>
  <c r="G29" i="37"/>
  <c r="H29" i="37"/>
  <c r="I29" i="37"/>
  <c r="J29" i="37"/>
  <c r="K29" i="37"/>
  <c r="L29" i="37"/>
  <c r="M29" i="37"/>
  <c r="N29" i="37"/>
  <c r="D30" i="37"/>
  <c r="E30" i="37"/>
  <c r="F30" i="37"/>
  <c r="G30" i="37"/>
  <c r="H30" i="37"/>
  <c r="I30" i="37"/>
  <c r="J30" i="37"/>
  <c r="K30" i="37"/>
  <c r="L30" i="37"/>
  <c r="M30" i="37"/>
  <c r="N30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O31" i="37"/>
  <c r="B32" i="37"/>
  <c r="C32" i="37"/>
  <c r="D32" i="37"/>
  <c r="E32" i="37"/>
  <c r="F32" i="37"/>
  <c r="G32" i="37"/>
  <c r="H32" i="37"/>
  <c r="I32" i="37"/>
  <c r="J32" i="37"/>
  <c r="K32" i="37"/>
  <c r="L32" i="37"/>
  <c r="M32" i="37"/>
  <c r="N32" i="37"/>
  <c r="O32" i="37"/>
  <c r="D38" i="37"/>
  <c r="E38" i="37"/>
  <c r="F38" i="37"/>
  <c r="G38" i="37"/>
  <c r="H38" i="37"/>
  <c r="I38" i="37"/>
  <c r="J38" i="37"/>
  <c r="K38" i="37"/>
  <c r="L38" i="37"/>
  <c r="M38" i="37"/>
  <c r="N38" i="37"/>
  <c r="D39" i="37"/>
  <c r="E39" i="37"/>
  <c r="F39" i="37"/>
  <c r="G39" i="37"/>
  <c r="H39" i="37"/>
  <c r="I39" i="37"/>
  <c r="J39" i="37"/>
  <c r="K39" i="37"/>
  <c r="L39" i="37"/>
  <c r="M39" i="37"/>
  <c r="N39" i="37"/>
  <c r="D40" i="37"/>
  <c r="E40" i="37"/>
  <c r="F40" i="37"/>
  <c r="G40" i="37"/>
  <c r="H40" i="37"/>
  <c r="I40" i="37"/>
  <c r="J40" i="37"/>
  <c r="K40" i="37"/>
  <c r="L40" i="37"/>
  <c r="M40" i="37"/>
  <c r="N40" i="37"/>
  <c r="D42" i="37"/>
  <c r="E42" i="37"/>
  <c r="F42" i="37"/>
  <c r="G42" i="37"/>
  <c r="H42" i="37"/>
  <c r="I42" i="37"/>
  <c r="J42" i="37"/>
  <c r="K42" i="37"/>
  <c r="L42" i="37"/>
  <c r="M42" i="37"/>
  <c r="N42" i="37"/>
  <c r="D43" i="37"/>
  <c r="E43" i="37"/>
  <c r="F43" i="37"/>
  <c r="G43" i="37"/>
  <c r="H43" i="37"/>
  <c r="I43" i="37"/>
  <c r="J43" i="37"/>
  <c r="K43" i="37"/>
  <c r="L43" i="37"/>
  <c r="M43" i="37"/>
  <c r="N43" i="37"/>
  <c r="D44" i="37"/>
  <c r="E44" i="37"/>
  <c r="F44" i="37"/>
  <c r="G44" i="37"/>
  <c r="H44" i="37"/>
  <c r="I44" i="37"/>
  <c r="J44" i="37"/>
  <c r="K44" i="37"/>
  <c r="L44" i="37"/>
  <c r="M44" i="37"/>
  <c r="N44" i="37"/>
  <c r="D45" i="37"/>
  <c r="E45" i="37"/>
  <c r="F45" i="37"/>
  <c r="G45" i="37"/>
  <c r="H45" i="37"/>
  <c r="I45" i="37"/>
  <c r="J45" i="37"/>
  <c r="K45" i="37"/>
  <c r="L45" i="37"/>
  <c r="M45" i="37"/>
  <c r="N45" i="37"/>
  <c r="D46" i="37"/>
  <c r="E46" i="37"/>
  <c r="F46" i="37"/>
  <c r="G46" i="37"/>
  <c r="H46" i="37"/>
  <c r="I46" i="37"/>
  <c r="J46" i="37"/>
  <c r="K46" i="37"/>
  <c r="L46" i="37"/>
  <c r="M46" i="37"/>
  <c r="N46" i="37"/>
  <c r="D51" i="37"/>
  <c r="E51" i="37"/>
  <c r="F51" i="37"/>
  <c r="G51" i="37"/>
  <c r="H51" i="37"/>
  <c r="I51" i="37"/>
  <c r="J51" i="37"/>
  <c r="K51" i="37"/>
  <c r="L51" i="37"/>
  <c r="M51" i="37"/>
  <c r="N51" i="37"/>
  <c r="D52" i="37"/>
  <c r="E52" i="37"/>
  <c r="F52" i="37"/>
  <c r="G52" i="37"/>
  <c r="H52" i="37"/>
  <c r="I52" i="37"/>
  <c r="J52" i="37"/>
  <c r="K52" i="37"/>
  <c r="L52" i="37"/>
  <c r="M52" i="37"/>
  <c r="N52" i="37"/>
  <c r="E59" i="37"/>
  <c r="F59" i="37"/>
  <c r="G59" i="37"/>
  <c r="D60" i="37"/>
  <c r="E60" i="37"/>
  <c r="F60" i="37"/>
  <c r="G60" i="37"/>
  <c r="D62" i="37"/>
  <c r="D63" i="37"/>
  <c r="D64" i="37"/>
  <c r="D66" i="37"/>
  <c r="D67" i="37"/>
  <c r="D68" i="37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9"/>
  <c r="E3" i="9"/>
  <c r="E4" i="9"/>
  <c r="F6" i="9"/>
  <c r="G6" i="9"/>
  <c r="H6" i="9"/>
  <c r="I6" i="9"/>
  <c r="J6" i="9"/>
  <c r="K6" i="9"/>
  <c r="L6" i="9"/>
  <c r="M6" i="9"/>
  <c r="N6" i="9"/>
  <c r="O6" i="9"/>
  <c r="P6" i="9"/>
  <c r="Q6" i="9"/>
  <c r="A8" i="9"/>
  <c r="B8" i="9"/>
  <c r="F8" i="9"/>
  <c r="G8" i="9"/>
  <c r="H8" i="9"/>
  <c r="I8" i="9"/>
  <c r="J8" i="9"/>
  <c r="K8" i="9"/>
  <c r="L8" i="9"/>
  <c r="M8" i="9"/>
  <c r="N8" i="9"/>
  <c r="O8" i="9"/>
  <c r="P8" i="9"/>
  <c r="Q8" i="9"/>
  <c r="A9" i="9"/>
  <c r="B9" i="9"/>
  <c r="F9" i="9"/>
  <c r="G9" i="9"/>
  <c r="H9" i="9"/>
  <c r="I9" i="9"/>
  <c r="J9" i="9"/>
  <c r="K9" i="9"/>
  <c r="L9" i="9"/>
  <c r="M9" i="9"/>
  <c r="N9" i="9"/>
  <c r="O9" i="9"/>
  <c r="P9" i="9"/>
  <c r="Q9" i="9"/>
  <c r="A10" i="9"/>
  <c r="B10" i="9"/>
  <c r="F10" i="9"/>
  <c r="G10" i="9"/>
  <c r="H10" i="9"/>
  <c r="I10" i="9"/>
  <c r="J10" i="9"/>
  <c r="K10" i="9"/>
  <c r="L10" i="9"/>
  <c r="M10" i="9"/>
  <c r="N10" i="9"/>
  <c r="O10" i="9"/>
  <c r="P10" i="9"/>
  <c r="Q10" i="9"/>
  <c r="F11" i="9"/>
  <c r="G11" i="9"/>
  <c r="H11" i="9"/>
  <c r="I11" i="9"/>
  <c r="J11" i="9"/>
  <c r="K11" i="9"/>
  <c r="L11" i="9"/>
  <c r="M11" i="9"/>
  <c r="N11" i="9"/>
  <c r="O11" i="9"/>
  <c r="P11" i="9"/>
  <c r="Q11" i="9"/>
  <c r="A14" i="9"/>
  <c r="B14" i="9"/>
  <c r="F14" i="9"/>
  <c r="G14" i="9"/>
  <c r="H14" i="9"/>
  <c r="I14" i="9"/>
  <c r="J14" i="9"/>
  <c r="K14" i="9"/>
  <c r="L14" i="9"/>
  <c r="M14" i="9"/>
  <c r="N14" i="9"/>
  <c r="O14" i="9"/>
  <c r="P14" i="9"/>
  <c r="Q14" i="9"/>
  <c r="A15" i="9"/>
  <c r="B15" i="9"/>
  <c r="F15" i="9"/>
  <c r="G15" i="9"/>
  <c r="H15" i="9"/>
  <c r="I15" i="9"/>
  <c r="J15" i="9"/>
  <c r="K15" i="9"/>
  <c r="L15" i="9"/>
  <c r="M15" i="9"/>
  <c r="N15" i="9"/>
  <c r="O15" i="9"/>
  <c r="P15" i="9"/>
  <c r="Q15" i="9"/>
  <c r="A16" i="9"/>
  <c r="B16" i="9"/>
  <c r="F16" i="9"/>
  <c r="G16" i="9"/>
  <c r="H16" i="9"/>
  <c r="I16" i="9"/>
  <c r="J16" i="9"/>
  <c r="K16" i="9"/>
  <c r="L16" i="9"/>
  <c r="M16" i="9"/>
  <c r="N16" i="9"/>
  <c r="O16" i="9"/>
  <c r="P16" i="9"/>
  <c r="Q16" i="9"/>
  <c r="A17" i="9"/>
  <c r="F17" i="9"/>
  <c r="G17" i="9"/>
  <c r="H17" i="9"/>
  <c r="I17" i="9"/>
  <c r="J17" i="9"/>
  <c r="K17" i="9"/>
  <c r="L17" i="9"/>
  <c r="M17" i="9"/>
  <c r="N17" i="9"/>
  <c r="O17" i="9"/>
  <c r="P17" i="9"/>
  <c r="Q17" i="9"/>
  <c r="F19" i="9"/>
  <c r="G19" i="9"/>
  <c r="H19" i="9"/>
  <c r="I19" i="9"/>
  <c r="J19" i="9"/>
  <c r="K19" i="9"/>
  <c r="L19" i="9"/>
  <c r="M19" i="9"/>
  <c r="N19" i="9"/>
  <c r="O19" i="9"/>
  <c r="P19" i="9"/>
  <c r="Q19" i="9"/>
  <c r="F20" i="9"/>
  <c r="G20" i="9"/>
  <c r="H20" i="9"/>
  <c r="I20" i="9"/>
  <c r="J20" i="9"/>
  <c r="K20" i="9"/>
  <c r="L20" i="9"/>
  <c r="M20" i="9"/>
  <c r="N20" i="9"/>
  <c r="O20" i="9"/>
  <c r="P20" i="9"/>
  <c r="Q20" i="9"/>
  <c r="F22" i="9"/>
  <c r="G22" i="9"/>
  <c r="H22" i="9"/>
  <c r="I22" i="9"/>
  <c r="J22" i="9"/>
  <c r="K22" i="9"/>
  <c r="L22" i="9"/>
  <c r="M22" i="9"/>
  <c r="N22" i="9"/>
  <c r="O22" i="9"/>
  <c r="P22" i="9"/>
  <c r="Q22" i="9"/>
  <c r="G23" i="9"/>
  <c r="H23" i="9"/>
  <c r="I23" i="9"/>
  <c r="J23" i="9"/>
  <c r="K23" i="9"/>
  <c r="L23" i="9"/>
  <c r="M23" i="9"/>
  <c r="N23" i="9"/>
  <c r="O23" i="9"/>
  <c r="P23" i="9"/>
  <c r="Q23" i="9"/>
  <c r="F24" i="9"/>
  <c r="G24" i="9"/>
  <c r="H24" i="9"/>
  <c r="I24" i="9"/>
  <c r="J24" i="9"/>
  <c r="K24" i="9"/>
  <c r="L24" i="9"/>
  <c r="M24" i="9"/>
  <c r="N24" i="9"/>
  <c r="O24" i="9"/>
  <c r="P24" i="9"/>
  <c r="Q24" i="9"/>
  <c r="F26" i="9"/>
  <c r="G26" i="9"/>
  <c r="H26" i="9"/>
  <c r="I26" i="9"/>
  <c r="J26" i="9"/>
  <c r="K26" i="9"/>
  <c r="L26" i="9"/>
  <c r="M26" i="9"/>
  <c r="N26" i="9"/>
  <c r="O26" i="9"/>
  <c r="P26" i="9"/>
  <c r="Q26" i="9"/>
  <c r="F27" i="9"/>
  <c r="G27" i="9"/>
  <c r="H27" i="9"/>
  <c r="I27" i="9"/>
  <c r="J27" i="9"/>
  <c r="K27" i="9"/>
  <c r="L27" i="9"/>
  <c r="M27" i="9"/>
  <c r="N27" i="9"/>
  <c r="O27" i="9"/>
  <c r="P27" i="9"/>
  <c r="Q27" i="9"/>
  <c r="B28" i="9"/>
  <c r="F28" i="9"/>
  <c r="G28" i="9"/>
  <c r="H28" i="9"/>
  <c r="I28" i="9"/>
  <c r="J28" i="9"/>
  <c r="K28" i="9"/>
  <c r="L28" i="9"/>
  <c r="M28" i="9"/>
  <c r="N28" i="9"/>
  <c r="O28" i="9"/>
  <c r="P28" i="9"/>
  <c r="Q28" i="9"/>
  <c r="F30" i="9"/>
  <c r="G30" i="9"/>
  <c r="H30" i="9"/>
  <c r="I30" i="9"/>
  <c r="J30" i="9"/>
  <c r="K30" i="9"/>
  <c r="L30" i="9"/>
  <c r="M30" i="9"/>
  <c r="N30" i="9"/>
  <c r="O30" i="9"/>
  <c r="P30" i="9"/>
  <c r="Q30" i="9"/>
  <c r="F32" i="9"/>
  <c r="G32" i="9"/>
  <c r="H32" i="9"/>
  <c r="I32" i="9"/>
  <c r="J32" i="9"/>
  <c r="K32" i="9"/>
  <c r="L32" i="9"/>
  <c r="M32" i="9"/>
  <c r="N32" i="9"/>
  <c r="O32" i="9"/>
  <c r="P32" i="9"/>
  <c r="Q32" i="9"/>
  <c r="F34" i="9"/>
  <c r="G34" i="9"/>
  <c r="H34" i="9"/>
  <c r="I34" i="9"/>
  <c r="J34" i="9"/>
  <c r="K34" i="9"/>
  <c r="L34" i="9"/>
  <c r="M34" i="9"/>
  <c r="N34" i="9"/>
  <c r="O34" i="9"/>
  <c r="P34" i="9"/>
  <c r="Q34" i="9"/>
  <c r="A35" i="9"/>
  <c r="B35" i="9"/>
  <c r="F35" i="9"/>
  <c r="G35" i="9"/>
  <c r="H35" i="9"/>
  <c r="I35" i="9"/>
  <c r="J35" i="9"/>
  <c r="K35" i="9"/>
  <c r="L35" i="9"/>
  <c r="M35" i="9"/>
  <c r="N35" i="9"/>
  <c r="O35" i="9"/>
  <c r="P35" i="9"/>
  <c r="Q35" i="9"/>
  <c r="A36" i="9"/>
  <c r="B36" i="9"/>
  <c r="F36" i="9"/>
  <c r="G36" i="9"/>
  <c r="H36" i="9"/>
  <c r="I36" i="9"/>
  <c r="J36" i="9"/>
  <c r="K36" i="9"/>
  <c r="L36" i="9"/>
  <c r="M36" i="9"/>
  <c r="N36" i="9"/>
  <c r="O36" i="9"/>
  <c r="P36" i="9"/>
  <c r="Q36" i="9"/>
  <c r="A37" i="9"/>
  <c r="B37" i="9"/>
  <c r="F37" i="9"/>
  <c r="G37" i="9"/>
  <c r="H37" i="9"/>
  <c r="I37" i="9"/>
  <c r="J37" i="9"/>
  <c r="K37" i="9"/>
  <c r="L37" i="9"/>
  <c r="M37" i="9"/>
  <c r="N37" i="9"/>
  <c r="O37" i="9"/>
  <c r="P37" i="9"/>
  <c r="Q37" i="9"/>
  <c r="R38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B41" i="9"/>
  <c r="D41" i="9"/>
  <c r="G41" i="9"/>
  <c r="H41" i="9"/>
  <c r="I41" i="9"/>
  <c r="J41" i="9"/>
  <c r="K41" i="9"/>
  <c r="L41" i="9"/>
  <c r="M41" i="9"/>
  <c r="N41" i="9"/>
  <c r="O41" i="9"/>
  <c r="P41" i="9"/>
  <c r="Q41" i="9"/>
  <c r="G42" i="9"/>
  <c r="H42" i="9"/>
  <c r="I42" i="9"/>
  <c r="J42" i="9"/>
  <c r="K42" i="9"/>
  <c r="L42" i="9"/>
  <c r="M42" i="9"/>
  <c r="N42" i="9"/>
  <c r="O42" i="9"/>
  <c r="P42" i="9"/>
  <c r="Q42" i="9"/>
  <c r="G43" i="9"/>
  <c r="H43" i="9"/>
  <c r="I43" i="9"/>
  <c r="J43" i="9"/>
  <c r="K43" i="9"/>
  <c r="L43" i="9"/>
  <c r="M43" i="9"/>
  <c r="N43" i="9"/>
  <c r="O43" i="9"/>
  <c r="P43" i="9"/>
  <c r="Q43" i="9"/>
  <c r="G44" i="9"/>
  <c r="H44" i="9"/>
  <c r="I44" i="9"/>
  <c r="J44" i="9"/>
  <c r="K44" i="9"/>
  <c r="L44" i="9"/>
  <c r="M44" i="9"/>
  <c r="N44" i="9"/>
  <c r="O44" i="9"/>
  <c r="P44" i="9"/>
  <c r="Q44" i="9"/>
  <c r="G47" i="9"/>
  <c r="H47" i="9"/>
  <c r="I47" i="9"/>
  <c r="J47" i="9"/>
  <c r="K47" i="9"/>
  <c r="L47" i="9"/>
  <c r="M47" i="9"/>
  <c r="N47" i="9"/>
  <c r="O47" i="9"/>
  <c r="P47" i="9"/>
  <c r="Q47" i="9"/>
  <c r="G48" i="9"/>
  <c r="H48" i="9"/>
  <c r="I48" i="9"/>
  <c r="J48" i="9"/>
  <c r="K48" i="9"/>
  <c r="L48" i="9"/>
  <c r="M48" i="9"/>
  <c r="N48" i="9"/>
  <c r="O48" i="9"/>
  <c r="P48" i="9"/>
  <c r="Q48" i="9"/>
  <c r="G49" i="9"/>
  <c r="H49" i="9"/>
  <c r="I49" i="9"/>
  <c r="J49" i="9"/>
  <c r="K49" i="9"/>
  <c r="L49" i="9"/>
  <c r="M49" i="9"/>
  <c r="N49" i="9"/>
  <c r="O49" i="9"/>
  <c r="P49" i="9"/>
  <c r="Q49" i="9"/>
  <c r="K52" i="9"/>
  <c r="M53" i="9"/>
  <c r="N53" i="9"/>
  <c r="O53" i="9"/>
  <c r="I55" i="9"/>
  <c r="K55" i="9"/>
  <c r="L55" i="9"/>
  <c r="M55" i="9"/>
  <c r="N55" i="9"/>
  <c r="O55" i="9"/>
  <c r="J56" i="9"/>
  <c r="K58" i="9"/>
</calcChain>
</file>

<file path=xl/comments1.xml><?xml version="1.0" encoding="utf-8"?>
<comments xmlns="http://schemas.openxmlformats.org/spreadsheetml/2006/main">
  <authors>
    <author>ET&amp;S</author>
    <author>MLR</author>
  </authors>
  <commentList>
    <comment ref="D41" authorId="0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K52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2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MLR</author>
  </authors>
  <commentList>
    <comment ref="A14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8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28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1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2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4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101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102" authorId="0" shapeId="0">
      <text>
        <r>
          <rPr>
            <b/>
            <sz val="8"/>
            <color indexed="81"/>
            <rFont val="Tahoma"/>
          </rPr>
          <t>MLR: This is just this assets percent of total for Property, Equipment &amp; Improvements Net from Balance Sheet page.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MLR</author>
  </authors>
  <commentList>
    <comment ref="A14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18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28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1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2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4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105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106" authorId="0" shapeId="0">
      <text>
        <r>
          <rPr>
            <b/>
            <sz val="8"/>
            <color indexed="81"/>
            <rFont val="Tahoma"/>
          </rPr>
          <t>MLR: This is just this assets percent of total for Property, Equipment &amp; Improvements Net from Balance Sheet page.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<sst xmlns="http://schemas.openxmlformats.org/spreadsheetml/2006/main" count="478" uniqueCount="264">
  <si>
    <t>TOTAL</t>
  </si>
  <si>
    <t>EBITDA</t>
  </si>
  <si>
    <t>EBIT</t>
  </si>
  <si>
    <t>Current Taxes</t>
  </si>
  <si>
    <t>Deferred Taxes</t>
  </si>
  <si>
    <t>ASSETS</t>
  </si>
  <si>
    <t>OPER. EXPENSES</t>
  </si>
  <si>
    <t>DD&amp;A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</si>
  <si>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</si>
  <si>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</si>
  <si>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</si>
  <si>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</si>
  <si>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</si>
  <si>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</si>
  <si>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</si>
  <si>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Cash Flow From Operations</t>
  </si>
  <si>
    <t>NET INCOME</t>
  </si>
  <si>
    <t>CASH FLOW</t>
  </si>
  <si>
    <t>Revenues</t>
  </si>
  <si>
    <t>Expenses</t>
  </si>
  <si>
    <t>Other Income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</si>
  <si>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</si>
  <si>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</si>
  <si>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</si>
  <si>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</si>
  <si>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</si>
  <si>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</si>
  <si>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</si>
  <si>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</si>
  <si>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</si>
  <si>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</si>
  <si>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</si>
  <si>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</si>
  <si>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</si>
  <si>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</si>
  <si>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</si>
  <si>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</si>
  <si>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</si>
  <si>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Return on Equity Invested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</si>
  <si>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</si>
  <si>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</si>
  <si>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</si>
  <si>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</si>
  <si>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</si>
  <si>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</si>
  <si>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Discretionary Adjustment Factor</t>
  </si>
  <si>
    <r>
      <t>C</t>
    </r>
    <r>
      <rPr>
        <sz val="10"/>
        <rFont val="Arial"/>
      </rPr>
      <t>ash</t>
    </r>
    <r>
      <rPr>
        <b/>
        <sz val="10"/>
        <rFont val="Arial"/>
        <family val="2"/>
      </rPr>
      <t xml:space="preserve"> F</t>
    </r>
    <r>
      <rPr>
        <sz val="10"/>
        <rFont val="Arial"/>
      </rPr>
      <t xml:space="preserve">low </t>
    </r>
    <r>
      <rPr>
        <b/>
        <sz val="10"/>
        <rFont val="Arial"/>
        <family val="2"/>
      </rPr>
      <t>F</t>
    </r>
    <r>
      <rPr>
        <sz val="10"/>
        <rFont val="Arial"/>
      </rPr>
      <t xml:space="preserve">rom </t>
    </r>
    <r>
      <rPr>
        <b/>
        <sz val="10"/>
        <rFont val="Arial"/>
        <family val="2"/>
      </rPr>
      <t>O</t>
    </r>
    <r>
      <rPr>
        <sz val="10"/>
        <rFont val="Arial"/>
      </rPr>
      <t>perations</t>
    </r>
  </si>
  <si>
    <t>Choose Case</t>
  </si>
  <si>
    <t>Name of project:</t>
  </si>
  <si>
    <t>Revenue Scenario</t>
  </si>
  <si>
    <t>Expense Scenario</t>
  </si>
  <si>
    <t>Year of Acquisition</t>
  </si>
  <si>
    <t>EXPENSE PROJECTIONS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</si>
  <si>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</si>
  <si>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</si>
  <si>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</si>
  <si>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</si>
  <si>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</si>
  <si>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</si>
  <si>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</si>
  <si>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</si>
  <si>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</si>
  <si>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</si>
  <si>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</si>
  <si>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</si>
  <si>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REVENUES</t>
  </si>
  <si>
    <t>Partner(s):</t>
  </si>
  <si>
    <t>Potential Owner</t>
  </si>
  <si>
    <t>Enron Owner</t>
  </si>
  <si>
    <t>% Chng Factor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</si>
  <si>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</si>
  <si>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</si>
  <si>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</si>
  <si>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</si>
  <si>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</si>
  <si>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</si>
  <si>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</si>
  <si>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</si>
  <si>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</si>
  <si>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</si>
  <si>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</si>
  <si>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</si>
  <si>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</si>
  <si>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</si>
  <si>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</si>
  <si>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</si>
  <si>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</si>
  <si>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</si>
  <si>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</si>
  <si>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</si>
  <si>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DEPRECIATION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</si>
  <si>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</si>
  <si>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</si>
  <si>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</si>
  <si>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</si>
  <si>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</si>
  <si>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</si>
  <si>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</si>
  <si>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Swap Income</t>
  </si>
  <si>
    <t>Other</t>
  </si>
  <si>
    <t>Cost of Sale</t>
  </si>
  <si>
    <t>Feedstock - Normal Butane</t>
  </si>
  <si>
    <t>Feedstock - Natural Gas</t>
  </si>
  <si>
    <t>Inventory Change</t>
  </si>
  <si>
    <t>Methanol Barge</t>
  </si>
  <si>
    <t>Lubrizol Return &amp; Other</t>
  </si>
  <si>
    <t>Payroll, Benefits, Taxes</t>
  </si>
  <si>
    <t>Employee Expense</t>
  </si>
  <si>
    <t>Co Equipment Use</t>
  </si>
  <si>
    <t>Catalyst - Consumable</t>
  </si>
  <si>
    <t>Nitrogen</t>
  </si>
  <si>
    <t>UOP Butamer Royalty</t>
  </si>
  <si>
    <t>Controllable Expenses</t>
  </si>
  <si>
    <t>Non-Controllable Expenses</t>
  </si>
  <si>
    <t>Lease Expense</t>
  </si>
  <si>
    <t>Amortization - TA/Catalyst</t>
  </si>
  <si>
    <t>Depreciation</t>
  </si>
  <si>
    <t>Ad Valorem &amp; Fanchise Tax</t>
  </si>
  <si>
    <t>Other Expense</t>
  </si>
  <si>
    <t>Feedstock - Oxygen</t>
  </si>
  <si>
    <t>Swap Loss - Feedstock</t>
  </si>
  <si>
    <t>Treated Water</t>
  </si>
  <si>
    <t>Boiler Feed Water</t>
  </si>
  <si>
    <t>Steam - Imports</t>
  </si>
  <si>
    <t>Steam - Exports</t>
  </si>
  <si>
    <t>Terminal Fee</t>
  </si>
  <si>
    <t>Other Product</t>
  </si>
  <si>
    <t>Storage &amp; Transport</t>
  </si>
  <si>
    <t>Swap Activity</t>
  </si>
  <si>
    <t>Disposal Fee</t>
  </si>
  <si>
    <t>Amort - PSM/Mech Integ/Well wo</t>
  </si>
  <si>
    <t>Adjust to Flash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</si>
  <si>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</si>
  <si>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</si>
  <si>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</si>
  <si>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</si>
  <si>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</si>
  <si>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</si>
  <si>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</si>
  <si>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</si>
  <si>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</si>
  <si>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</si>
  <si>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</si>
  <si>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</si>
  <si>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</si>
  <si>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</si>
  <si>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</si>
  <si>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</si>
  <si>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</si>
  <si>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</si>
  <si>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</si>
  <si>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</si>
  <si>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</si>
  <si>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</si>
  <si>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</si>
  <si>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</si>
  <si>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</si>
  <si>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</si>
  <si>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</si>
  <si>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</si>
  <si>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>Gas Sales</t>
  </si>
  <si>
    <t>Product</t>
  </si>
  <si>
    <t xml:space="preserve"> Growth Capital</t>
  </si>
  <si>
    <t xml:space="preserve"> Maintenance Capital</t>
  </si>
  <si>
    <t xml:space="preserve"> Maintence Capital</t>
  </si>
  <si>
    <t>FINANCED WITH EQUITY @</t>
  </si>
  <si>
    <t xml:space="preserve">   Less Tax</t>
  </si>
  <si>
    <t>Enron Equity Cash Flow</t>
  </si>
  <si>
    <t>IRR=</t>
  </si>
  <si>
    <t>Capital Structure Balancing</t>
  </si>
  <si>
    <t>Pre-Current Debt</t>
  </si>
  <si>
    <t>Pre-Current Equity</t>
  </si>
  <si>
    <t>Pre-Total</t>
  </si>
  <si>
    <t>Beg. Year Debt</t>
  </si>
  <si>
    <t>End Year Debt</t>
  </si>
  <si>
    <t>End Year Equity</t>
  </si>
  <si>
    <t>EBIT/Interest</t>
  </si>
  <si>
    <t>EBITDA/Debt Services</t>
  </si>
  <si>
    <t>System Check : % Debt Financed</t>
  </si>
  <si>
    <t>Financial Leverage Rate</t>
  </si>
  <si>
    <t>Primium</t>
  </si>
  <si>
    <t>Equity NPV Value</t>
  </si>
  <si>
    <t>Potential Buyer</t>
  </si>
  <si>
    <t>ETS</t>
  </si>
  <si>
    <t>Template  Asset</t>
  </si>
  <si>
    <t>1. Base Case</t>
  </si>
  <si>
    <t>2. Optimistic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</si>
  <si>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</si>
  <si>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</si>
  <si>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</si>
  <si>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</si>
  <si>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</si>
  <si>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</si>
  <si>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</si>
  <si>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</si>
  <si>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</si>
  <si>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Levered Cash Flow Analysis - Consolidated</t>
  </si>
  <si>
    <t xml:space="preserve">  Unlevered Cash Flow Analysis -Consolidated</t>
  </si>
  <si>
    <t xml:space="preserve">  Asset 1- Cash Flow Analysis</t>
  </si>
  <si>
    <t xml:space="preserve">  Asset 3- Cash Flow Analysis</t>
  </si>
  <si>
    <t xml:space="preserve">  Asset 2-Cash Flow Analysis</t>
  </si>
  <si>
    <t>Sensitivity Analysis on the Financial Leverage Rate</t>
  </si>
  <si>
    <t>Leverage</t>
  </si>
  <si>
    <t>Equity NPV discounted @</t>
  </si>
  <si>
    <t>Keep Flat</t>
  </si>
  <si>
    <t>Grow the annal Revenues at 10%</t>
  </si>
  <si>
    <t>Grow the Revenue at lower rate e.g. 2%</t>
  </si>
  <si>
    <t>Revenue Scenario Assumption- Scenario Discription</t>
  </si>
  <si>
    <t>Expense Scenario  Assumption - Scenario Discription</t>
  </si>
  <si>
    <t>Asset 1</t>
  </si>
  <si>
    <t>Asset 2</t>
  </si>
  <si>
    <t>Asset 3</t>
  </si>
  <si>
    <t>Warning Flag:</t>
  </si>
  <si>
    <t>Warnning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</si>
  <si>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</si>
  <si>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</si>
  <si>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</si>
  <si>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</si>
  <si>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</si>
  <si>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</si>
  <si>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</si>
  <si>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</si>
  <si>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</si>
  <si>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</si>
  <si>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</si>
  <si>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</si>
  <si>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</si>
  <si>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</si>
  <si>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</si>
  <si>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</si>
  <si>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</si>
  <si>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</si>
  <si>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</si>
  <si>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Beg. Year Equity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</si>
  <si>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</si>
  <si>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</si>
  <si>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</si>
  <si>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</si>
  <si>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</si>
  <si>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</si>
  <si>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</si>
  <si>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</si>
  <si>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</si>
  <si>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</si>
  <si>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</si>
  <si>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</si>
  <si>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</si>
  <si>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</si>
  <si>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</si>
  <si>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</si>
  <si>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</si>
  <si>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</si>
  <si>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</si>
  <si>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</si>
  <si>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</si>
  <si>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Grow the annal expenses at ?%</t>
  </si>
  <si>
    <t>UPDATED by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</si>
  <si>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</si>
  <si>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</si>
  <si>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</si>
  <si>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</si>
  <si>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PG&amp;E Gas Transmission</t>
  </si>
  <si>
    <t>Utility Operating Expenses</t>
  </si>
  <si>
    <t>Warning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</si>
</sst>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0" formatCode="_(* #,##0.000_);_(* \(#,##0.000\);_(* &quot;-&quot;??_);_(@_)"/>
    <numFmt numFmtId="171" formatCode="_(* #,##0.0000_);_(* \(#,##0.0000\);_(* &quot;-&quot;??_);_(@_)"/>
  </numFmts>
  <fonts count="2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i/>
      <u val="singleAccounting"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i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3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1" fillId="0" borderId="0" xfId="1" applyNumberFormat="1" applyFont="1" applyAlignment="1">
      <alignment horizontal="right"/>
    </xf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0" fillId="2" borderId="0" xfId="0" applyNumberFormat="1" applyFill="1"/>
    <xf numFmtId="165" fontId="3" fillId="0" borderId="0" xfId="1" applyNumberFormat="1" applyFont="1" applyFill="1"/>
    <xf numFmtId="165" fontId="13" fillId="0" borderId="0" xfId="1" applyNumberFormat="1" applyFont="1" applyFill="1"/>
    <xf numFmtId="165" fontId="7" fillId="0" borderId="0" xfId="1" applyNumberFormat="1" applyFont="1" applyFill="1"/>
    <xf numFmtId="165" fontId="1" fillId="2" borderId="0" xfId="1" applyNumberFormat="1" applyFill="1" applyBorder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" fontId="2" fillId="2" borderId="0" xfId="0" applyNumberFormat="1" applyFont="1" applyFill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2" fillId="0" borderId="2" xfId="0" applyFont="1" applyBorder="1" applyAlignment="1">
      <alignment horizontal="center"/>
    </xf>
    <xf numFmtId="167" fontId="0" fillId="0" borderId="0" xfId="2" applyNumberFormat="1" applyFont="1" applyFill="1"/>
    <xf numFmtId="0" fontId="2" fillId="0" borderId="0" xfId="0" applyFont="1" applyAlignment="1">
      <alignment horizontal="right"/>
    </xf>
    <xf numFmtId="9" fontId="0" fillId="0" borderId="0" xfId="3" applyFont="1"/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6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0" xfId="0" applyNumberFormat="1"/>
    <xf numFmtId="0" fontId="16" fillId="0" borderId="0" xfId="0" applyFont="1"/>
    <xf numFmtId="0" fontId="0" fillId="0" borderId="4" xfId="0" applyBorder="1"/>
    <xf numFmtId="165" fontId="0" fillId="0" borderId="1" xfId="1" applyNumberFormat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165" fontId="1" fillId="0" borderId="1" xfId="1" applyNumberFormat="1" applyFill="1" applyBorder="1"/>
    <xf numFmtId="165" fontId="1" fillId="0" borderId="5" xfId="1" applyNumberFormat="1" applyFill="1" applyBorder="1"/>
    <xf numFmtId="0" fontId="0" fillId="0" borderId="0" xfId="0" applyFill="1" applyAlignment="1">
      <alignment horizontal="center"/>
    </xf>
    <xf numFmtId="165" fontId="1" fillId="2" borderId="1" xfId="1" applyNumberFormat="1" applyFill="1" applyBorder="1"/>
    <xf numFmtId="165" fontId="1" fillId="0" borderId="1" xfId="1" applyNumberFormat="1" applyBorder="1"/>
    <xf numFmtId="165" fontId="1" fillId="0" borderId="5" xfId="1" applyNumberFormat="1" applyBorder="1"/>
    <xf numFmtId="165" fontId="7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1" xfId="0" applyNumberFormat="1" applyFill="1" applyBorder="1"/>
    <xf numFmtId="165" fontId="0" fillId="0" borderId="5" xfId="0" applyNumberFormat="1" applyFill="1" applyBorder="1"/>
    <xf numFmtId="165" fontId="0" fillId="0" borderId="1" xfId="0" applyNumberFormat="1" applyBorder="1"/>
    <xf numFmtId="165" fontId="0" fillId="0" borderId="5" xfId="0" applyNumberFormat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4" xfId="1" applyNumberFormat="1" applyBorder="1"/>
    <xf numFmtId="171" fontId="1" fillId="0" borderId="1" xfId="1" applyNumberFormat="1" applyBorder="1"/>
    <xf numFmtId="171" fontId="1" fillId="0" borderId="5" xfId="1" applyNumberFormat="1" applyBorder="1"/>
    <xf numFmtId="165" fontId="0" fillId="0" borderId="5" xfId="1" applyNumberFormat="1" applyFont="1" applyFill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169" fontId="0" fillId="0" borderId="1" xfId="0" applyNumberFormat="1" applyBorder="1"/>
    <xf numFmtId="169" fontId="0" fillId="0" borderId="5" xfId="0" applyNumberFormat="1" applyBorder="1"/>
    <xf numFmtId="165" fontId="1" fillId="0" borderId="4" xfId="1" applyNumberFormat="1" applyFon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6" xfId="0" applyFill="1" applyBorder="1"/>
    <xf numFmtId="165" fontId="7" fillId="0" borderId="6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7" fillId="0" borderId="0" xfId="1" applyNumberFormat="1" applyFont="1" applyFill="1"/>
    <xf numFmtId="9" fontId="0" fillId="0" borderId="0" xfId="0" applyNumberFormat="1"/>
    <xf numFmtId="165" fontId="2" fillId="0" borderId="4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169" fontId="0" fillId="0" borderId="4" xfId="0" applyNumberFormat="1" applyBorder="1"/>
    <xf numFmtId="9" fontId="1" fillId="0" borderId="0" xfId="3"/>
    <xf numFmtId="0" fontId="0" fillId="0" borderId="0" xfId="0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3" fillId="0" borderId="4" xfId="0" applyFont="1" applyBorder="1"/>
    <xf numFmtId="1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 applyFill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165" fontId="0" fillId="2" borderId="1" xfId="0" applyNumberFormat="1" applyFill="1" applyBorder="1"/>
    <xf numFmtId="165" fontId="1" fillId="0" borderId="4" xfId="1" applyNumberFormat="1" applyFont="1" applyBorder="1" applyAlignment="1">
      <alignment horizontal="righ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164" fontId="8" fillId="2" borderId="0" xfId="1" applyNumberFormat="1" applyFont="1" applyFill="1" applyAlignment="1">
      <alignment horizontal="center"/>
    </xf>
    <xf numFmtId="0" fontId="0" fillId="0" borderId="0" xfId="0" applyBorder="1" applyAlignment="1">
      <alignment horizontal="left"/>
    </xf>
    <xf numFmtId="9" fontId="7" fillId="0" borderId="0" xfId="3" applyFont="1" applyFill="1" applyBorder="1"/>
    <xf numFmtId="166" fontId="0" fillId="3" borderId="0" xfId="3" applyNumberFormat="1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9" fontId="1" fillId="0" borderId="0" xfId="3" applyBorder="1" applyAlignment="1">
      <alignment horizontal="right"/>
    </xf>
    <xf numFmtId="165" fontId="1" fillId="2" borderId="0" xfId="1" applyNumberFormat="1" applyFill="1" applyAlignment="1">
      <alignment horizontal="right"/>
    </xf>
    <xf numFmtId="9" fontId="1" fillId="0" borderId="0" xfId="3" applyAlignment="1">
      <alignment horizontal="right"/>
    </xf>
    <xf numFmtId="165" fontId="1" fillId="0" borderId="0" xfId="1" applyNumberFormat="1" applyFill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165" fontId="1" fillId="0" borderId="0" xfId="1" applyNumberFormat="1" applyFill="1" applyAlignment="1">
      <alignment horizontal="right"/>
    </xf>
    <xf numFmtId="9" fontId="1" fillId="0" borderId="0" xfId="3" applyFill="1"/>
    <xf numFmtId="9" fontId="8" fillId="0" borderId="0" xfId="0" applyNumberFormat="1" applyFont="1" applyBorder="1"/>
    <xf numFmtId="9" fontId="8" fillId="0" borderId="0" xfId="3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0" fontId="3" fillId="0" borderId="0" xfId="0" applyFont="1" applyFill="1"/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0" fillId="0" borderId="4" xfId="1" applyNumberFormat="1" applyFont="1" applyBorder="1" applyAlignment="1">
      <alignment horizontal="left"/>
    </xf>
    <xf numFmtId="165" fontId="1" fillId="2" borderId="5" xfId="1" applyNumberFormat="1" applyFill="1" applyBorder="1"/>
    <xf numFmtId="165" fontId="0" fillId="0" borderId="10" xfId="1" applyNumberFormat="1" applyFont="1" applyBorder="1" applyAlignment="1">
      <alignment horizontal="right"/>
    </xf>
    <xf numFmtId="165" fontId="0" fillId="0" borderId="11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5" fontId="17" fillId="0" borderId="0" xfId="1" applyNumberFormat="1" applyFont="1" applyFill="1" applyBorder="1"/>
    <xf numFmtId="167" fontId="17" fillId="0" borderId="0" xfId="2" applyNumberFormat="1" applyFont="1" applyFill="1"/>
    <xf numFmtId="0" fontId="19" fillId="0" borderId="0" xfId="0" applyFont="1"/>
    <xf numFmtId="0" fontId="0" fillId="3" borderId="0" xfId="1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10" fontId="0" fillId="3" borderId="0" xfId="3" applyNumberFormat="1" applyFont="1" applyFill="1" applyAlignment="1">
      <alignment horizontal="center"/>
    </xf>
    <xf numFmtId="43" fontId="0" fillId="0" borderId="0" xfId="0" applyNumberFormat="1"/>
    <xf numFmtId="9" fontId="1" fillId="3" borderId="0" xfId="3" applyFill="1" applyBorder="1"/>
    <xf numFmtId="9" fontId="4" fillId="0" borderId="0" xfId="3" applyFont="1" applyAlignment="1">
      <alignment horizontal="right"/>
    </xf>
    <xf numFmtId="9" fontId="7" fillId="3" borderId="0" xfId="3" applyFont="1" applyFill="1"/>
    <xf numFmtId="9" fontId="4" fillId="0" borderId="0" xfId="3" applyFont="1" applyFill="1"/>
    <xf numFmtId="165" fontId="7" fillId="0" borderId="12" xfId="1" applyNumberFormat="1" applyFont="1" applyFill="1" applyBorder="1"/>
    <xf numFmtId="165" fontId="7" fillId="0" borderId="2" xfId="1" applyNumberFormat="1" applyFont="1" applyFill="1" applyBorder="1"/>
    <xf numFmtId="165" fontId="7" fillId="0" borderId="13" xfId="1" applyNumberFormat="1" applyFont="1" applyFill="1" applyBorder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14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166" fontId="7" fillId="0" borderId="0" xfId="0" applyNumberFormat="1" applyFont="1"/>
    <xf numFmtId="9" fontId="7" fillId="0" borderId="0" xfId="0" applyNumberFormat="1" applyFont="1"/>
    <xf numFmtId="0" fontId="20" fillId="2" borderId="0" xfId="0" applyFont="1" applyFill="1" applyAlignment="1">
      <alignment horizontal="center"/>
    </xf>
    <xf numFmtId="165" fontId="1" fillId="0" borderId="0" xfId="1" applyNumberFormat="1" applyBorder="1"/>
    <xf numFmtId="6" fontId="0" fillId="0" borderId="0" xfId="0" applyNumberFormat="1" applyBorder="1"/>
    <xf numFmtId="164" fontId="20" fillId="2" borderId="0" xfId="1" applyNumberFormat="1" applyFont="1" applyFill="1" applyAlignment="1">
      <alignment horizontal="center"/>
    </xf>
    <xf numFmtId="9" fontId="7" fillId="0" borderId="1" xfId="3" applyFont="1" applyBorder="1"/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1" xfId="0" applyFont="1" applyBorder="1"/>
    <xf numFmtId="9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1" xfId="0" applyFont="1" applyBorder="1"/>
    <xf numFmtId="10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7" fillId="0" borderId="0" xfId="0" applyFont="1" applyFill="1"/>
    <xf numFmtId="168" fontId="2" fillId="2" borderId="1" xfId="0" applyNumberFormat="1" applyFont="1" applyFill="1" applyBorder="1"/>
    <xf numFmtId="9" fontId="0" fillId="0" borderId="1" xfId="0" applyNumberFormat="1" applyFill="1" applyBorder="1"/>
    <xf numFmtId="10" fontId="2" fillId="0" borderId="0" xfId="0" applyNumberFormat="1" applyFont="1" applyFill="1"/>
    <xf numFmtId="9" fontId="0" fillId="0" borderId="0" xfId="0" applyNumberFormat="1" applyFill="1" applyBorder="1"/>
    <xf numFmtId="2" fontId="1" fillId="0" borderId="0" xfId="2" applyNumberFormat="1" applyAlignment="1">
      <alignment horizontal="right"/>
    </xf>
    <xf numFmtId="2" fontId="1" fillId="0" borderId="0" xfId="2" applyNumberFormat="1"/>
    <xf numFmtId="43" fontId="1" fillId="0" borderId="0" xfId="1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3" applyNumberFormat="1" applyFont="1" applyFill="1"/>
    <xf numFmtId="9" fontId="0" fillId="0" borderId="0" xfId="3" applyFont="1" applyFill="1"/>
    <xf numFmtId="2" fontId="0" fillId="0" borderId="0" xfId="0" applyNumberFormat="1" applyFill="1"/>
    <xf numFmtId="10" fontId="0" fillId="0" borderId="0" xfId="3" applyNumberFormat="1" applyFont="1" applyFill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12" fillId="0" borderId="18" xfId="0" applyFon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2" fillId="0" borderId="23" xfId="0" applyFont="1" applyBorder="1"/>
    <xf numFmtId="0" fontId="0" fillId="0" borderId="24" xfId="0" applyBorder="1"/>
    <xf numFmtId="166" fontId="0" fillId="0" borderId="25" xfId="3" applyNumberFormat="1" applyFont="1" applyFill="1" applyBorder="1"/>
    <xf numFmtId="166" fontId="0" fillId="0" borderId="2" xfId="3" applyNumberFormat="1" applyFont="1" applyFill="1" applyBorder="1"/>
    <xf numFmtId="166" fontId="0" fillId="0" borderId="26" xfId="3" applyNumberFormat="1" applyFont="1" applyFill="1" applyBorder="1"/>
    <xf numFmtId="165" fontId="0" fillId="4" borderId="20" xfId="0" applyNumberFormat="1" applyFill="1" applyBorder="1"/>
    <xf numFmtId="165" fontId="0" fillId="4" borderId="21" xfId="0" applyNumberFormat="1" applyFill="1" applyBorder="1"/>
    <xf numFmtId="165" fontId="0" fillId="4" borderId="22" xfId="0" applyNumberFormat="1" applyFill="1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8" xfId="0" applyBorder="1" applyAlignment="1">
      <alignment wrapText="1"/>
    </xf>
    <xf numFmtId="9" fontId="0" fillId="0" borderId="0" xfId="0" applyNumberFormat="1" applyBorder="1"/>
    <xf numFmtId="165" fontId="0" fillId="0" borderId="16" xfId="0" applyNumberFormat="1" applyBorder="1"/>
    <xf numFmtId="0" fontId="0" fillId="0" borderId="21" xfId="0" applyFill="1" applyBorder="1" applyAlignment="1">
      <alignment horizontal="right"/>
    </xf>
    <xf numFmtId="0" fontId="0" fillId="0" borderId="21" xfId="0" applyFill="1" applyBorder="1" applyAlignment="1">
      <alignment horizontal="left"/>
    </xf>
    <xf numFmtId="0" fontId="0" fillId="0" borderId="21" xfId="0" applyFill="1" applyBorder="1"/>
    <xf numFmtId="0" fontId="0" fillId="0" borderId="0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/>
    <xf numFmtId="0" fontId="16" fillId="5" borderId="0" xfId="0" applyFont="1" applyFill="1" applyAlignment="1">
      <alignment horizontal="center"/>
    </xf>
    <xf numFmtId="0" fontId="0" fillId="5" borderId="6" xfId="0" applyFill="1" applyBorder="1"/>
    <xf numFmtId="9" fontId="0" fillId="5" borderId="0" xfId="3" applyFont="1" applyFill="1"/>
    <xf numFmtId="165" fontId="0" fillId="5" borderId="6" xfId="1" applyNumberFormat="1" applyFont="1" applyFill="1" applyBorder="1"/>
    <xf numFmtId="165" fontId="0" fillId="5" borderId="12" xfId="1" applyNumberFormat="1" applyFont="1" applyFill="1" applyBorder="1"/>
    <xf numFmtId="9" fontId="0" fillId="5" borderId="1" xfId="0" applyNumberFormat="1" applyFill="1" applyBorder="1"/>
    <xf numFmtId="165" fontId="0" fillId="5" borderId="1" xfId="1" applyNumberFormat="1" applyFont="1" applyFill="1" applyBorder="1"/>
    <xf numFmtId="165" fontId="17" fillId="5" borderId="0" xfId="1" applyNumberFormat="1" applyFont="1" applyFill="1"/>
    <xf numFmtId="167" fontId="17" fillId="5" borderId="6" xfId="2" applyNumberFormat="1" applyFont="1" applyFill="1" applyBorder="1"/>
    <xf numFmtId="165" fontId="7" fillId="5" borderId="0" xfId="1" applyNumberFormat="1" applyFont="1" applyFill="1"/>
    <xf numFmtId="165" fontId="7" fillId="5" borderId="6" xfId="1" applyNumberFormat="1" applyFont="1" applyFill="1" applyBorder="1"/>
    <xf numFmtId="9" fontId="7" fillId="5" borderId="0" xfId="3" applyFont="1" applyFill="1"/>
    <xf numFmtId="165" fontId="7" fillId="5" borderId="12" xfId="1" applyNumberFormat="1" applyFont="1" applyFill="1" applyBorder="1"/>
    <xf numFmtId="165" fontId="17" fillId="5" borderId="27" xfId="1" applyNumberFormat="1" applyFont="1" applyFill="1" applyBorder="1"/>
    <xf numFmtId="0" fontId="3" fillId="5" borderId="0" xfId="0" applyFont="1" applyFill="1"/>
    <xf numFmtId="43" fontId="3" fillId="5" borderId="12" xfId="1" applyFont="1" applyFill="1" applyBorder="1"/>
    <xf numFmtId="165" fontId="3" fillId="5" borderId="0" xfId="1" applyNumberFormat="1" applyFont="1" applyFill="1"/>
    <xf numFmtId="165" fontId="3" fillId="5" borderId="6" xfId="1" applyNumberFormat="1" applyFont="1" applyFill="1" applyBorder="1"/>
    <xf numFmtId="165" fontId="0" fillId="5" borderId="0" xfId="1" applyNumberFormat="1" applyFont="1" applyFill="1"/>
    <xf numFmtId="165" fontId="6" fillId="5" borderId="0" xfId="1" applyNumberFormat="1" applyFont="1" applyFill="1"/>
    <xf numFmtId="165" fontId="0" fillId="5" borderId="1" xfId="0" applyNumberFormat="1" applyFill="1" applyBorder="1"/>
    <xf numFmtId="165" fontId="0" fillId="5" borderId="5" xfId="0" applyNumberFormat="1" applyFill="1" applyBorder="1"/>
    <xf numFmtId="165" fontId="6" fillId="5" borderId="6" xfId="1" applyNumberFormat="1" applyFont="1" applyFill="1" applyBorder="1"/>
    <xf numFmtId="0" fontId="0" fillId="5" borderId="0" xfId="0" applyFill="1"/>
    <xf numFmtId="165" fontId="17" fillId="5" borderId="12" xfId="1" applyNumberFormat="1" applyFont="1" applyFill="1" applyBorder="1"/>
    <xf numFmtId="165" fontId="7" fillId="5" borderId="1" xfId="1" applyNumberFormat="1" applyFont="1" applyFill="1" applyBorder="1"/>
    <xf numFmtId="165" fontId="7" fillId="5" borderId="5" xfId="1" applyNumberFormat="1" applyFont="1" applyFill="1" applyBorder="1"/>
    <xf numFmtId="165" fontId="0" fillId="4" borderId="0" xfId="1" applyNumberFormat="1" applyFont="1" applyFill="1" applyBorder="1"/>
    <xf numFmtId="0" fontId="4" fillId="4" borderId="0" xfId="0" applyFont="1" applyFill="1" applyBorder="1"/>
    <xf numFmtId="165" fontId="0" fillId="4" borderId="18" xfId="1" applyNumberFormat="1" applyFont="1" applyFill="1" applyBorder="1"/>
    <xf numFmtId="165" fontId="0" fillId="4" borderId="19" xfId="1" applyNumberFormat="1" applyFont="1" applyFill="1" applyBorder="1"/>
    <xf numFmtId="0" fontId="0" fillId="4" borderId="21" xfId="0" applyFill="1" applyBorder="1"/>
    <xf numFmtId="170" fontId="12" fillId="0" borderId="0" xfId="1" applyNumberFormat="1" applyFont="1" applyFill="1" applyAlignment="1">
      <alignment horizontal="center"/>
    </xf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4" borderId="15" xfId="1" applyNumberFormat="1" applyFont="1" applyFill="1" applyBorder="1" applyAlignment="1">
      <alignment horizontal="center"/>
    </xf>
    <xf numFmtId="165" fontId="2" fillId="4" borderId="16" xfId="1" applyNumberFormat="1" applyFont="1" applyFill="1" applyBorder="1" applyAlignment="1">
      <alignment horizontal="center"/>
    </xf>
    <xf numFmtId="0" fontId="2" fillId="4" borderId="16" xfId="0" applyFont="1" applyFill="1" applyBorder="1"/>
    <xf numFmtId="165" fontId="21" fillId="4" borderId="18" xfId="1" applyNumberFormat="1" applyFont="1" applyFill="1" applyBorder="1" applyAlignment="1">
      <alignment horizontal="center"/>
    </xf>
    <xf numFmtId="165" fontId="21" fillId="4" borderId="0" xfId="1" applyNumberFormat="1" applyFont="1" applyFill="1" applyBorder="1" applyAlignment="1">
      <alignment horizontal="center"/>
    </xf>
    <xf numFmtId="0" fontId="16" fillId="4" borderId="0" xfId="0" applyFont="1" applyFill="1" applyBorder="1"/>
    <xf numFmtId="166" fontId="16" fillId="4" borderId="0" xfId="3" applyNumberFormat="1" applyFont="1" applyFill="1" applyBorder="1"/>
    <xf numFmtId="166" fontId="16" fillId="4" borderId="19" xfId="3" applyNumberFormat="1" applyFont="1" applyFill="1" applyBorder="1"/>
    <xf numFmtId="166" fontId="16" fillId="4" borderId="18" xfId="3" applyNumberFormat="1" applyFont="1" applyFill="1" applyBorder="1"/>
    <xf numFmtId="0" fontId="12" fillId="0" borderId="20" xfId="0" applyFont="1" applyFill="1" applyBorder="1" applyAlignment="1">
      <alignment horizontal="left"/>
    </xf>
    <xf numFmtId="0" fontId="12" fillId="0" borderId="20" xfId="0" applyFont="1" applyBorder="1"/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4" borderId="0" xfId="1" applyNumberFormat="1" applyFill="1" applyBorder="1"/>
    <xf numFmtId="168" fontId="0" fillId="0" borderId="0" xfId="0" applyNumberFormat="1" applyFill="1"/>
    <xf numFmtId="165" fontId="1" fillId="4" borderId="15" xfId="1" applyNumberFormat="1" applyFont="1" applyFill="1" applyBorder="1" applyAlignment="1">
      <alignment horizontal="center"/>
    </xf>
    <xf numFmtId="165" fontId="1" fillId="4" borderId="16" xfId="1" applyNumberFormat="1" applyFill="1" applyBorder="1" applyAlignment="1">
      <alignment horizontal="center"/>
    </xf>
    <xf numFmtId="165" fontId="1" fillId="4" borderId="16" xfId="1" applyNumberFormat="1" applyFill="1" applyBorder="1"/>
    <xf numFmtId="165" fontId="6" fillId="4" borderId="18" xfId="1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6" fillId="4" borderId="0" xfId="1" applyNumberFormat="1" applyFont="1" applyFill="1" applyBorder="1" applyAlignment="1">
      <alignment horizontal="center"/>
    </xf>
    <xf numFmtId="166" fontId="4" fillId="4" borderId="0" xfId="3" applyNumberFormat="1" applyFont="1" applyFill="1" applyBorder="1"/>
    <xf numFmtId="166" fontId="4" fillId="4" borderId="19" xfId="3" applyNumberFormat="1" applyFont="1" applyFill="1" applyBorder="1"/>
    <xf numFmtId="165" fontId="1" fillId="4" borderId="18" xfId="1" applyNumberFormat="1" applyFill="1" applyBorder="1"/>
    <xf numFmtId="0" fontId="0" fillId="4" borderId="0" xfId="0" applyFill="1" applyBorder="1" applyAlignment="1">
      <alignment horizontal="center"/>
    </xf>
    <xf numFmtId="165" fontId="1" fillId="4" borderId="19" xfId="1" applyNumberFormat="1" applyFill="1" applyBorder="1"/>
    <xf numFmtId="165" fontId="1" fillId="4" borderId="21" xfId="1" applyNumberFormat="1" applyFill="1" applyBorder="1"/>
    <xf numFmtId="165" fontId="1" fillId="4" borderId="28" xfId="1" applyNumberFormat="1" applyFill="1" applyBorder="1"/>
    <xf numFmtId="165" fontId="1" fillId="4" borderId="22" xfId="1" applyNumberFormat="1" applyFill="1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2" fillId="0" borderId="18" xfId="0" applyFont="1" applyFill="1" applyBorder="1"/>
    <xf numFmtId="0" fontId="0" fillId="0" borderId="19" xfId="0" applyBorder="1" applyAlignment="1">
      <alignment horizontal="right"/>
    </xf>
    <xf numFmtId="0" fontId="0" fillId="0" borderId="20" xfId="0" applyFill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0" fillId="4" borderId="16" xfId="0" applyFill="1" applyBorder="1"/>
    <xf numFmtId="0" fontId="0" fillId="4" borderId="20" xfId="0" applyFill="1" applyBorder="1"/>
    <xf numFmtId="166" fontId="3" fillId="4" borderId="16" xfId="3" applyNumberFormat="1" applyFont="1" applyFill="1" applyBorder="1"/>
    <xf numFmtId="166" fontId="3" fillId="4" borderId="17" xfId="3" applyNumberFormat="1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9" fontId="3" fillId="0" borderId="0" xfId="0" applyNumberFormat="1" applyFont="1"/>
    <xf numFmtId="0" fontId="14" fillId="0" borderId="0" xfId="0" applyFont="1"/>
    <xf numFmtId="0" fontId="14" fillId="0" borderId="0" xfId="0" applyFont="1" applyFill="1"/>
    <xf numFmtId="0" fontId="16" fillId="0" borderId="16" xfId="0" applyFont="1" applyBorder="1"/>
    <xf numFmtId="9" fontId="19" fillId="6" borderId="18" xfId="0" applyNumberFormat="1" applyFont="1" applyFill="1" applyBorder="1"/>
    <xf numFmtId="165" fontId="19" fillId="6" borderId="0" xfId="0" applyNumberFormat="1" applyFont="1" applyFill="1" applyBorder="1"/>
    <xf numFmtId="165" fontId="19" fillId="6" borderId="19" xfId="0" applyNumberFormat="1" applyFont="1" applyFill="1" applyBorder="1"/>
    <xf numFmtId="1" fontId="0" fillId="0" borderId="0" xfId="0" applyNumberFormat="1" applyBorder="1"/>
    <xf numFmtId="1" fontId="0" fillId="0" borderId="19" xfId="0" applyNumberFormat="1" applyBorder="1"/>
    <xf numFmtId="1" fontId="0" fillId="0" borderId="21" xfId="0" applyNumberFormat="1" applyBorder="1"/>
    <xf numFmtId="1" fontId="0" fillId="0" borderId="22" xfId="0" applyNumberFormat="1" applyBorder="1"/>
    <xf numFmtId="0" fontId="0" fillId="0" borderId="25" xfId="0" applyBorder="1"/>
    <xf numFmtId="166" fontId="0" fillId="0" borderId="2" xfId="0" applyNumberFormat="1" applyBorder="1"/>
    <xf numFmtId="166" fontId="0" fillId="0" borderId="26" xfId="0" applyNumberFormat="1" applyBorder="1"/>
    <xf numFmtId="0" fontId="23" fillId="0" borderId="0" xfId="0" applyFont="1"/>
    <xf numFmtId="0" fontId="24" fillId="0" borderId="0" xfId="0" applyFont="1"/>
    <xf numFmtId="0" fontId="3" fillId="0" borderId="18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1" fontId="2" fillId="0" borderId="0" xfId="0" applyNumberFormat="1" applyFont="1" applyBorder="1"/>
    <xf numFmtId="0" fontId="2" fillId="0" borderId="15" xfId="0" applyFont="1" applyFill="1" applyBorder="1"/>
    <xf numFmtId="22" fontId="16" fillId="0" borderId="0" xfId="0" applyNumberFormat="1" applyFont="1"/>
    <xf numFmtId="0" fontId="5" fillId="0" borderId="15" xfId="0" applyFont="1" applyBorder="1"/>
    <xf numFmtId="0" fontId="7" fillId="3" borderId="19" xfId="0" applyFont="1" applyFill="1" applyBorder="1" applyAlignment="1">
      <alignment horizontal="center"/>
    </xf>
    <xf numFmtId="9" fontId="7" fillId="3" borderId="19" xfId="3" applyFont="1" applyFill="1" applyBorder="1" applyAlignment="1">
      <alignment horizontal="center"/>
    </xf>
    <xf numFmtId="165" fontId="7" fillId="3" borderId="19" xfId="1" applyNumberFormat="1" applyFont="1" applyFill="1" applyBorder="1" applyAlignment="1">
      <alignment horizontal="center"/>
    </xf>
    <xf numFmtId="165" fontId="7" fillId="3" borderId="22" xfId="1" applyNumberFormat="1" applyFont="1" applyFill="1" applyBorder="1" applyAlignment="1">
      <alignment horizontal="center"/>
    </xf>
    <xf numFmtId="166" fontId="0" fillId="3" borderId="19" xfId="3" applyNumberFormat="1" applyFont="1" applyFill="1" applyBorder="1" applyAlignment="1">
      <alignment horizontal="right"/>
    </xf>
    <xf numFmtId="0" fontId="0" fillId="3" borderId="19" xfId="0" applyFill="1" applyBorder="1" applyAlignment="1">
      <alignment horizontal="right"/>
    </xf>
    <xf numFmtId="10" fontId="0" fillId="3" borderId="19" xfId="3" applyNumberFormat="1" applyFont="1" applyFill="1" applyBorder="1" applyAlignment="1">
      <alignment horizontal="right"/>
    </xf>
    <xf numFmtId="1" fontId="0" fillId="3" borderId="22" xfId="1" applyNumberFormat="1" applyFont="1" applyFill="1" applyBorder="1" applyAlignment="1">
      <alignment horizontal="right"/>
    </xf>
    <xf numFmtId="9" fontId="0" fillId="3" borderId="19" xfId="3" applyFont="1" applyFill="1" applyBorder="1"/>
    <xf numFmtId="166" fontId="0" fillId="3" borderId="19" xfId="3" applyNumberFormat="1" applyFont="1" applyFill="1" applyBorder="1"/>
    <xf numFmtId="0" fontId="0" fillId="3" borderId="22" xfId="0" applyFill="1" applyBorder="1"/>
    <xf numFmtId="165" fontId="1" fillId="0" borderId="7" xfId="1" applyNumberFormat="1" applyFill="1" applyBorder="1"/>
    <xf numFmtId="0" fontId="0" fillId="4" borderId="10" xfId="0" applyFill="1" applyBorder="1" applyAlignment="1">
      <alignment horizontal="center"/>
    </xf>
    <xf numFmtId="10" fontId="2" fillId="4" borderId="14" xfId="0" applyNumberFormat="1" applyFont="1" applyFill="1" applyBorder="1"/>
    <xf numFmtId="0" fontId="0" fillId="4" borderId="18" xfId="0" applyFill="1" applyBorder="1"/>
    <xf numFmtId="0" fontId="0" fillId="4" borderId="0" xfId="0" applyFill="1" applyBorder="1"/>
    <xf numFmtId="1" fontId="0" fillId="4" borderId="0" xfId="0" applyNumberFormat="1" applyFill="1" applyBorder="1"/>
    <xf numFmtId="1" fontId="0" fillId="4" borderId="19" xfId="0" applyNumberFormat="1" applyFill="1" applyBorder="1"/>
    <xf numFmtId="9" fontId="0" fillId="4" borderId="21" xfId="0" applyNumberFormat="1" applyFill="1" applyBorder="1"/>
    <xf numFmtId="0" fontId="0" fillId="4" borderId="22" xfId="0" applyFill="1" applyBorder="1"/>
    <xf numFmtId="10" fontId="0" fillId="4" borderId="21" xfId="0" applyNumberFormat="1" applyFill="1" applyBorder="1"/>
    <xf numFmtId="165" fontId="7" fillId="4" borderId="7" xfId="1" applyNumberFormat="1" applyFont="1" applyFill="1" applyBorder="1"/>
    <xf numFmtId="164" fontId="7" fillId="4" borderId="21" xfId="1" applyNumberFormat="1" applyFont="1" applyFill="1" applyBorder="1" applyAlignment="1">
      <alignment horizontal="left"/>
    </xf>
    <xf numFmtId="0" fontId="7" fillId="4" borderId="21" xfId="0" applyFont="1" applyFill="1" applyBorder="1"/>
    <xf numFmtId="165" fontId="7" fillId="4" borderId="20" xfId="1" applyNumberFormat="1" applyFont="1" applyFill="1" applyBorder="1"/>
    <xf numFmtId="165" fontId="7" fillId="4" borderId="29" xfId="1" applyNumberFormat="1" applyFont="1" applyFill="1" applyBorder="1"/>
    <xf numFmtId="165" fontId="7" fillId="4" borderId="22" xfId="1" applyNumberFormat="1" applyFont="1" applyFill="1" applyBorder="1"/>
    <xf numFmtId="165" fontId="7" fillId="4" borderId="30" xfId="1" applyNumberFormat="1" applyFont="1" applyFill="1" applyBorder="1"/>
    <xf numFmtId="164" fontId="7" fillId="4" borderId="21" xfId="1" applyNumberFormat="1" applyFont="1" applyFill="1" applyBorder="1" applyAlignment="1">
      <alignment horizontal="center"/>
    </xf>
    <xf numFmtId="165" fontId="7" fillId="4" borderId="21" xfId="1" applyNumberFormat="1" applyFont="1" applyFill="1" applyBorder="1" applyAlignment="1">
      <alignment horizontal="center"/>
    </xf>
    <xf numFmtId="10" fontId="7" fillId="4" borderId="21" xfId="3" applyNumberFormat="1" applyFont="1" applyFill="1" applyBorder="1"/>
    <xf numFmtId="165" fontId="7" fillId="4" borderId="21" xfId="1" applyNumberFormat="1" applyFont="1" applyFill="1" applyBorder="1"/>
    <xf numFmtId="165" fontId="7" fillId="4" borderId="28" xfId="1" applyNumberFormat="1" applyFont="1" applyFill="1" applyBorder="1"/>
    <xf numFmtId="0" fontId="14" fillId="0" borderId="0" xfId="0" applyFont="1" applyFill="1" applyAlignment="1">
      <alignment horizontal="right"/>
    </xf>
    <xf numFmtId="9" fontId="1" fillId="3" borderId="0" xfId="3" applyFont="1" applyFill="1" applyBorder="1"/>
    <xf numFmtId="0" fontId="2" fillId="4" borderId="10" xfId="0" applyFont="1" applyFill="1" applyBorder="1"/>
    <xf numFmtId="9" fontId="2" fillId="4" borderId="14" xfId="0" applyNumberFormat="1" applyFont="1" applyFill="1" applyBorder="1"/>
    <xf numFmtId="0" fontId="26" fillId="0" borderId="15" xfId="0" applyFont="1" applyBorder="1"/>
    <xf numFmtId="0" fontId="26" fillId="0" borderId="16" xfId="0" applyFont="1" applyBorder="1"/>
    <xf numFmtId="0" fontId="26" fillId="0" borderId="17" xfId="0" applyFont="1" applyBorder="1"/>
    <xf numFmtId="0" fontId="26" fillId="0" borderId="20" xfId="0" applyFont="1" applyBorder="1"/>
    <xf numFmtId="0" fontId="26" fillId="0" borderId="21" xfId="0" applyFont="1" applyBorder="1"/>
    <xf numFmtId="0" fontId="26" fillId="0" borderId="22" xfId="0" applyFont="1" applyBorder="1"/>
    <xf numFmtId="0" fontId="27" fillId="0" borderId="0" xfId="0" applyFont="1"/>
    <xf numFmtId="0" fontId="24" fillId="3" borderId="0" xfId="0" applyFont="1" applyFill="1" applyBorder="1" applyAlignment="1">
      <alignment wrapText="1"/>
    </xf>
    <xf numFmtId="0" fontId="24" fillId="3" borderId="19" xfId="0" applyFont="1" applyFill="1" applyBorder="1" applyAlignment="1">
      <alignment wrapText="1"/>
    </xf>
    <xf numFmtId="0" fontId="24" fillId="3" borderId="21" xfId="0" applyFont="1" applyFill="1" applyBorder="1" applyAlignment="1">
      <alignment wrapText="1"/>
    </xf>
    <xf numFmtId="0" fontId="24" fillId="3" borderId="22" xfId="0" applyFont="1" applyFill="1" applyBorder="1" applyAlignment="1">
      <alignment wrapText="1"/>
    </xf>
    <xf numFmtId="9" fontId="0" fillId="3" borderId="18" xfId="0" applyNumberFormat="1" applyFill="1" applyBorder="1"/>
    <xf numFmtId="9" fontId="0" fillId="3" borderId="20" xfId="0" applyNumberFormat="1" applyFill="1" applyBorder="1"/>
    <xf numFmtId="165" fontId="0" fillId="3" borderId="0" xfId="1" applyNumberFormat="1" applyFont="1" applyFill="1"/>
    <xf numFmtId="165" fontId="1" fillId="3" borderId="0" xfId="1" applyNumberFormat="1" applyFill="1"/>
    <xf numFmtId="0" fontId="2" fillId="0" borderId="19" xfId="0" applyFont="1" applyBorder="1"/>
    <xf numFmtId="0" fontId="22" fillId="0" borderId="0" xfId="0" applyFont="1" applyBorder="1"/>
    <xf numFmtId="0" fontId="14" fillId="0" borderId="0" xfId="0" applyFont="1" applyFill="1" applyBorder="1" applyAlignment="1">
      <alignment horizontal="left"/>
    </xf>
    <xf numFmtId="165" fontId="18" fillId="0" borderId="0" xfId="1" applyNumberFormat="1" applyFont="1" applyFill="1" applyBorder="1"/>
    <xf numFmtId="0" fontId="14" fillId="0" borderId="0" xfId="0" applyFont="1" applyFill="1" applyBorder="1"/>
    <xf numFmtId="0" fontId="0" fillId="6" borderId="0" xfId="0" applyFill="1"/>
    <xf numFmtId="0" fontId="2" fillId="6" borderId="0" xfId="0" applyFont="1" applyFill="1"/>
    <xf numFmtId="0" fontId="22" fillId="6" borderId="0" xfId="0" applyFont="1" applyFill="1"/>
    <xf numFmtId="0" fontId="25" fillId="6" borderId="0" xfId="0" applyFont="1" applyFill="1"/>
    <xf numFmtId="0" fontId="3" fillId="6" borderId="0" xfId="0" applyFont="1" applyFill="1"/>
    <xf numFmtId="0" fontId="15" fillId="6" borderId="0" xfId="0" applyFont="1" applyFill="1"/>
    <xf numFmtId="0" fontId="3" fillId="6" borderId="0" xfId="0" applyFont="1" applyFill="1" applyAlignment="1">
      <alignment horizontal="right"/>
    </xf>
    <xf numFmtId="166" fontId="0" fillId="0" borderId="0" xfId="0" applyNumberFormat="1" applyFill="1" applyAlignment="1">
      <alignment horizontal="center"/>
    </xf>
    <xf numFmtId="168" fontId="1" fillId="2" borderId="0" xfId="1" applyNumberFormat="1" applyFont="1" applyFill="1" applyAlignment="1">
      <alignment horizontal="center"/>
    </xf>
    <xf numFmtId="165" fontId="21" fillId="4" borderId="15" xfId="1" applyNumberFormat="1" applyFont="1" applyFill="1" applyBorder="1" applyAlignment="1">
      <alignment horizontal="center"/>
    </xf>
    <xf numFmtId="165" fontId="21" fillId="4" borderId="16" xfId="1" applyNumberFormat="1" applyFont="1" applyFill="1" applyBorder="1" applyAlignment="1">
      <alignment horizontal="center"/>
    </xf>
    <xf numFmtId="165" fontId="21" fillId="4" borderId="17" xfId="1" applyNumberFormat="1" applyFont="1" applyFill="1" applyBorder="1" applyAlignment="1">
      <alignment horizontal="center"/>
    </xf>
    <xf numFmtId="165" fontId="6" fillId="4" borderId="16" xfId="1" applyNumberFormat="1" applyFont="1" applyFill="1" applyBorder="1" applyAlignment="1">
      <alignment horizontal="center"/>
    </xf>
    <xf numFmtId="165" fontId="6" fillId="4" borderId="17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'Asset 1'!$C$43" fmlaRange="$B$50:$B$52" noThreeD="1" sel="1" val="0"/>
</file>

<file path=xl/ctrlProps/ctrlProp2.xml><?xml version="1.0" encoding="utf-8"?>
<formControlPr xmlns="http://schemas.microsoft.com/office/spreadsheetml/2009/9/main" objectType="Drop" dropStyle="combo" dx="22" fmlaLink="'Asset 2'!$C$41" fmlaRange="$B$50:$B$52" noThreeD="1" sel="2" val="0"/>
</file>

<file path=xl/ctrlProps/ctrlProp3.xml><?xml version="1.0" encoding="utf-8"?>
<formControlPr xmlns="http://schemas.microsoft.com/office/spreadsheetml/2009/9/main" objectType="Drop" dropStyle="combo" dx="22" fmlaLink="'Asset 3'!$C$41" fmlaRange="$B$50:$B$52" noThreeD="1" sel="1" val="0"/>
</file>

<file path=xl/ctrlProps/ctrlProp4.xml><?xml version="1.0" encoding="utf-8"?>
<formControlPr xmlns="http://schemas.microsoft.com/office/spreadsheetml/2009/9/main" objectType="Drop" dropStyle="combo" dx="22" fmlaLink="'Asset 1'!$C$60" fmlaRange="$B$56:$B$58" noThreeD="1" sel="1" val="0"/>
</file>

<file path=xl/ctrlProps/ctrlProp5.xml><?xml version="1.0" encoding="utf-8"?>
<formControlPr xmlns="http://schemas.microsoft.com/office/spreadsheetml/2009/9/main" objectType="Drop" dropStyle="combo" dx="22" fmlaLink="'Asset 2'!$C$65" fmlaRange="$B$56:$B$58" noThreeD="1" sel="1" val="0"/>
</file>

<file path=xl/ctrlProps/ctrlProp6.xml><?xml version="1.0" encoding="utf-8"?>
<formControlPr xmlns="http://schemas.microsoft.com/office/spreadsheetml/2009/9/main" objectType="Drop" dropStyle="combo" dx="22" fmlaLink="'Asset 3'!$C$66" fmlaRange="$B$56:$B$5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40</xdr:row>
      <xdr:rowOff>19050</xdr:rowOff>
    </xdr:from>
    <xdr:to>
      <xdr:col>9</xdr:col>
      <xdr:colOff>200025</xdr:colOff>
      <xdr:row>41</xdr:row>
      <xdr:rowOff>142875</xdr:rowOff>
    </xdr:to>
    <xdr:sp macro="[0]!Asset2" textlink="">
      <xdr:nvSpPr>
        <xdr:cNvPr id="22549" name="Rectangle 21">
          <a:extLst>
            <a:ext uri="{FF2B5EF4-FFF2-40B4-BE49-F238E27FC236}">
              <a16:creationId xmlns:a16="http://schemas.microsoft.com/office/drawing/2014/main" id="{25F36784-3B45-6A88-E2A5-206F3D7CE19D}"/>
            </a:ext>
          </a:extLst>
        </xdr:cNvPr>
        <xdr:cNvSpPr>
          <a:spLocks noChangeArrowheads="1"/>
        </xdr:cNvSpPr>
      </xdr:nvSpPr>
      <xdr:spPr bwMode="auto">
        <a:xfrm>
          <a:off x="8439150" y="7000875"/>
          <a:ext cx="7905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43</xdr:row>
      <xdr:rowOff>28575</xdr:rowOff>
    </xdr:from>
    <xdr:to>
      <xdr:col>9</xdr:col>
      <xdr:colOff>219075</xdr:colOff>
      <xdr:row>45</xdr:row>
      <xdr:rowOff>19050</xdr:rowOff>
    </xdr:to>
    <xdr:sp macro="[0]!Asset3" textlink="">
      <xdr:nvSpPr>
        <xdr:cNvPr id="22551" name="Rectangle 23">
          <a:extLst>
            <a:ext uri="{FF2B5EF4-FFF2-40B4-BE49-F238E27FC236}">
              <a16:creationId xmlns:a16="http://schemas.microsoft.com/office/drawing/2014/main" id="{720801A0-7EAE-2BD6-A610-5B1C5A348570}"/>
            </a:ext>
          </a:extLst>
        </xdr:cNvPr>
        <xdr:cNvSpPr>
          <a:spLocks noChangeArrowheads="1"/>
        </xdr:cNvSpPr>
      </xdr:nvSpPr>
      <xdr:spPr bwMode="auto">
        <a:xfrm>
          <a:off x="8429625" y="7496175"/>
          <a:ext cx="819150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37</xdr:row>
      <xdr:rowOff>19050</xdr:rowOff>
    </xdr:from>
    <xdr:to>
      <xdr:col>9</xdr:col>
      <xdr:colOff>200025</xdr:colOff>
      <xdr:row>38</xdr:row>
      <xdr:rowOff>133350</xdr:rowOff>
    </xdr:to>
    <xdr:sp macro="[0]!Asset1" textlink="">
      <xdr:nvSpPr>
        <xdr:cNvPr id="22552" name="Rectangle 24">
          <a:extLst>
            <a:ext uri="{FF2B5EF4-FFF2-40B4-BE49-F238E27FC236}">
              <a16:creationId xmlns:a16="http://schemas.microsoft.com/office/drawing/2014/main" id="{945A55D4-6E3F-FA8B-4A59-836BFDD88423}"/>
            </a:ext>
          </a:extLst>
        </xdr:cNvPr>
        <xdr:cNvSpPr>
          <a:spLocks noChangeArrowheads="1"/>
        </xdr:cNvSpPr>
      </xdr:nvSpPr>
      <xdr:spPr bwMode="auto">
        <a:xfrm>
          <a:off x="8429625" y="6515100"/>
          <a:ext cx="80010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35</xdr:row>
          <xdr:rowOff>476250</xdr:rowOff>
        </xdr:from>
        <xdr:to>
          <xdr:col>5</xdr:col>
          <xdr:colOff>1581150</xdr:colOff>
          <xdr:row>37</xdr:row>
          <xdr:rowOff>28575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  <a:ext uri="{FF2B5EF4-FFF2-40B4-BE49-F238E27FC236}">
                  <a16:creationId xmlns:a16="http://schemas.microsoft.com/office/drawing/2014/main" id="{553504EB-180A-CE2F-A7E6-5034F1B5F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39</xdr:row>
          <xdr:rowOff>9525</xdr:rowOff>
        </xdr:from>
        <xdr:to>
          <xdr:col>5</xdr:col>
          <xdr:colOff>1562100</xdr:colOff>
          <xdr:row>40</xdr:row>
          <xdr:rowOff>47625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  <a:ext uri="{FF2B5EF4-FFF2-40B4-BE49-F238E27FC236}">
                  <a16:creationId xmlns:a16="http://schemas.microsoft.com/office/drawing/2014/main" id="{66FE3478-FCF6-E5F7-DBDF-2A731A9C7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42</xdr:row>
          <xdr:rowOff>9525</xdr:rowOff>
        </xdr:from>
        <xdr:to>
          <xdr:col>5</xdr:col>
          <xdr:colOff>1581150</xdr:colOff>
          <xdr:row>43</xdr:row>
          <xdr:rowOff>47625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  <a:ext uri="{FF2B5EF4-FFF2-40B4-BE49-F238E27FC236}">
                  <a16:creationId xmlns:a16="http://schemas.microsoft.com/office/drawing/2014/main" id="{9671D266-E8ED-7F91-600B-16DA4CC442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36</xdr:row>
          <xdr:rowOff>9525</xdr:rowOff>
        </xdr:from>
        <xdr:to>
          <xdr:col>6</xdr:col>
          <xdr:colOff>1219200</xdr:colOff>
          <xdr:row>37</xdr:row>
          <xdr:rowOff>66675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  <a:ext uri="{FF2B5EF4-FFF2-40B4-BE49-F238E27FC236}">
                  <a16:creationId xmlns:a16="http://schemas.microsoft.com/office/drawing/2014/main" id="{61A90612-2486-5938-082E-8EDF5B98F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39</xdr:row>
          <xdr:rowOff>9525</xdr:rowOff>
        </xdr:from>
        <xdr:to>
          <xdr:col>6</xdr:col>
          <xdr:colOff>1238250</xdr:colOff>
          <xdr:row>40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  <a:ext uri="{FF2B5EF4-FFF2-40B4-BE49-F238E27FC236}">
                  <a16:creationId xmlns:a16="http://schemas.microsoft.com/office/drawing/2014/main" id="{5186558A-1CDB-B278-43D1-7C2D4254B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9525</xdr:rowOff>
        </xdr:from>
        <xdr:to>
          <xdr:col>6</xdr:col>
          <xdr:colOff>1228725</xdr:colOff>
          <xdr:row>43</xdr:row>
          <xdr:rowOff>66675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  <a:ext uri="{FF2B5EF4-FFF2-40B4-BE49-F238E27FC236}">
                  <a16:creationId xmlns:a16="http://schemas.microsoft.com/office/drawing/2014/main" id="{BEEDFC1F-89A3-0A00-031F-4A40E393F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52</xdr:row>
      <xdr:rowOff>9525</xdr:rowOff>
    </xdr:from>
    <xdr:to>
      <xdr:col>8</xdr:col>
      <xdr:colOff>0</xdr:colOff>
      <xdr:row>56</xdr:row>
      <xdr:rowOff>28575</xdr:rowOff>
    </xdr:to>
    <xdr:sp macro="[0]!UnleveredConsolidated" textlink="">
      <xdr:nvSpPr>
        <xdr:cNvPr id="5279" name="Oval 159">
          <a:extLst>
            <a:ext uri="{FF2B5EF4-FFF2-40B4-BE49-F238E27FC236}">
              <a16:creationId xmlns:a16="http://schemas.microsoft.com/office/drawing/2014/main" id="{79089323-F1D1-6CA4-1E11-C6F33F202D63}"/>
            </a:ext>
          </a:extLst>
        </xdr:cNvPr>
        <xdr:cNvSpPr>
          <a:spLocks noChangeArrowheads="1"/>
        </xdr:cNvSpPr>
      </xdr:nvSpPr>
      <xdr:spPr bwMode="auto">
        <a:xfrm>
          <a:off x="6448425" y="8734425"/>
          <a:ext cx="914400" cy="714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142875</xdr:colOff>
      <xdr:row>1</xdr:row>
      <xdr:rowOff>9525</xdr:rowOff>
    </xdr:from>
    <xdr:to>
      <xdr:col>3</xdr:col>
      <xdr:colOff>695325</xdr:colOff>
      <xdr:row>3</xdr:row>
      <xdr:rowOff>142875</xdr:rowOff>
    </xdr:to>
    <xdr:sp macro="[0]!UnleveredConsolidated" textlink="">
      <xdr:nvSpPr>
        <xdr:cNvPr id="5280" name="Rectangle 160">
          <a:extLst>
            <a:ext uri="{FF2B5EF4-FFF2-40B4-BE49-F238E27FC236}">
              <a16:creationId xmlns:a16="http://schemas.microsoft.com/office/drawing/2014/main" id="{544A6130-201C-6BC3-D828-A3743625EC57}"/>
            </a:ext>
          </a:extLst>
        </xdr:cNvPr>
        <xdr:cNvSpPr>
          <a:spLocks noChangeArrowheads="1"/>
        </xdr:cNvSpPr>
      </xdr:nvSpPr>
      <xdr:spPr bwMode="auto">
        <a:xfrm>
          <a:off x="3333750" y="247650"/>
          <a:ext cx="55245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33</xdr:row>
      <xdr:rowOff>19050</xdr:rowOff>
    </xdr:from>
    <xdr:to>
      <xdr:col>5</xdr:col>
      <xdr:colOff>0</xdr:colOff>
      <xdr:row>37</xdr:row>
      <xdr:rowOff>38100</xdr:rowOff>
    </xdr:to>
    <xdr:sp macro="[0]!Asset1" textlink="">
      <xdr:nvSpPr>
        <xdr:cNvPr id="23565" name="Oval 13">
          <a:extLst>
            <a:ext uri="{FF2B5EF4-FFF2-40B4-BE49-F238E27FC236}">
              <a16:creationId xmlns:a16="http://schemas.microsoft.com/office/drawing/2014/main" id="{5A1C72ED-3ECA-2ADA-AE30-FD7F7255AAAF}"/>
            </a:ext>
          </a:extLst>
        </xdr:cNvPr>
        <xdr:cNvSpPr>
          <a:spLocks noChangeArrowheads="1"/>
        </xdr:cNvSpPr>
      </xdr:nvSpPr>
      <xdr:spPr bwMode="auto">
        <a:xfrm>
          <a:off x="4114800" y="5553075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847725</xdr:colOff>
      <xdr:row>1</xdr:row>
      <xdr:rowOff>28575</xdr:rowOff>
    </xdr:from>
    <xdr:to>
      <xdr:col>4</xdr:col>
      <xdr:colOff>19050</xdr:colOff>
      <xdr:row>3</xdr:row>
      <xdr:rowOff>133350</xdr:rowOff>
    </xdr:to>
    <xdr:sp macro="[0]!Asset1" textlink="">
      <xdr:nvSpPr>
        <xdr:cNvPr id="23566" name="Rectangle 14">
          <a:extLst>
            <a:ext uri="{FF2B5EF4-FFF2-40B4-BE49-F238E27FC236}">
              <a16:creationId xmlns:a16="http://schemas.microsoft.com/office/drawing/2014/main" id="{E8C1B9D5-BE77-113D-C255-0420F5D4D35D}"/>
            </a:ext>
          </a:extLst>
        </xdr:cNvPr>
        <xdr:cNvSpPr>
          <a:spLocks noChangeArrowheads="1"/>
        </xdr:cNvSpPr>
      </xdr:nvSpPr>
      <xdr:spPr bwMode="auto">
        <a:xfrm>
          <a:off x="3619500" y="266700"/>
          <a:ext cx="81915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30</xdr:row>
      <xdr:rowOff>47625</xdr:rowOff>
    </xdr:from>
    <xdr:to>
      <xdr:col>5</xdr:col>
      <xdr:colOff>9525</xdr:colOff>
      <xdr:row>34</xdr:row>
      <xdr:rowOff>38100</xdr:rowOff>
    </xdr:to>
    <xdr:sp macro="[0]!Asset2" textlink="">
      <xdr:nvSpPr>
        <xdr:cNvPr id="30731" name="Oval 11">
          <a:extLst>
            <a:ext uri="{FF2B5EF4-FFF2-40B4-BE49-F238E27FC236}">
              <a16:creationId xmlns:a16="http://schemas.microsoft.com/office/drawing/2014/main" id="{17C435D8-E75A-1CD2-4AEE-D0FA16A7B7C4}"/>
            </a:ext>
          </a:extLst>
        </xdr:cNvPr>
        <xdr:cNvSpPr>
          <a:spLocks noChangeArrowheads="1"/>
        </xdr:cNvSpPr>
      </xdr:nvSpPr>
      <xdr:spPr bwMode="auto">
        <a:xfrm>
          <a:off x="4124325" y="506730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819150</xdr:colOff>
      <xdr:row>0</xdr:row>
      <xdr:rowOff>161925</xdr:rowOff>
    </xdr:from>
    <xdr:to>
      <xdr:col>3</xdr:col>
      <xdr:colOff>781050</xdr:colOff>
      <xdr:row>3</xdr:row>
      <xdr:rowOff>28575</xdr:rowOff>
    </xdr:to>
    <xdr:sp macro="[0]!Asset2" textlink="">
      <xdr:nvSpPr>
        <xdr:cNvPr id="30732" name="Rectangle 12">
          <a:extLst>
            <a:ext uri="{FF2B5EF4-FFF2-40B4-BE49-F238E27FC236}">
              <a16:creationId xmlns:a16="http://schemas.microsoft.com/office/drawing/2014/main" id="{76EF3ECA-0D4F-CBBA-ED06-DC3AA94C2012}"/>
            </a:ext>
          </a:extLst>
        </xdr:cNvPr>
        <xdr:cNvSpPr>
          <a:spLocks noChangeArrowheads="1"/>
        </xdr:cNvSpPr>
      </xdr:nvSpPr>
      <xdr:spPr bwMode="auto">
        <a:xfrm>
          <a:off x="3590925" y="161925"/>
          <a:ext cx="8191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31</xdr:row>
      <xdr:rowOff>9525</xdr:rowOff>
    </xdr:from>
    <xdr:to>
      <xdr:col>4</xdr:col>
      <xdr:colOff>600075</xdr:colOff>
      <xdr:row>35</xdr:row>
      <xdr:rowOff>28575</xdr:rowOff>
    </xdr:to>
    <xdr:sp macro="[0]!Asset3" textlink="">
      <xdr:nvSpPr>
        <xdr:cNvPr id="31756" name="Oval 12">
          <a:extLst>
            <a:ext uri="{FF2B5EF4-FFF2-40B4-BE49-F238E27FC236}">
              <a16:creationId xmlns:a16="http://schemas.microsoft.com/office/drawing/2014/main" id="{54431096-55CF-029E-8EFF-46E1473D937A}"/>
            </a:ext>
          </a:extLst>
        </xdr:cNvPr>
        <xdr:cNvSpPr>
          <a:spLocks noChangeArrowheads="1"/>
        </xdr:cNvSpPr>
      </xdr:nvSpPr>
      <xdr:spPr bwMode="auto">
        <a:xfrm>
          <a:off x="4143375" y="5219700"/>
          <a:ext cx="914400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28575</xdr:colOff>
      <xdr:row>1</xdr:row>
      <xdr:rowOff>0</xdr:rowOff>
    </xdr:from>
    <xdr:to>
      <xdr:col>4</xdr:col>
      <xdr:colOff>28575</xdr:colOff>
      <xdr:row>3</xdr:row>
      <xdr:rowOff>9525</xdr:rowOff>
    </xdr:to>
    <xdr:sp macro="[0]!Asset3" textlink="">
      <xdr:nvSpPr>
        <xdr:cNvPr id="31758" name="Rectangle 14">
          <a:extLst>
            <a:ext uri="{FF2B5EF4-FFF2-40B4-BE49-F238E27FC236}">
              <a16:creationId xmlns:a16="http://schemas.microsoft.com/office/drawing/2014/main" id="{F5212378-0059-EA27-5C83-8F2A61BE335A}"/>
            </a:ext>
          </a:extLst>
        </xdr:cNvPr>
        <xdr:cNvSpPr>
          <a:spLocks noChangeArrowheads="1"/>
        </xdr:cNvSpPr>
      </xdr:nvSpPr>
      <xdr:spPr bwMode="auto">
        <a:xfrm>
          <a:off x="3695700" y="238125"/>
          <a:ext cx="7905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19" workbookViewId="0">
      <selection activeCell="I11" sqref="I11"/>
    </sheetView>
  </sheetViews>
  <sheetFormatPr defaultRowHeight="12.75" x14ac:dyDescent="0.2"/>
  <cols>
    <col min="1" max="5" width="9.140625" style="389"/>
    <col min="6" max="7" width="12" style="389" bestFit="1" customWidth="1"/>
    <col min="8" max="16384" width="9.140625" style="389"/>
  </cols>
  <sheetData>
    <row r="2" spans="1:11" x14ac:dyDescent="0.2">
      <c r="J2" s="390" t="s">
        <v>218</v>
      </c>
      <c r="K2" s="390" t="s">
        <v>219</v>
      </c>
    </row>
    <row r="3" spans="1:11" ht="18" x14ac:dyDescent="0.25">
      <c r="A3" s="391" t="s">
        <v>258</v>
      </c>
      <c r="G3" s="392" t="s">
        <v>214</v>
      </c>
      <c r="H3" s="393" t="s">
        <v>215</v>
      </c>
      <c r="J3" s="389" t="s">
        <v>241</v>
      </c>
    </row>
    <row r="4" spans="1:11" x14ac:dyDescent="0.2">
      <c r="G4" s="392" t="s">
        <v>216</v>
      </c>
      <c r="H4" s="393" t="s">
        <v>217</v>
      </c>
      <c r="J4" s="389" t="s">
        <v>242</v>
      </c>
    </row>
    <row r="9" spans="1:11" ht="15" x14ac:dyDescent="0.25">
      <c r="A9" s="394" t="s">
        <v>257</v>
      </c>
    </row>
    <row r="12" spans="1:11" x14ac:dyDescent="0.2">
      <c r="A12" s="390">
        <v>1</v>
      </c>
      <c r="B12" s="390" t="s">
        <v>58</v>
      </c>
      <c r="C12" s="390"/>
    </row>
    <row r="13" spans="1:11" x14ac:dyDescent="0.2">
      <c r="B13" s="389" t="s">
        <v>248</v>
      </c>
    </row>
    <row r="14" spans="1:11" x14ac:dyDescent="0.2">
      <c r="B14" s="389" t="s">
        <v>259</v>
      </c>
    </row>
    <row r="15" spans="1:11" x14ac:dyDescent="0.2">
      <c r="B15" s="389" t="s">
        <v>260</v>
      </c>
    </row>
    <row r="17" spans="1:4" x14ac:dyDescent="0.2">
      <c r="A17" s="390">
        <v>2</v>
      </c>
      <c r="B17" s="390" t="s">
        <v>244</v>
      </c>
      <c r="C17" s="390"/>
    </row>
    <row r="18" spans="1:4" x14ac:dyDescent="0.2">
      <c r="A18" s="395" t="s">
        <v>221</v>
      </c>
      <c r="B18" s="389" t="s">
        <v>245</v>
      </c>
    </row>
    <row r="19" spans="1:4" x14ac:dyDescent="0.2">
      <c r="A19" s="395" t="s">
        <v>222</v>
      </c>
      <c r="B19" s="389" t="s">
        <v>246</v>
      </c>
    </row>
    <row r="20" spans="1:4" x14ac:dyDescent="0.2">
      <c r="A20" s="395" t="s">
        <v>223</v>
      </c>
      <c r="B20" s="389" t="s">
        <v>247</v>
      </c>
    </row>
    <row r="23" spans="1:4" x14ac:dyDescent="0.2">
      <c r="A23" s="390">
        <v>2</v>
      </c>
      <c r="B23" s="390" t="s">
        <v>220</v>
      </c>
      <c r="C23" s="390"/>
    </row>
    <row r="24" spans="1:4" x14ac:dyDescent="0.2">
      <c r="A24" s="395" t="s">
        <v>221</v>
      </c>
      <c r="B24" s="389" t="s">
        <v>238</v>
      </c>
    </row>
    <row r="25" spans="1:4" x14ac:dyDescent="0.2">
      <c r="A25" s="395"/>
      <c r="B25" s="389" t="s">
        <v>239</v>
      </c>
    </row>
    <row r="26" spans="1:4" x14ac:dyDescent="0.2">
      <c r="A26" s="395" t="s">
        <v>222</v>
      </c>
      <c r="B26" s="389" t="s">
        <v>249</v>
      </c>
    </row>
    <row r="27" spans="1:4" x14ac:dyDescent="0.2">
      <c r="A27" s="395"/>
      <c r="B27" s="389" t="s">
        <v>250</v>
      </c>
    </row>
    <row r="28" spans="1:4" x14ac:dyDescent="0.2">
      <c r="A28" s="395" t="s">
        <v>223</v>
      </c>
      <c r="B28" s="389" t="s">
        <v>224</v>
      </c>
    </row>
    <row r="29" spans="1:4" x14ac:dyDescent="0.2">
      <c r="B29" s="389" t="s">
        <v>225</v>
      </c>
    </row>
    <row r="31" spans="1:4" x14ac:dyDescent="0.2">
      <c r="A31" s="390">
        <v>3</v>
      </c>
      <c r="B31" s="390" t="s">
        <v>226</v>
      </c>
      <c r="C31" s="390"/>
      <c r="D31" s="390"/>
    </row>
    <row r="32" spans="1:4" x14ac:dyDescent="0.2">
      <c r="A32" s="395" t="s">
        <v>221</v>
      </c>
      <c r="B32" s="389" t="s">
        <v>227</v>
      </c>
    </row>
    <row r="33" spans="1:2" x14ac:dyDescent="0.2">
      <c r="A33" s="395"/>
      <c r="B33" s="389" t="s">
        <v>240</v>
      </c>
    </row>
    <row r="34" spans="1:2" x14ac:dyDescent="0.2">
      <c r="A34" s="395" t="s">
        <v>222</v>
      </c>
      <c r="B34" s="389" t="s">
        <v>251</v>
      </c>
    </row>
    <row r="35" spans="1:2" x14ac:dyDescent="0.2">
      <c r="B35" s="389" t="s">
        <v>252</v>
      </c>
    </row>
    <row r="36" spans="1:2" x14ac:dyDescent="0.2">
      <c r="B36" s="389" t="s">
        <v>232</v>
      </c>
    </row>
    <row r="38" spans="1:2" x14ac:dyDescent="0.2">
      <c r="B38" s="389" t="s">
        <v>228</v>
      </c>
    </row>
    <row r="39" spans="1:2" x14ac:dyDescent="0.2">
      <c r="B39" s="389" t="s">
        <v>229</v>
      </c>
    </row>
    <row r="40" spans="1:2" x14ac:dyDescent="0.2">
      <c r="B40" s="389" t="s">
        <v>230</v>
      </c>
    </row>
    <row r="41" spans="1:2" x14ac:dyDescent="0.2">
      <c r="B41" s="389" t="s">
        <v>254</v>
      </c>
    </row>
    <row r="42" spans="1:2" x14ac:dyDescent="0.2">
      <c r="B42" s="389" t="s">
        <v>253</v>
      </c>
    </row>
    <row r="43" spans="1:2" x14ac:dyDescent="0.2">
      <c r="B43" s="389" t="s">
        <v>231</v>
      </c>
    </row>
    <row r="44" spans="1:2" x14ac:dyDescent="0.2">
      <c r="B44" s="389" t="s">
        <v>234</v>
      </c>
    </row>
    <row r="46" spans="1:2" x14ac:dyDescent="0.2">
      <c r="B46" s="389" t="s">
        <v>235</v>
      </c>
    </row>
    <row r="48" spans="1:2" x14ac:dyDescent="0.2">
      <c r="A48" s="395" t="s">
        <v>223</v>
      </c>
      <c r="B48" s="389" t="s">
        <v>237</v>
      </c>
    </row>
    <row r="49" spans="2:2" x14ac:dyDescent="0.2">
      <c r="B49" s="389" t="s">
        <v>236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58"/>
  <sheetViews>
    <sheetView topLeftCell="A17" zoomScaleNormal="100" workbookViewId="0">
      <selection activeCell="I37" sqref="I37"/>
    </sheetView>
  </sheetViews>
  <sheetFormatPr defaultRowHeight="12.75" x14ac:dyDescent="0.2"/>
  <cols>
    <col min="1" max="1" width="2.85546875" customWidth="1"/>
    <col min="2" max="2" width="22.85546875" bestFit="1" customWidth="1"/>
    <col min="3" max="3" width="14.85546875" customWidth="1"/>
    <col min="4" max="4" width="15.5703125" bestFit="1" customWidth="1"/>
    <col min="5" max="5" width="16.28515625" bestFit="1" customWidth="1"/>
    <col min="6" max="6" width="24" customWidth="1"/>
    <col min="7" max="7" width="19" customWidth="1"/>
    <col min="8" max="8" width="10.85546875" customWidth="1"/>
  </cols>
  <sheetData>
    <row r="1" spans="1:9" ht="18" x14ac:dyDescent="0.25">
      <c r="A1" s="300" t="str">
        <f>D5</f>
        <v>PG&amp;E Gas Transmission</v>
      </c>
      <c r="D1" s="52" t="s">
        <v>256</v>
      </c>
      <c r="E1" s="330">
        <f ca="1">NOW()</f>
        <v>36980.630722916663</v>
      </c>
    </row>
    <row r="2" spans="1:9" ht="16.5" thickBot="1" x14ac:dyDescent="0.3">
      <c r="B2" s="310" t="s">
        <v>58</v>
      </c>
      <c r="C2" s="8"/>
      <c r="D2" s="8"/>
      <c r="F2" s="7"/>
    </row>
    <row r="3" spans="1:9" ht="13.5" thickBot="1" x14ac:dyDescent="0.25">
      <c r="F3" s="200" t="s">
        <v>212</v>
      </c>
      <c r="G3" s="202"/>
    </row>
    <row r="4" spans="1:9" x14ac:dyDescent="0.2">
      <c r="A4" s="331" t="s">
        <v>56</v>
      </c>
      <c r="B4" s="201"/>
      <c r="C4" s="201"/>
      <c r="D4" s="202"/>
      <c r="F4" s="203" t="str">
        <f>IF(D13&gt;10,"Add More Years in workseets","")</f>
        <v/>
      </c>
      <c r="G4" s="384"/>
    </row>
    <row r="5" spans="1:9" ht="13.5" thickBot="1" x14ac:dyDescent="0.25">
      <c r="A5" s="205"/>
      <c r="B5" s="40" t="s">
        <v>48</v>
      </c>
      <c r="C5" s="40"/>
      <c r="D5" s="332" t="s">
        <v>261</v>
      </c>
      <c r="F5" s="206"/>
      <c r="G5" s="208"/>
      <c r="H5" s="196"/>
    </row>
    <row r="6" spans="1:9" x14ac:dyDescent="0.2">
      <c r="A6" s="205"/>
      <c r="B6" s="40" t="s">
        <v>68</v>
      </c>
      <c r="C6" s="40"/>
      <c r="D6" s="332" t="s">
        <v>183</v>
      </c>
      <c r="H6" s="197"/>
    </row>
    <row r="7" spans="1:9" x14ac:dyDescent="0.2">
      <c r="A7" s="205"/>
      <c r="B7" s="40" t="s">
        <v>83</v>
      </c>
      <c r="C7" s="40"/>
      <c r="D7" s="332" t="s">
        <v>77</v>
      </c>
      <c r="H7" s="25"/>
    </row>
    <row r="8" spans="1:9" x14ac:dyDescent="0.2">
      <c r="A8" s="205"/>
      <c r="B8" s="40" t="s">
        <v>85</v>
      </c>
      <c r="C8" s="40"/>
      <c r="D8" s="333">
        <v>1</v>
      </c>
      <c r="H8" s="197"/>
      <c r="I8" s="150" t="e">
        <f>IF(OR(NATMLPLoop&lt;&gt;0,NAPMLPLoop&lt;&gt;0,ChiMLPLoop&lt;&gt;0,GPSMLPLoop&lt;&gt;0),"Run MLP Macros","")</f>
        <v>#NAME?</v>
      </c>
    </row>
    <row r="9" spans="1:9" x14ac:dyDescent="0.2">
      <c r="A9" s="205"/>
      <c r="B9" s="40" t="s">
        <v>86</v>
      </c>
      <c r="C9" s="40"/>
      <c r="D9" s="333">
        <v>0</v>
      </c>
      <c r="H9" s="198"/>
    </row>
    <row r="10" spans="1:9" x14ac:dyDescent="0.2">
      <c r="A10" s="205"/>
      <c r="B10" s="40" t="s">
        <v>66</v>
      </c>
      <c r="C10" s="40"/>
      <c r="D10" s="332" t="s">
        <v>77</v>
      </c>
      <c r="H10" s="198"/>
    </row>
    <row r="11" spans="1:9" x14ac:dyDescent="0.2">
      <c r="A11" s="205"/>
      <c r="B11" s="40" t="s">
        <v>84</v>
      </c>
      <c r="C11" s="40"/>
      <c r="D11" s="333">
        <f>1-D8</f>
        <v>0</v>
      </c>
      <c r="H11" s="199"/>
    </row>
    <row r="12" spans="1:9" x14ac:dyDescent="0.2">
      <c r="A12" s="205"/>
      <c r="B12" s="40" t="s">
        <v>51</v>
      </c>
      <c r="C12" s="40"/>
      <c r="D12" s="332">
        <v>2001</v>
      </c>
      <c r="H12" s="25"/>
    </row>
    <row r="13" spans="1:9" x14ac:dyDescent="0.2">
      <c r="A13" s="205"/>
      <c r="B13" s="40" t="s">
        <v>81</v>
      </c>
      <c r="C13" s="40"/>
      <c r="D13" s="332">
        <v>10</v>
      </c>
      <c r="H13" s="26"/>
    </row>
    <row r="14" spans="1:9" x14ac:dyDescent="0.2">
      <c r="A14" s="205"/>
      <c r="B14" s="40" t="s">
        <v>59</v>
      </c>
      <c r="C14" s="40"/>
      <c r="D14" s="334">
        <v>880000</v>
      </c>
    </row>
    <row r="15" spans="1:9" x14ac:dyDescent="0.2">
      <c r="A15" s="205"/>
      <c r="B15" s="40" t="s">
        <v>62</v>
      </c>
      <c r="C15" s="40"/>
      <c r="D15" s="334">
        <v>85</v>
      </c>
    </row>
    <row r="16" spans="1:9" ht="13.5" thickBot="1" x14ac:dyDescent="0.25">
      <c r="A16" s="206"/>
      <c r="B16" s="207" t="s">
        <v>92</v>
      </c>
      <c r="C16" s="207"/>
      <c r="D16" s="335" t="s">
        <v>93</v>
      </c>
      <c r="G16" s="25"/>
    </row>
    <row r="17" spans="1:5" ht="13.5" thickBot="1" x14ac:dyDescent="0.25">
      <c r="B17" s="59"/>
      <c r="C17" s="59"/>
    </row>
    <row r="18" spans="1:5" x14ac:dyDescent="0.2">
      <c r="A18" s="331" t="s">
        <v>57</v>
      </c>
      <c r="B18" s="201"/>
      <c r="C18" s="201"/>
      <c r="D18" s="202"/>
    </row>
    <row r="19" spans="1:5" x14ac:dyDescent="0.2">
      <c r="A19" s="205"/>
      <c r="B19" s="40" t="s">
        <v>54</v>
      </c>
      <c r="C19" s="40"/>
      <c r="D19" s="336">
        <v>0.38500000000000001</v>
      </c>
    </row>
    <row r="20" spans="1:5" x14ac:dyDescent="0.2">
      <c r="A20" s="205"/>
      <c r="B20" s="40" t="s">
        <v>55</v>
      </c>
      <c r="C20" s="40"/>
      <c r="D20" s="337">
        <v>20</v>
      </c>
    </row>
    <row r="21" spans="1:5" x14ac:dyDescent="0.2">
      <c r="A21" s="205"/>
      <c r="B21" s="40" t="s">
        <v>79</v>
      </c>
      <c r="C21" s="40"/>
      <c r="D21" s="336">
        <v>0.125</v>
      </c>
      <c r="E21" s="150" t="str">
        <f>IF(CLoop=0,"","Run Consolidated Macro")</f>
        <v/>
      </c>
    </row>
    <row r="22" spans="1:5" x14ac:dyDescent="0.2">
      <c r="A22" s="205"/>
      <c r="B22" s="40" t="s">
        <v>80</v>
      </c>
      <c r="C22" s="40"/>
      <c r="D22" s="336">
        <v>0</v>
      </c>
      <c r="E22" s="69"/>
    </row>
    <row r="23" spans="1:5" x14ac:dyDescent="0.2">
      <c r="A23" s="205"/>
      <c r="B23" s="40" t="s">
        <v>87</v>
      </c>
      <c r="C23" s="40"/>
      <c r="D23" s="338">
        <v>0</v>
      </c>
      <c r="E23" s="69"/>
    </row>
    <row r="24" spans="1:5" x14ac:dyDescent="0.2">
      <c r="A24" s="205"/>
      <c r="B24" s="40" t="s">
        <v>88</v>
      </c>
      <c r="C24" s="40"/>
      <c r="D24" s="338">
        <v>7.6999999999999999E-2</v>
      </c>
      <c r="E24" s="69"/>
    </row>
    <row r="25" spans="1:5" x14ac:dyDescent="0.2">
      <c r="A25" s="205"/>
      <c r="B25" s="40" t="s">
        <v>41</v>
      </c>
      <c r="C25" s="40"/>
      <c r="D25" s="338">
        <v>7.0000000000000007E-2</v>
      </c>
      <c r="E25" s="69"/>
    </row>
    <row r="26" spans="1:5" x14ac:dyDescent="0.2">
      <c r="A26" s="205"/>
      <c r="B26" s="40" t="s">
        <v>89</v>
      </c>
      <c r="C26" s="40"/>
      <c r="D26" s="338">
        <v>0.12</v>
      </c>
      <c r="E26" s="69"/>
    </row>
    <row r="27" spans="1:5" ht="13.5" thickBot="1" x14ac:dyDescent="0.25">
      <c r="A27" s="206"/>
      <c r="B27" s="207"/>
      <c r="C27" s="207"/>
      <c r="D27" s="339"/>
      <c r="E27" s="69"/>
    </row>
    <row r="28" spans="1:5" ht="13.5" thickBot="1" x14ac:dyDescent="0.25"/>
    <row r="29" spans="1:5" x14ac:dyDescent="0.2">
      <c r="A29" s="331" t="s">
        <v>60</v>
      </c>
      <c r="B29" s="201"/>
      <c r="C29" s="201"/>
      <c r="D29" s="202"/>
    </row>
    <row r="30" spans="1:5" x14ac:dyDescent="0.2">
      <c r="A30" s="205"/>
      <c r="B30" s="40" t="s">
        <v>179</v>
      </c>
      <c r="C30" s="40"/>
      <c r="D30" s="340">
        <v>0.6</v>
      </c>
    </row>
    <row r="31" spans="1:5" x14ac:dyDescent="0.2">
      <c r="A31" s="205"/>
      <c r="B31" s="40" t="s">
        <v>63</v>
      </c>
      <c r="C31" s="40"/>
      <c r="D31" s="341">
        <v>7.4999999999999997E-2</v>
      </c>
    </row>
    <row r="32" spans="1:5" ht="13.5" thickBot="1" x14ac:dyDescent="0.25">
      <c r="A32" s="206"/>
      <c r="B32" s="207" t="s">
        <v>64</v>
      </c>
      <c r="C32" s="207"/>
      <c r="D32" s="342">
        <f>D13</f>
        <v>10</v>
      </c>
    </row>
    <row r="33" spans="1:9" x14ac:dyDescent="0.2">
      <c r="D33" s="197"/>
    </row>
    <row r="34" spans="1:9" x14ac:dyDescent="0.2">
      <c r="B34" s="25"/>
      <c r="C34" s="25"/>
      <c r="D34" s="25"/>
    </row>
    <row r="35" spans="1:9" x14ac:dyDescent="0.2">
      <c r="A35" s="10" t="s">
        <v>53</v>
      </c>
    </row>
    <row r="36" spans="1:9" ht="38.25" x14ac:dyDescent="0.2">
      <c r="C36" s="126" t="s">
        <v>95</v>
      </c>
      <c r="D36" s="126" t="s">
        <v>67</v>
      </c>
      <c r="E36" s="126" t="s">
        <v>61</v>
      </c>
      <c r="F36" s="126" t="s">
        <v>49</v>
      </c>
      <c r="G36" s="126" t="s">
        <v>50</v>
      </c>
      <c r="H36" s="126" t="s">
        <v>74</v>
      </c>
      <c r="I36" s="43" t="s">
        <v>78</v>
      </c>
    </row>
    <row r="37" spans="1:9" x14ac:dyDescent="0.2">
      <c r="B37" t="str">
        <f>'Asset 1'!A2</f>
        <v xml:space="preserve">  Asset 1- Cash Flow Analysis</v>
      </c>
      <c r="C37" s="151">
        <v>1</v>
      </c>
      <c r="D37" s="112" t="str">
        <f>$D$6</f>
        <v>ETS</v>
      </c>
      <c r="E37" s="112">
        <v>8</v>
      </c>
      <c r="F37" s="112"/>
      <c r="G37" s="112">
        <v>1</v>
      </c>
      <c r="H37" s="125">
        <v>0.125</v>
      </c>
      <c r="I37" s="164" t="str">
        <f>IF(Asset1Loop=1,"Run Macro!","Okay")</f>
        <v>Okay</v>
      </c>
    </row>
    <row r="38" spans="1:9" x14ac:dyDescent="0.2">
      <c r="B38" s="9" t="s">
        <v>96</v>
      </c>
      <c r="C38" s="153">
        <v>1</v>
      </c>
      <c r="I38" s="24"/>
    </row>
    <row r="39" spans="1:9" x14ac:dyDescent="0.2">
      <c r="I39" s="24"/>
    </row>
    <row r="40" spans="1:9" x14ac:dyDescent="0.2">
      <c r="B40" t="str">
        <f>'Asset 2'!A2</f>
        <v xml:space="preserve">  Asset 2-Cash Flow Analysis</v>
      </c>
      <c r="C40" s="151">
        <v>0</v>
      </c>
      <c r="D40" s="112" t="str">
        <f>$D$6</f>
        <v>ETS</v>
      </c>
      <c r="E40" s="112">
        <v>4</v>
      </c>
      <c r="F40" s="112"/>
      <c r="G40" s="112">
        <v>1</v>
      </c>
      <c r="H40" s="125">
        <v>0.1</v>
      </c>
      <c r="I40" s="164" t="str">
        <f>IF(MethLoop=1,"Run Macro!","Okay")</f>
        <v>Okay</v>
      </c>
    </row>
    <row r="41" spans="1:9" x14ac:dyDescent="0.2">
      <c r="B41" s="9" t="s">
        <v>96</v>
      </c>
      <c r="C41" s="153">
        <v>1</v>
      </c>
      <c r="I41" s="24"/>
    </row>
    <row r="42" spans="1:9" x14ac:dyDescent="0.2">
      <c r="I42" s="24"/>
    </row>
    <row r="43" spans="1:9" x14ac:dyDescent="0.2">
      <c r="B43" t="str">
        <f>'Asset 3'!$A$2</f>
        <v xml:space="preserve">  Asset 3- Cash Flow Analysis</v>
      </c>
      <c r="C43" s="151">
        <v>0</v>
      </c>
      <c r="D43" s="112" t="str">
        <f>$D$6</f>
        <v>ETS</v>
      </c>
      <c r="E43" s="112">
        <v>9</v>
      </c>
      <c r="F43" s="112"/>
      <c r="G43" s="112">
        <v>1</v>
      </c>
      <c r="H43" s="125">
        <v>0.1</v>
      </c>
      <c r="I43" s="165" t="str">
        <f>IF(OBLLoop=1,"Run Macro!","Okay")</f>
        <v>Okay</v>
      </c>
    </row>
    <row r="44" spans="1:9" x14ac:dyDescent="0.2">
      <c r="B44" s="9" t="s">
        <v>96</v>
      </c>
      <c r="C44" s="153">
        <v>1</v>
      </c>
      <c r="I44" s="24"/>
    </row>
    <row r="45" spans="1:9" x14ac:dyDescent="0.2">
      <c r="I45" s="24"/>
    </row>
    <row r="46" spans="1:9" x14ac:dyDescent="0.2">
      <c r="I46" s="24"/>
    </row>
    <row r="48" spans="1:9" ht="15.75" thickBot="1" x14ac:dyDescent="0.25">
      <c r="A48" s="322" t="s">
        <v>207</v>
      </c>
    </row>
    <row r="49" spans="1:6" x14ac:dyDescent="0.2">
      <c r="B49" s="209"/>
      <c r="C49" s="326" t="s">
        <v>209</v>
      </c>
      <c r="D49" s="326" t="s">
        <v>210</v>
      </c>
      <c r="E49" s="327" t="s">
        <v>211</v>
      </c>
    </row>
    <row r="50" spans="1:6" x14ac:dyDescent="0.2">
      <c r="B50" s="324" t="s">
        <v>185</v>
      </c>
      <c r="C50" s="376" t="s">
        <v>204</v>
      </c>
      <c r="D50" s="376" t="s">
        <v>204</v>
      </c>
      <c r="E50" s="377" t="s">
        <v>204</v>
      </c>
      <c r="F50" s="323"/>
    </row>
    <row r="51" spans="1:6" ht="22.5" x14ac:dyDescent="0.2">
      <c r="B51" s="324" t="s">
        <v>186</v>
      </c>
      <c r="C51" s="376" t="s">
        <v>205</v>
      </c>
      <c r="D51" s="376" t="s">
        <v>205</v>
      </c>
      <c r="E51" s="377" t="s">
        <v>205</v>
      </c>
      <c r="F51" s="323"/>
    </row>
    <row r="52" spans="1:6" ht="34.5" thickBot="1" x14ac:dyDescent="0.25">
      <c r="B52" s="325" t="s">
        <v>187</v>
      </c>
      <c r="C52" s="378" t="s">
        <v>206</v>
      </c>
      <c r="D52" s="378" t="s">
        <v>206</v>
      </c>
      <c r="E52" s="379" t="s">
        <v>206</v>
      </c>
      <c r="F52" s="323"/>
    </row>
    <row r="54" spans="1:6" ht="15.75" thickBot="1" x14ac:dyDescent="0.25">
      <c r="A54" s="322" t="s">
        <v>208</v>
      </c>
    </row>
    <row r="55" spans="1:6" x14ac:dyDescent="0.2">
      <c r="B55" s="209"/>
      <c r="C55" s="326" t="s">
        <v>209</v>
      </c>
      <c r="D55" s="326" t="s">
        <v>210</v>
      </c>
      <c r="E55" s="327" t="s">
        <v>211</v>
      </c>
    </row>
    <row r="56" spans="1:6" x14ac:dyDescent="0.2">
      <c r="B56" s="324" t="s">
        <v>185</v>
      </c>
      <c r="C56" s="376" t="s">
        <v>204</v>
      </c>
      <c r="D56" s="376" t="s">
        <v>204</v>
      </c>
      <c r="E56" s="377" t="s">
        <v>204</v>
      </c>
      <c r="F56" s="323"/>
    </row>
    <row r="57" spans="1:6" ht="22.5" x14ac:dyDescent="0.2">
      <c r="B57" s="324" t="s">
        <v>186</v>
      </c>
      <c r="C57" s="376" t="s">
        <v>255</v>
      </c>
      <c r="D57" s="376" t="s">
        <v>255</v>
      </c>
      <c r="E57" s="377" t="s">
        <v>255</v>
      </c>
      <c r="F57" s="323"/>
    </row>
    <row r="58" spans="1:6" ht="23.25" thickBot="1" x14ac:dyDescent="0.25">
      <c r="B58" s="325" t="s">
        <v>187</v>
      </c>
      <c r="C58" s="378" t="s">
        <v>255</v>
      </c>
      <c r="D58" s="378" t="s">
        <v>255</v>
      </c>
      <c r="E58" s="379" t="s">
        <v>255</v>
      </c>
      <c r="F58" s="323"/>
    </row>
  </sheetData>
  <phoneticPr fontId="0" type="noConversion"/>
  <pageMargins left="0.75" right="0.75" top="1" bottom="1" header="0.5" footer="0.5"/>
  <pageSetup scale="70" orientation="landscape" horizontalDpi="4294967292" r:id="rId1"/>
  <headerFooter alignWithMargins="0">
    <oddFooter>&amp;R&amp;F
&amp;A
&amp;D, &amp;T</oddFooter>
  </headerFooter>
  <rowBreaks count="1" manualBreakCount="1">
    <brk id="3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19050</xdr:colOff>
                    <xdr:row>35</xdr:row>
                    <xdr:rowOff>476250</xdr:rowOff>
                  </from>
                  <to>
                    <xdr:col>5</xdr:col>
                    <xdr:colOff>1581150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28575</xdr:colOff>
                    <xdr:row>39</xdr:row>
                    <xdr:rowOff>9525</xdr:rowOff>
                  </from>
                  <to>
                    <xdr:col>5</xdr:col>
                    <xdr:colOff>1562100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47625</xdr:colOff>
                    <xdr:row>42</xdr:row>
                    <xdr:rowOff>9525</xdr:rowOff>
                  </from>
                  <to>
                    <xdr:col>5</xdr:col>
                    <xdr:colOff>1581150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104775</xdr:colOff>
                    <xdr:row>36</xdr:row>
                    <xdr:rowOff>9525</xdr:rowOff>
                  </from>
                  <to>
                    <xdr:col>6</xdr:col>
                    <xdr:colOff>1219200</xdr:colOff>
                    <xdr:row>37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85725</xdr:colOff>
                    <xdr:row>39</xdr:row>
                    <xdr:rowOff>9525</xdr:rowOff>
                  </from>
                  <to>
                    <xdr:col>6</xdr:col>
                    <xdr:colOff>1238250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42</xdr:row>
                    <xdr:rowOff>9525</xdr:rowOff>
                  </from>
                  <to>
                    <xdr:col>6</xdr:col>
                    <xdr:colOff>1228725</xdr:colOff>
                    <xdr:row>43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2.75" x14ac:dyDescent="0.2"/>
  <cols>
    <col min="2" max="2" width="16.5703125" bestFit="1" customWidth="1"/>
  </cols>
  <sheetData>
    <row r="1" spans="1:8" ht="18.75" thickBot="1" x14ac:dyDescent="0.3">
      <c r="A1" s="300" t="str">
        <f>Assumptions!A1</f>
        <v>PG&amp;E Gas Transmission</v>
      </c>
      <c r="D1" s="375" t="s">
        <v>212</v>
      </c>
    </row>
    <row r="2" spans="1:8" ht="15.75" x14ac:dyDescent="0.25">
      <c r="B2" s="309" t="s">
        <v>195</v>
      </c>
      <c r="D2" s="369" t="str">
        <f>IF(CLoop&lt;&gt;0, "Warning Flag: Check Unlev. Consolid sheet and run Macro","")</f>
        <v/>
      </c>
      <c r="E2" s="370"/>
      <c r="F2" s="370"/>
      <c r="G2" s="370"/>
      <c r="H2" s="371"/>
    </row>
    <row r="3" spans="1:8" ht="18.75" thickBot="1" x14ac:dyDescent="0.3">
      <c r="A3" s="300"/>
      <c r="D3" s="372" t="str">
        <f>IF('Unlev. Consolid'!J56="","","Warning Flag: Check Unlev.Consolid sheet and separate Asset sheets")</f>
        <v/>
      </c>
      <c r="E3" s="373"/>
      <c r="F3" s="373"/>
      <c r="G3" s="373"/>
      <c r="H3" s="374"/>
    </row>
    <row r="5" spans="1:8" x14ac:dyDescent="0.2">
      <c r="A5" s="10" t="s">
        <v>188</v>
      </c>
    </row>
    <row r="6" spans="1:8" ht="13.5" thickBot="1" x14ac:dyDescent="0.25"/>
    <row r="7" spans="1:8" x14ac:dyDescent="0.2">
      <c r="B7" s="306" t="s">
        <v>190</v>
      </c>
      <c r="C7" s="307"/>
      <c r="D7" s="304">
        <f>E7-0.025</f>
        <v>0.1</v>
      </c>
      <c r="E7" s="304">
        <f>ConsDRate</f>
        <v>0.125</v>
      </c>
      <c r="F7" s="305">
        <f>E7+0.025</f>
        <v>0.15</v>
      </c>
    </row>
    <row r="8" spans="1:8" x14ac:dyDescent="0.2">
      <c r="B8" s="346" t="s">
        <v>191</v>
      </c>
      <c r="C8" s="347"/>
      <c r="D8" s="348">
        <f>'Unlev. Consolid'!M55</f>
        <v>1105091.0684142313</v>
      </c>
      <c r="E8" s="348">
        <f>'Unlev. Consolid'!N55</f>
        <v>932354.21133864543</v>
      </c>
      <c r="F8" s="349">
        <f>'Unlev. Consolid'!O55</f>
        <v>796328.32199328241</v>
      </c>
    </row>
    <row r="9" spans="1:8" ht="13.5" thickBot="1" x14ac:dyDescent="0.25">
      <c r="B9" s="303" t="s">
        <v>243</v>
      </c>
      <c r="C9" s="350" t="e">
        <f>'Unlev. Consolid'!$K$58</f>
        <v>#NUM!</v>
      </c>
      <c r="D9" s="260"/>
      <c r="E9" s="260"/>
      <c r="F9" s="351"/>
    </row>
    <row r="11" spans="1:8" x14ac:dyDescent="0.2">
      <c r="A11" s="10" t="s">
        <v>192</v>
      </c>
    </row>
    <row r="13" spans="1:8" x14ac:dyDescent="0.2">
      <c r="B13" s="8" t="s">
        <v>193</v>
      </c>
      <c r="D13" s="308">
        <f>Assumptions!D30</f>
        <v>0.6</v>
      </c>
    </row>
    <row r="14" spans="1:8" ht="13.5" thickBot="1" x14ac:dyDescent="0.25"/>
    <row r="15" spans="1:8" x14ac:dyDescent="0.2">
      <c r="B15" s="306" t="s">
        <v>190</v>
      </c>
      <c r="C15" s="302"/>
      <c r="D15" s="304">
        <f>E15-0.025</f>
        <v>0.1</v>
      </c>
      <c r="E15" s="304">
        <f>ConsDRate</f>
        <v>0.125</v>
      </c>
      <c r="F15" s="305">
        <f>E15+0.025</f>
        <v>0.15</v>
      </c>
    </row>
    <row r="16" spans="1:8" x14ac:dyDescent="0.2">
      <c r="B16" s="346" t="s">
        <v>194</v>
      </c>
      <c r="C16" s="347"/>
      <c r="D16" s="348">
        <f ca="1">'Lev. Consolid'!F7</f>
        <v>28285.846999887435</v>
      </c>
      <c r="E16" s="348">
        <f ca="1">'Lev. Consolid'!G7</f>
        <v>680551.20817129395</v>
      </c>
      <c r="F16" s="349">
        <f ca="1">'Lev. Consolid'!H7</f>
        <v>612085.93538773211</v>
      </c>
    </row>
    <row r="17" spans="2:6" ht="13.5" thickBot="1" x14ac:dyDescent="0.25">
      <c r="B17" s="303" t="s">
        <v>94</v>
      </c>
      <c r="C17" s="352">
        <f ca="1">'Lev. Consolid'!$G$9</f>
        <v>0.20306090965678206</v>
      </c>
      <c r="D17" s="260"/>
      <c r="E17" s="260"/>
      <c r="F17" s="351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69"/>
  <sheetViews>
    <sheetView zoomScale="75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C34" sqref="C34"/>
    </sheetView>
  </sheetViews>
  <sheetFormatPr defaultRowHeight="12.75" x14ac:dyDescent="0.2"/>
  <cols>
    <col min="1" max="1" width="28.140625" customWidth="1"/>
    <col min="4" max="4" width="10.140625" bestFit="1" customWidth="1"/>
    <col min="5" max="14" width="9.85546875" bestFit="1" customWidth="1"/>
    <col min="15" max="15" width="10.28515625" bestFit="1" customWidth="1"/>
  </cols>
  <sheetData>
    <row r="1" spans="1:14" ht="18" x14ac:dyDescent="0.25">
      <c r="A1" s="300" t="str">
        <f>Assumptions!A1</f>
        <v>PG&amp;E Gas Transmission</v>
      </c>
    </row>
    <row r="2" spans="1:14" ht="15.75" x14ac:dyDescent="0.25">
      <c r="A2" s="309" t="s">
        <v>196</v>
      </c>
    </row>
    <row r="3" spans="1:14" ht="13.5" thickBot="1" x14ac:dyDescent="0.25"/>
    <row r="4" spans="1:14" x14ac:dyDescent="0.2">
      <c r="A4" s="311" t="s">
        <v>37</v>
      </c>
      <c r="B4" s="201"/>
      <c r="C4" s="218" t="s">
        <v>28</v>
      </c>
      <c r="D4" s="219" t="s">
        <v>180</v>
      </c>
      <c r="F4" s="209"/>
      <c r="G4" s="210" t="s">
        <v>181</v>
      </c>
      <c r="H4" s="211"/>
      <c r="J4" s="200" t="s">
        <v>263</v>
      </c>
      <c r="K4" s="201"/>
      <c r="L4" s="201"/>
      <c r="M4" s="202"/>
    </row>
    <row r="5" spans="1:14" x14ac:dyDescent="0.2">
      <c r="A5" s="220" t="s">
        <v>184</v>
      </c>
      <c r="B5" s="40"/>
      <c r="C5" s="328">
        <f>CPurPrice</f>
        <v>932354.17248729453</v>
      </c>
      <c r="D5" s="204">
        <f>C5*(Assumptions!$D$22)</f>
        <v>0</v>
      </c>
      <c r="F5" s="205"/>
      <c r="G5" s="40"/>
      <c r="H5" s="204"/>
      <c r="J5" s="203" t="str">
        <f ca="1">IF(SUM(D51:N51)&lt;&gt;$B$8*(N12-D12+1),"Warning- Check if the Capital Structure is constant","")</f>
        <v/>
      </c>
      <c r="K5" s="40"/>
      <c r="L5" s="40"/>
      <c r="M5" s="204"/>
    </row>
    <row r="6" spans="1:14" x14ac:dyDescent="0.2">
      <c r="A6" s="220"/>
      <c r="B6" s="40"/>
      <c r="C6" s="315"/>
      <c r="D6" s="204"/>
      <c r="F6" s="212">
        <f>G6-0.025</f>
        <v>0.1</v>
      </c>
      <c r="G6" s="213">
        <f>ConsDRate</f>
        <v>0.125</v>
      </c>
      <c r="H6" s="214">
        <f>G6+0.025</f>
        <v>0.15</v>
      </c>
      <c r="J6" s="203" t="str">
        <f>IF(SUM(D48:N48)&lt;2*(N12-D12+1),"Warning:Check EBIT/Interest Expenses","")</f>
        <v>Warning:Check EBIT/Interest Expenses</v>
      </c>
      <c r="K6" s="40"/>
      <c r="L6" s="40"/>
      <c r="M6" s="204"/>
    </row>
    <row r="7" spans="1:14" ht="13.5" thickBot="1" x14ac:dyDescent="0.25">
      <c r="A7" s="205" t="s">
        <v>33</v>
      </c>
      <c r="B7" s="40"/>
      <c r="C7" s="315">
        <f>C5+D5</f>
        <v>932354.17248729453</v>
      </c>
      <c r="D7" s="204"/>
      <c r="F7" s="215">
        <f ca="1">NPV(F$6,D32:N32)+C32</f>
        <v>28285.846999887435</v>
      </c>
      <c r="G7" s="216">
        <f ca="1">NPV(G$6,E32:O32)+D32</f>
        <v>680551.20817129395</v>
      </c>
      <c r="H7" s="217">
        <f ca="1">NPV(H$6,F32:P32)+E32</f>
        <v>612085.93538773211</v>
      </c>
      <c r="J7" s="274" t="str">
        <f>IF(SUM(D49:N49)&lt;2*(N12-D12+1),"Warning: Check EBIDT/Debt Services","")</f>
        <v>Warning: Check EBIDT/Debt Services</v>
      </c>
      <c r="K7" s="207"/>
      <c r="L7" s="207"/>
      <c r="M7" s="208"/>
    </row>
    <row r="8" spans="1:14" ht="13.5" thickBot="1" x14ac:dyDescent="0.25">
      <c r="A8" s="205" t="s">
        <v>29</v>
      </c>
      <c r="B8" s="221">
        <f>Assumptions!D30</f>
        <v>0.6</v>
      </c>
      <c r="C8" s="315">
        <f>C7*$B$8</f>
        <v>559412.50349237665</v>
      </c>
      <c r="D8" s="204"/>
    </row>
    <row r="9" spans="1:14" ht="13.5" thickBot="1" x14ac:dyDescent="0.25">
      <c r="A9" s="206" t="s">
        <v>30</v>
      </c>
      <c r="B9" s="207"/>
      <c r="C9" s="317">
        <f>C7-C8</f>
        <v>372941.66899491788</v>
      </c>
      <c r="D9" s="208"/>
      <c r="F9" s="344" t="s">
        <v>168</v>
      </c>
      <c r="G9" s="345">
        <f ca="1">IRR($C$32:$O$32)</f>
        <v>0.20306090965678206</v>
      </c>
    </row>
    <row r="12" spans="1:14" x14ac:dyDescent="0.2">
      <c r="D12" s="36">
        <f>Assumptions!D12</f>
        <v>2001</v>
      </c>
      <c r="E12" s="36">
        <f>D12+1</f>
        <v>2002</v>
      </c>
      <c r="F12" s="36">
        <f t="shared" ref="F12:N12" si="0">E12+1</f>
        <v>2003</v>
      </c>
      <c r="G12" s="36">
        <f t="shared" si="0"/>
        <v>2004</v>
      </c>
      <c r="H12" s="36">
        <f t="shared" si="0"/>
        <v>2005</v>
      </c>
      <c r="I12" s="36">
        <f t="shared" si="0"/>
        <v>2006</v>
      </c>
      <c r="J12" s="36">
        <f t="shared" si="0"/>
        <v>2007</v>
      </c>
      <c r="K12" s="36">
        <f t="shared" si="0"/>
        <v>2008</v>
      </c>
      <c r="L12" s="36">
        <f t="shared" si="0"/>
        <v>2009</v>
      </c>
      <c r="M12" s="36">
        <f t="shared" si="0"/>
        <v>2010</v>
      </c>
      <c r="N12" s="36">
        <f t="shared" si="0"/>
        <v>2011</v>
      </c>
    </row>
    <row r="13" spans="1:14" x14ac:dyDescent="0.2">
      <c r="A13" s="78" t="s">
        <v>165</v>
      </c>
      <c r="B13" s="180">
        <f>1-$B$8</f>
        <v>0.4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</row>
    <row r="14" spans="1:14" x14ac:dyDescent="0.2">
      <c r="A14" s="53" t="s">
        <v>1</v>
      </c>
      <c r="B14" s="39"/>
      <c r="C14" s="39"/>
      <c r="D14" s="57">
        <f>'Unlev. Consolid'!G20</f>
        <v>168070</v>
      </c>
      <c r="E14" s="57">
        <f>'Unlev. Consolid'!H20</f>
        <v>168070</v>
      </c>
      <c r="F14" s="57">
        <f>'Unlev. Consolid'!I20</f>
        <v>168070</v>
      </c>
      <c r="G14" s="57">
        <f>'Unlev. Consolid'!J20</f>
        <v>168070</v>
      </c>
      <c r="H14" s="57">
        <f>'Unlev. Consolid'!K20</f>
        <v>168070</v>
      </c>
      <c r="I14" s="57">
        <f>'Unlev. Consolid'!L20</f>
        <v>168070</v>
      </c>
      <c r="J14" s="57">
        <f>'Unlev. Consolid'!M20</f>
        <v>168070</v>
      </c>
      <c r="K14" s="57">
        <f>'Unlev. Consolid'!N20</f>
        <v>168070</v>
      </c>
      <c r="L14" s="57">
        <f>'Unlev. Consolid'!O20</f>
        <v>168070</v>
      </c>
      <c r="M14" s="57">
        <f>'Unlev. Consolid'!P20</f>
        <v>168070</v>
      </c>
      <c r="N14" s="57">
        <f>'Unlev. Consolid'!Q20</f>
        <v>168070</v>
      </c>
    </row>
    <row r="15" spans="1:14" x14ac:dyDescent="0.2">
      <c r="A15" t="s">
        <v>25</v>
      </c>
      <c r="D15" s="13">
        <f>'Unlev. Consolid'!G22</f>
        <v>47997.408624364725</v>
      </c>
      <c r="E15" s="13">
        <f>'Unlev. Consolid'!H22</f>
        <v>49377.10862436473</v>
      </c>
      <c r="F15" s="13">
        <f>'Unlev. Consolid'!I22</f>
        <v>50756.808624364727</v>
      </c>
      <c r="G15" s="13">
        <f>'Unlev. Consolid'!J22</f>
        <v>52136.508624364731</v>
      </c>
      <c r="H15" s="13">
        <f>'Unlev. Consolid'!K22</f>
        <v>53516.208624364728</v>
      </c>
      <c r="I15" s="13">
        <f>'Unlev. Consolid'!L22</f>
        <v>54895.908624364733</v>
      </c>
      <c r="J15" s="13">
        <f>'Unlev. Consolid'!M22</f>
        <v>56275.60862436473</v>
      </c>
      <c r="K15" s="13">
        <f>'Unlev. Consolid'!N22</f>
        <v>57655.308624364727</v>
      </c>
      <c r="L15" s="13">
        <f>'Unlev. Consolid'!O22</f>
        <v>59035.008624364731</v>
      </c>
      <c r="M15" s="13">
        <f>'Unlev. Consolid'!P22</f>
        <v>60414.708624364735</v>
      </c>
      <c r="N15" s="13">
        <f>'Unlev. Consolid'!Q22</f>
        <v>61794.408624364733</v>
      </c>
    </row>
    <row r="16" spans="1:14" ht="15" x14ac:dyDescent="0.35">
      <c r="A16" t="s">
        <v>26</v>
      </c>
      <c r="D16" s="3">
        <f>'Unlev. Consolid'!G23</f>
        <v>0</v>
      </c>
      <c r="E16" s="3">
        <f>'Unlev. Consolid'!H23</f>
        <v>0</v>
      </c>
      <c r="F16" s="3">
        <f>'Unlev. Consolid'!I23</f>
        <v>0</v>
      </c>
      <c r="G16" s="3">
        <f>'Unlev. Consolid'!J23</f>
        <v>0</v>
      </c>
      <c r="H16" s="3">
        <f>'Unlev. Consolid'!K23</f>
        <v>0</v>
      </c>
      <c r="I16" s="3">
        <f>'Unlev. Consolid'!L23</f>
        <v>0</v>
      </c>
      <c r="J16" s="3">
        <f>'Unlev. Consolid'!M23</f>
        <v>0</v>
      </c>
      <c r="K16" s="3">
        <f>'Unlev. Consolid'!N23</f>
        <v>0</v>
      </c>
      <c r="L16" s="3">
        <f>'Unlev. Consolid'!O23</f>
        <v>0</v>
      </c>
      <c r="M16" s="3">
        <f>'Unlev. Consolid'!P23</f>
        <v>0</v>
      </c>
      <c r="N16" s="3">
        <f>'Unlev. Consolid'!Q23</f>
        <v>0</v>
      </c>
    </row>
    <row r="17" spans="1:84" x14ac:dyDescent="0.2">
      <c r="A17" s="53" t="s">
        <v>2</v>
      </c>
      <c r="B17" s="39"/>
      <c r="C17" s="39"/>
      <c r="D17" s="57">
        <f>D14-D15-D16</f>
        <v>120072.59137563527</v>
      </c>
      <c r="E17" s="57">
        <f>E14-E15-E16</f>
        <v>118692.89137563527</v>
      </c>
      <c r="F17" s="57">
        <f t="shared" ref="F17:N17" si="1">F14-F15-F16</f>
        <v>117313.19137563527</v>
      </c>
      <c r="G17" s="57">
        <f t="shared" si="1"/>
        <v>115933.49137563526</v>
      </c>
      <c r="H17" s="57">
        <f t="shared" si="1"/>
        <v>114553.79137563528</v>
      </c>
      <c r="I17" s="57">
        <f t="shared" si="1"/>
        <v>113174.09137563527</v>
      </c>
      <c r="J17" s="57">
        <f t="shared" si="1"/>
        <v>111794.39137563527</v>
      </c>
      <c r="K17" s="57">
        <f t="shared" si="1"/>
        <v>110414.69137563527</v>
      </c>
      <c r="L17" s="57">
        <f t="shared" si="1"/>
        <v>109034.99137563526</v>
      </c>
      <c r="M17" s="58">
        <f t="shared" si="1"/>
        <v>107655.29137563526</v>
      </c>
      <c r="N17" s="58">
        <f t="shared" si="1"/>
        <v>106275.59137563527</v>
      </c>
    </row>
    <row r="18" spans="1:84" ht="15" x14ac:dyDescent="0.35">
      <c r="A18" t="s">
        <v>27</v>
      </c>
      <c r="B18" s="195">
        <f>Assumptions!D31</f>
        <v>7.4999999999999997E-2</v>
      </c>
      <c r="D18" s="3">
        <f>$B$18*D42</f>
        <v>41955.937761928246</v>
      </c>
      <c r="E18" s="3">
        <f ca="1">$B$18*E42</f>
        <v>41037.784373831833</v>
      </c>
      <c r="F18" s="3">
        <f ca="1">$B$18*F42</f>
        <v>39309.144891760014</v>
      </c>
      <c r="G18" s="3">
        <f t="shared" ref="G18:N18" ca="1" si="2">$B$18*G42</f>
        <v>37654.901407277444</v>
      </c>
      <c r="H18" s="3">
        <f t="shared" ca="1" si="2"/>
        <v>36062.964445770791</v>
      </c>
      <c r="I18" s="3">
        <f t="shared" ca="1" si="2"/>
        <v>34524.092686994372</v>
      </c>
      <c r="J18" s="3">
        <f t="shared" ca="1" si="2"/>
        <v>33030.325468071343</v>
      </c>
      <c r="K18" s="3">
        <f t="shared" ca="1" si="2"/>
        <v>31523.474173624847</v>
      </c>
      <c r="L18" s="3">
        <f t="shared" ca="1" si="2"/>
        <v>29950.233784728349</v>
      </c>
      <c r="M18" s="3">
        <f t="shared" ca="1" si="2"/>
        <v>28308.94119117302</v>
      </c>
      <c r="N18" s="3">
        <f t="shared" ca="1" si="2"/>
        <v>26602.874806771539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84" x14ac:dyDescent="0.2">
      <c r="A19" s="53" t="s">
        <v>31</v>
      </c>
      <c r="B19" s="39"/>
      <c r="C19" s="39"/>
      <c r="D19" s="61">
        <f>D17-D18</f>
        <v>78116.653613707022</v>
      </c>
      <c r="E19" s="61">
        <f t="shared" ref="E19:N19" ca="1" si="3">E17-E18</f>
        <v>77655.107001803437</v>
      </c>
      <c r="F19" s="61">
        <f t="shared" ca="1" si="3"/>
        <v>78004.046483875252</v>
      </c>
      <c r="G19" s="61">
        <f t="shared" ca="1" si="3"/>
        <v>78278.589968357817</v>
      </c>
      <c r="H19" s="61">
        <f t="shared" ca="1" si="3"/>
        <v>78490.826929864488</v>
      </c>
      <c r="I19" s="61">
        <f t="shared" ca="1" si="3"/>
        <v>78649.998688640888</v>
      </c>
      <c r="J19" s="61">
        <f t="shared" ca="1" si="3"/>
        <v>78764.065907563927</v>
      </c>
      <c r="K19" s="61">
        <f t="shared" ca="1" si="3"/>
        <v>78891.217202010419</v>
      </c>
      <c r="L19" s="61">
        <f t="shared" ca="1" si="3"/>
        <v>79084.757590906913</v>
      </c>
      <c r="M19" s="62">
        <f t="shared" ca="1" si="3"/>
        <v>79346.350184462237</v>
      </c>
      <c r="N19" s="62">
        <f t="shared" ca="1" si="3"/>
        <v>79672.716568863732</v>
      </c>
    </row>
    <row r="20" spans="1:84" ht="13.5" thickBot="1" x14ac:dyDescent="0.25">
      <c r="A20" t="s">
        <v>166</v>
      </c>
      <c r="B20" s="194">
        <f>Assumptions!D19</f>
        <v>0.38500000000000001</v>
      </c>
      <c r="D20" s="33">
        <f>D19*$B$20</f>
        <v>30074.911641277205</v>
      </c>
      <c r="E20" s="33">
        <f t="shared" ref="E20:N20" ca="1" si="4">E19*$B$20</f>
        <v>29897.216195694324</v>
      </c>
      <c r="F20" s="33">
        <f t="shared" ca="1" si="4"/>
        <v>30031.557896291972</v>
      </c>
      <c r="G20" s="33">
        <f t="shared" ca="1" si="4"/>
        <v>30137.25713781776</v>
      </c>
      <c r="H20" s="33">
        <f t="shared" ca="1" si="4"/>
        <v>30218.96836799783</v>
      </c>
      <c r="I20" s="33">
        <f t="shared" ca="1" si="4"/>
        <v>30280.249495126744</v>
      </c>
      <c r="J20" s="33">
        <f t="shared" ca="1" si="4"/>
        <v>30324.165374412114</v>
      </c>
      <c r="K20" s="33">
        <f t="shared" ca="1" si="4"/>
        <v>30373.118622774011</v>
      </c>
      <c r="L20" s="33">
        <f t="shared" ca="1" si="4"/>
        <v>30447.631672499163</v>
      </c>
      <c r="M20" s="33">
        <f t="shared" ca="1" si="4"/>
        <v>30548.344821017963</v>
      </c>
      <c r="N20" s="33">
        <f t="shared" ca="1" si="4"/>
        <v>30673.995879012538</v>
      </c>
    </row>
    <row r="21" spans="1:84" ht="13.5" thickBot="1" x14ac:dyDescent="0.25">
      <c r="A21" s="53" t="s">
        <v>16</v>
      </c>
      <c r="B21" s="39"/>
      <c r="C21" s="39"/>
      <c r="D21" s="57">
        <f>D19-D20</f>
        <v>48041.741972429816</v>
      </c>
      <c r="E21" s="57">
        <f t="shared" ref="E21:N21" ca="1" si="5">E19-E20</f>
        <v>47757.890806109113</v>
      </c>
      <c r="F21" s="57">
        <f t="shared" ca="1" si="5"/>
        <v>47972.488587583284</v>
      </c>
      <c r="G21" s="57">
        <f t="shared" ca="1" si="5"/>
        <v>48141.332830540057</v>
      </c>
      <c r="H21" s="343">
        <f t="shared" ca="1" si="5"/>
        <v>48271.858561866655</v>
      </c>
      <c r="I21" s="57">
        <f t="shared" ca="1" si="5"/>
        <v>48369.749193514144</v>
      </c>
      <c r="J21" s="57">
        <f t="shared" ca="1" si="5"/>
        <v>48439.900533151813</v>
      </c>
      <c r="K21" s="57">
        <f t="shared" ca="1" si="5"/>
        <v>48518.098579236408</v>
      </c>
      <c r="L21" s="57">
        <f t="shared" ca="1" si="5"/>
        <v>48637.12591840775</v>
      </c>
      <c r="M21" s="58">
        <f t="shared" ca="1" si="5"/>
        <v>48798.005363444274</v>
      </c>
      <c r="N21" s="58">
        <f t="shared" ca="1" si="5"/>
        <v>48998.720689851194</v>
      </c>
    </row>
    <row r="22" spans="1:84" x14ac:dyDescent="0.2">
      <c r="B22" s="5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84" x14ac:dyDescent="0.2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</row>
    <row r="24" spans="1:84" ht="15" x14ac:dyDescent="0.35">
      <c r="A24" t="s">
        <v>39</v>
      </c>
      <c r="B24" s="51">
        <v>0</v>
      </c>
      <c r="D24" s="6">
        <f t="shared" ref="D24:N24" si="6">+(D21-D22)*$B$16</f>
        <v>0</v>
      </c>
      <c r="E24" s="6">
        <f t="shared" ca="1" si="6"/>
        <v>0</v>
      </c>
      <c r="F24" s="6">
        <f t="shared" ca="1" si="6"/>
        <v>0</v>
      </c>
      <c r="G24" s="6">
        <f t="shared" ca="1" si="6"/>
        <v>0</v>
      </c>
      <c r="H24" s="6">
        <f t="shared" ca="1" si="6"/>
        <v>0</v>
      </c>
      <c r="I24" s="6">
        <f t="shared" ca="1" si="6"/>
        <v>0</v>
      </c>
      <c r="J24" s="6">
        <f t="shared" ca="1" si="6"/>
        <v>0</v>
      </c>
      <c r="K24" s="6">
        <f t="shared" ca="1" si="6"/>
        <v>0</v>
      </c>
      <c r="L24" s="6">
        <f t="shared" ca="1" si="6"/>
        <v>0</v>
      </c>
      <c r="M24" s="6">
        <f t="shared" ca="1" si="6"/>
        <v>0</v>
      </c>
      <c r="N24" s="6">
        <f t="shared" ca="1" si="6"/>
        <v>0</v>
      </c>
      <c r="O24" s="17" t="s">
        <v>1</v>
      </c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</row>
    <row r="25" spans="1:84" x14ac:dyDescent="0.2">
      <c r="A25" t="s">
        <v>40</v>
      </c>
      <c r="D25" s="1">
        <f>+D21-D24</f>
        <v>48041.741972429816</v>
      </c>
      <c r="E25" s="1">
        <f t="shared" ref="E25:M25" ca="1" si="7">+E21-E24</f>
        <v>47757.890806109113</v>
      </c>
      <c r="F25" s="1">
        <f t="shared" ca="1" si="7"/>
        <v>47972.488587583284</v>
      </c>
      <c r="G25" s="1">
        <f t="shared" ca="1" si="7"/>
        <v>48141.332830540057</v>
      </c>
      <c r="H25" s="1">
        <f t="shared" ca="1" si="7"/>
        <v>48271.858561866655</v>
      </c>
      <c r="I25" s="1">
        <f t="shared" ca="1" si="7"/>
        <v>48369.749193514144</v>
      </c>
      <c r="J25" s="1">
        <f t="shared" ca="1" si="7"/>
        <v>48439.900533151813</v>
      </c>
      <c r="K25" s="1">
        <f t="shared" ca="1" si="7"/>
        <v>48518.098579236408</v>
      </c>
      <c r="L25" s="1">
        <f t="shared" ca="1" si="7"/>
        <v>48637.12591840775</v>
      </c>
      <c r="M25" s="1">
        <f t="shared" ca="1" si="7"/>
        <v>48798.005363444274</v>
      </c>
      <c r="N25" s="1">
        <f ca="1">+N21-N24</f>
        <v>48998.720689851194</v>
      </c>
      <c r="O25" s="17" t="s">
        <v>21</v>
      </c>
    </row>
    <row r="26" spans="1:84" s="184" customFormat="1" x14ac:dyDescent="0.2">
      <c r="A26" s="179" t="s">
        <v>38</v>
      </c>
      <c r="B26" s="182"/>
      <c r="C26" s="182"/>
      <c r="D26" s="183">
        <f t="shared" ref="D26:N26" ca="1" si="8">IF(D25/D46&lt;0,"NA ",D25/D46)</f>
        <v>0.13170048174785753</v>
      </c>
      <c r="E26" s="183">
        <f t="shared" ca="1" si="8"/>
        <v>0.136679714872493</v>
      </c>
      <c r="F26" s="183">
        <f t="shared" ca="1" si="8"/>
        <v>0.14332543080460902</v>
      </c>
      <c r="G26" s="183">
        <f t="shared" ca="1" si="8"/>
        <v>0.1501790001645551</v>
      </c>
      <c r="H26" s="183">
        <f t="shared" ca="1" si="8"/>
        <v>0.15729838688145345</v>
      </c>
      <c r="I26" s="183">
        <f t="shared" ca="1" si="8"/>
        <v>0.16474547880342386</v>
      </c>
      <c r="J26" s="183">
        <f t="shared" ca="1" si="8"/>
        <v>0.17287081937621815</v>
      </c>
      <c r="K26" s="183">
        <f t="shared" ca="1" si="8"/>
        <v>0.18224519145313919</v>
      </c>
      <c r="L26" s="183">
        <f t="shared" ca="1" si="8"/>
        <v>0.19328439834150307</v>
      </c>
      <c r="M26" s="183">
        <f t="shared" ca="1" si="8"/>
        <v>0.20636023900657924</v>
      </c>
      <c r="N26" s="183">
        <f t="shared" ca="1" si="8"/>
        <v>0.2220149905727499</v>
      </c>
      <c r="O26" s="186">
        <f>O28/N14</f>
        <v>8</v>
      </c>
    </row>
    <row r="27" spans="1:84" x14ac:dyDescent="0.2">
      <c r="B27" s="33"/>
      <c r="C27" s="185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</row>
    <row r="28" spans="1:84" x14ac:dyDescent="0.2">
      <c r="A28" s="7" t="s">
        <v>46</v>
      </c>
      <c r="D28" s="13">
        <f>D21+D15+'Unlev. Consolid'!G27</f>
        <v>96039.150596794541</v>
      </c>
      <c r="E28" s="13">
        <f ca="1">E21+E15+'Unlev. Consolid'!H27</f>
        <v>113766.10151881621</v>
      </c>
      <c r="F28" s="13">
        <f ca="1">F21+F15+'Unlev. Consolid'!I27</f>
        <v>112327.45490941811</v>
      </c>
      <c r="G28" s="13">
        <f ca="1">G21+G15+'Unlev. Consolid'!J27</f>
        <v>111111.70975291022</v>
      </c>
      <c r="H28" s="13">
        <f ca="1">H21+H15+'Unlev. Consolid'!K27</f>
        <v>110063.00875689823</v>
      </c>
      <c r="I28" s="13">
        <f ca="1">I21+I15+'Unlev. Consolid'!L27</f>
        <v>109158.57628069246</v>
      </c>
      <c r="J28" s="13">
        <f ca="1">J21+J15+'Unlev. Consolid'!M27</f>
        <v>109519.48485418502</v>
      </c>
      <c r="K28" s="13">
        <f ca="1">K21+K15+'Unlev. Consolid'!N27</f>
        <v>111072.99611026961</v>
      </c>
      <c r="L28" s="13">
        <f ca="1">L21+L15+'Unlev. Consolid'!O27</f>
        <v>112704.29466408172</v>
      </c>
      <c r="M28" s="13">
        <f ca="1">M21+M15+'Unlev. Consolid'!P27</f>
        <v>114304.59168347748</v>
      </c>
      <c r="N28" s="13">
        <f ca="1">N21+N15+'Unlev. Consolid'!Q27</f>
        <v>116017.57822452516</v>
      </c>
      <c r="O28" s="13">
        <f>'Unlev. Consolid'!R39</f>
        <v>1344560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pans="1:84" x14ac:dyDescent="0.2">
      <c r="A29" t="s">
        <v>23</v>
      </c>
      <c r="D29" s="13">
        <f>'Unlev. Consolid'!G34</f>
        <v>27594</v>
      </c>
      <c r="E29" s="13">
        <f>'Unlev. Consolid'!H34</f>
        <v>27594</v>
      </c>
      <c r="F29" s="13">
        <f>'Unlev. Consolid'!I34</f>
        <v>27594</v>
      </c>
      <c r="G29" s="13">
        <f>'Unlev. Consolid'!J34</f>
        <v>27594</v>
      </c>
      <c r="H29" s="13">
        <f>'Unlev. Consolid'!K34</f>
        <v>27594</v>
      </c>
      <c r="I29" s="13">
        <f>'Unlev. Consolid'!L34</f>
        <v>27594</v>
      </c>
      <c r="J29" s="13">
        <f>'Unlev. Consolid'!M34</f>
        <v>27594</v>
      </c>
      <c r="K29" s="13">
        <f>'Unlev. Consolid'!N34</f>
        <v>27594</v>
      </c>
      <c r="L29" s="13">
        <f>'Unlev. Consolid'!O34</f>
        <v>27594</v>
      </c>
      <c r="M29" s="13">
        <f>'Unlev. Consolid'!P34</f>
        <v>27594</v>
      </c>
      <c r="N29" s="13">
        <f>'Unlev. Consolid'!Q34</f>
        <v>27594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84" x14ac:dyDescent="0.2">
      <c r="A30" t="s">
        <v>34</v>
      </c>
      <c r="B30" s="193"/>
      <c r="D30" s="1">
        <f ca="1">D44</f>
        <v>12242.045174618834</v>
      </c>
      <c r="E30" s="1">
        <f ca="1">E44</f>
        <v>23048.526427624281</v>
      </c>
      <c r="F30" s="1">
        <f t="shared" ref="F30:N30" ca="1" si="9">F44</f>
        <v>22056.579793100886</v>
      </c>
      <c r="G30" s="1">
        <f t="shared" ca="1" si="9"/>
        <v>21225.826153422066</v>
      </c>
      <c r="H30" s="1">
        <f t="shared" ca="1" si="9"/>
        <v>20518.290117018914</v>
      </c>
      <c r="I30" s="1">
        <f t="shared" ca="1" si="9"/>
        <v>19916.896252306993</v>
      </c>
      <c r="J30" s="1">
        <f t="shared" ca="1" si="9"/>
        <v>20091.350592619914</v>
      </c>
      <c r="K30" s="1">
        <f t="shared" ca="1" si="9"/>
        <v>20976.538518619956</v>
      </c>
      <c r="L30" s="1">
        <f t="shared" ca="1" si="9"/>
        <v>21883.901247404399</v>
      </c>
      <c r="M30" s="1">
        <f t="shared" ca="1" si="9"/>
        <v>22747.551792019745</v>
      </c>
      <c r="N30" s="1">
        <f t="shared" ca="1" si="9"/>
        <v>23654.914520804479</v>
      </c>
      <c r="O30" s="109">
        <f ca="1">N43</f>
        <v>331050.08290281607</v>
      </c>
    </row>
    <row r="31" spans="1:84" s="40" customFormat="1" x14ac:dyDescent="0.2">
      <c r="A31" s="179" t="s">
        <v>32</v>
      </c>
      <c r="B31" s="187"/>
      <c r="C31" s="39"/>
      <c r="D31" s="61">
        <f ca="1">(D28-D29-D30)</f>
        <v>56203.105422175708</v>
      </c>
      <c r="E31" s="61">
        <f t="shared" ref="E31:N31" ca="1" si="10">(E28-E29-E30)</f>
        <v>63123.575091191931</v>
      </c>
      <c r="F31" s="61">
        <f t="shared" ca="1" si="10"/>
        <v>62676.875116317227</v>
      </c>
      <c r="G31" s="61">
        <f t="shared" ca="1" si="10"/>
        <v>62291.883599488152</v>
      </c>
      <c r="H31" s="61">
        <f t="shared" ca="1" si="10"/>
        <v>61950.718639879313</v>
      </c>
      <c r="I31" s="61">
        <f t="shared" ca="1" si="10"/>
        <v>61647.680028385468</v>
      </c>
      <c r="J31" s="61">
        <f t="shared" ca="1" si="10"/>
        <v>61834.134261565108</v>
      </c>
      <c r="K31" s="61">
        <f t="shared" ca="1" si="10"/>
        <v>62502.457591649654</v>
      </c>
      <c r="L31" s="61">
        <f t="shared" ca="1" si="10"/>
        <v>63226.393416677325</v>
      </c>
      <c r="M31" s="61">
        <f t="shared" ca="1" si="10"/>
        <v>63963.039891457738</v>
      </c>
      <c r="N31" s="61">
        <f t="shared" ca="1" si="10"/>
        <v>64768.663703720682</v>
      </c>
      <c r="O31" s="61">
        <f ca="1">(O28-O29-O30)</f>
        <v>1013509.9170971839</v>
      </c>
    </row>
    <row r="32" spans="1:84" x14ac:dyDescent="0.2">
      <c r="A32" t="s">
        <v>167</v>
      </c>
      <c r="B32" s="133">
        <f>Assumptions!D8</f>
        <v>1</v>
      </c>
      <c r="C32" s="27">
        <f>-C9</f>
        <v>-372941.66899491788</v>
      </c>
      <c r="D32" s="27">
        <f ca="1">$B$32*D31</f>
        <v>56203.105422175708</v>
      </c>
      <c r="E32" s="27">
        <f t="shared" ref="E32:O32" ca="1" si="11">$B$32*E31</f>
        <v>63123.575091191931</v>
      </c>
      <c r="F32" s="27">
        <f t="shared" ca="1" si="11"/>
        <v>62676.875116317227</v>
      </c>
      <c r="G32" s="27">
        <f t="shared" ca="1" si="11"/>
        <v>62291.883599488152</v>
      </c>
      <c r="H32" s="27">
        <f t="shared" ca="1" si="11"/>
        <v>61950.718639879313</v>
      </c>
      <c r="I32" s="27">
        <f t="shared" ca="1" si="11"/>
        <v>61647.680028385468</v>
      </c>
      <c r="J32" s="27">
        <f t="shared" ca="1" si="11"/>
        <v>61834.134261565108</v>
      </c>
      <c r="K32" s="27">
        <f t="shared" ca="1" si="11"/>
        <v>62502.457591649654</v>
      </c>
      <c r="L32" s="27">
        <f t="shared" ca="1" si="11"/>
        <v>63226.393416677325</v>
      </c>
      <c r="M32" s="27">
        <f t="shared" ca="1" si="11"/>
        <v>63963.039891457738</v>
      </c>
      <c r="N32" s="27">
        <f t="shared" ca="1" si="11"/>
        <v>64768.663703720682</v>
      </c>
      <c r="O32" s="27">
        <f t="shared" ca="1" si="11"/>
        <v>1013509.9170971839</v>
      </c>
    </row>
    <row r="33" spans="1:21" x14ac:dyDescent="0.2">
      <c r="B33" s="133"/>
      <c r="C33" s="27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</row>
    <row r="34" spans="1:21" x14ac:dyDescent="0.2">
      <c r="C34" s="2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"/>
      <c r="Q34" s="1"/>
      <c r="R34" s="1"/>
      <c r="S34" s="1"/>
      <c r="T34" s="1"/>
      <c r="U34" s="1"/>
    </row>
    <row r="35" spans="1:21" x14ac:dyDescent="0.2">
      <c r="A35" s="47"/>
      <c r="B35" s="188"/>
      <c r="C35" s="2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"/>
      <c r="Q35" s="1"/>
      <c r="R35" s="1"/>
      <c r="S35" s="1"/>
      <c r="T35" s="1"/>
      <c r="U35" s="1"/>
    </row>
    <row r="36" spans="1:21" s="40" customFormat="1" x14ac:dyDescent="0.2">
      <c r="B36" s="189"/>
      <c r="C36" s="174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</row>
    <row r="37" spans="1:21" x14ac:dyDescent="0.2">
      <c r="A37" s="52" t="s">
        <v>169</v>
      </c>
      <c r="C37" s="25"/>
      <c r="J37" s="1"/>
      <c r="K37" s="1"/>
      <c r="L37" s="103"/>
      <c r="M37" s="103"/>
      <c r="N37" s="103"/>
      <c r="O37" s="103"/>
      <c r="P37" s="103"/>
      <c r="Q37" s="103"/>
      <c r="R37" s="103"/>
      <c r="S37" s="103"/>
      <c r="T37" s="103"/>
      <c r="U37" s="1"/>
    </row>
    <row r="38" spans="1:21" x14ac:dyDescent="0.2">
      <c r="A38" t="s">
        <v>170</v>
      </c>
      <c r="C38" s="25"/>
      <c r="D38" s="1">
        <f ca="1">D42-D30</f>
        <v>547170.45831775782</v>
      </c>
      <c r="E38" s="1">
        <f ca="1">E42-E30</f>
        <v>524121.93189013354</v>
      </c>
      <c r="F38" s="1">
        <f t="shared" ref="F38:N38" ca="1" si="12">F42-F30</f>
        <v>502065.35209703265</v>
      </c>
      <c r="G38" s="1">
        <f t="shared" ca="1" si="12"/>
        <v>480839.52594361058</v>
      </c>
      <c r="H38" s="1">
        <f t="shared" ca="1" si="12"/>
        <v>460321.23582659167</v>
      </c>
      <c r="I38" s="1">
        <f t="shared" ca="1" si="12"/>
        <v>440404.33957428468</v>
      </c>
      <c r="J38" s="1">
        <f t="shared" ca="1" si="12"/>
        <v>420312.98898166465</v>
      </c>
      <c r="K38" s="1">
        <f t="shared" ca="1" si="12"/>
        <v>399336.45046304469</v>
      </c>
      <c r="L38" s="1">
        <f t="shared" ca="1" si="12"/>
        <v>377452.54921564029</v>
      </c>
      <c r="M38" s="1">
        <f t="shared" ca="1" si="12"/>
        <v>354704.99742362055</v>
      </c>
      <c r="N38" s="1">
        <f t="shared" ca="1" si="12"/>
        <v>331050.08290281607</v>
      </c>
      <c r="O38" s="1"/>
      <c r="P38" s="1"/>
      <c r="Q38" s="1"/>
      <c r="R38" s="1"/>
      <c r="S38" s="1"/>
      <c r="T38" s="1"/>
      <c r="U38" s="1"/>
    </row>
    <row r="39" spans="1:21" x14ac:dyDescent="0.2">
      <c r="A39" t="s">
        <v>171</v>
      </c>
      <c r="D39" s="1">
        <f ca="1">$C$9+D25-D31</f>
        <v>364780.30554517196</v>
      </c>
      <c r="E39" s="1">
        <f ca="1">E45+E25-E31</f>
        <v>349414.62126008916</v>
      </c>
      <c r="F39" s="1">
        <f t="shared" ref="F39:N39" ca="1" si="13">F45+F25-F31</f>
        <v>334710.23473135516</v>
      </c>
      <c r="G39" s="1">
        <f t="shared" ca="1" si="13"/>
        <v>320559.68396240706</v>
      </c>
      <c r="H39" s="1">
        <f t="shared" ca="1" si="13"/>
        <v>306880.82388439443</v>
      </c>
      <c r="I39" s="1">
        <f t="shared" ca="1" si="13"/>
        <v>293602.89304952312</v>
      </c>
      <c r="J39" s="1">
        <f t="shared" ca="1" si="13"/>
        <v>280208.65932110976</v>
      </c>
      <c r="K39" s="1">
        <f t="shared" ca="1" si="13"/>
        <v>266224.30030869652</v>
      </c>
      <c r="L39" s="1">
        <f t="shared" ca="1" si="13"/>
        <v>251635.0328104269</v>
      </c>
      <c r="M39" s="1">
        <f t="shared" ca="1" si="13"/>
        <v>236469.99828241343</v>
      </c>
      <c r="N39" s="1">
        <f t="shared" ca="1" si="13"/>
        <v>220700.05526854424</v>
      </c>
      <c r="O39" s="1"/>
      <c r="P39" s="1"/>
      <c r="Q39" s="1"/>
      <c r="R39" s="1"/>
      <c r="S39" s="1"/>
      <c r="T39" s="1"/>
    </row>
    <row r="40" spans="1:21" x14ac:dyDescent="0.2">
      <c r="A40" s="24" t="s">
        <v>172</v>
      </c>
      <c r="D40" s="1">
        <f ca="1">D38+D39</f>
        <v>911950.76386292977</v>
      </c>
      <c r="E40" s="1">
        <f ca="1">E38+E39</f>
        <v>873536.55315022264</v>
      </c>
      <c r="F40" s="1">
        <f t="shared" ref="F40:N40" ca="1" si="14">F38+F39</f>
        <v>836775.58682838781</v>
      </c>
      <c r="G40" s="1">
        <f t="shared" ca="1" si="14"/>
        <v>801399.20990601764</v>
      </c>
      <c r="H40" s="1">
        <f t="shared" ca="1" si="14"/>
        <v>767202.0597109861</v>
      </c>
      <c r="I40" s="1">
        <f t="shared" ca="1" si="14"/>
        <v>734007.23262380785</v>
      </c>
      <c r="J40" s="1">
        <f t="shared" ca="1" si="14"/>
        <v>700521.64830277441</v>
      </c>
      <c r="K40" s="1">
        <f t="shared" ca="1" si="14"/>
        <v>665560.75077174115</v>
      </c>
      <c r="L40" s="1">
        <f t="shared" ca="1" si="14"/>
        <v>629087.58202606719</v>
      </c>
      <c r="M40" s="1">
        <f t="shared" ca="1" si="14"/>
        <v>591174.99570603401</v>
      </c>
      <c r="N40" s="1">
        <f t="shared" ca="1" si="14"/>
        <v>551750.13817136036</v>
      </c>
      <c r="O40" s="1"/>
      <c r="P40" s="1"/>
      <c r="Q40" s="1"/>
      <c r="R40" s="1"/>
      <c r="S40" s="1"/>
      <c r="T40" s="1"/>
    </row>
    <row r="42" spans="1:21" x14ac:dyDescent="0.2">
      <c r="A42" t="s">
        <v>173</v>
      </c>
      <c r="D42" s="1">
        <f>C8</f>
        <v>559412.50349237665</v>
      </c>
      <c r="E42" s="1">
        <f ca="1">D43</f>
        <v>547170.45831775782</v>
      </c>
      <c r="F42" s="1">
        <f t="shared" ref="F42:N42" ca="1" si="15">E43</f>
        <v>524121.93189013354</v>
      </c>
      <c r="G42" s="1">
        <f t="shared" ca="1" si="15"/>
        <v>502065.35209703265</v>
      </c>
      <c r="H42" s="1">
        <f t="shared" ca="1" si="15"/>
        <v>480839.52594361058</v>
      </c>
      <c r="I42" s="1">
        <f t="shared" ca="1" si="15"/>
        <v>460321.23582659167</v>
      </c>
      <c r="J42" s="1">
        <f t="shared" ca="1" si="15"/>
        <v>440404.33957428468</v>
      </c>
      <c r="K42" s="1">
        <f t="shared" ca="1" si="15"/>
        <v>420312.98898166465</v>
      </c>
      <c r="L42" s="1">
        <f t="shared" ca="1" si="15"/>
        <v>399336.45046304469</v>
      </c>
      <c r="M42" s="1">
        <f t="shared" ca="1" si="15"/>
        <v>377452.54921564029</v>
      </c>
      <c r="N42" s="1">
        <f t="shared" ca="1" si="15"/>
        <v>354704.99742362055</v>
      </c>
      <c r="O42" s="1"/>
      <c r="P42" s="1"/>
      <c r="Q42" s="1"/>
      <c r="R42" s="1"/>
      <c r="S42" s="1"/>
      <c r="T42" s="1"/>
    </row>
    <row r="43" spans="1:21" x14ac:dyDescent="0.2">
      <c r="A43" t="s">
        <v>174</v>
      </c>
      <c r="D43" s="1">
        <f ca="1">D40*$B$8</f>
        <v>547170.45831775782</v>
      </c>
      <c r="E43" s="1">
        <f ca="1">E40*$B$8</f>
        <v>524121.93189013354</v>
      </c>
      <c r="F43" s="1">
        <f t="shared" ref="F43:N43" ca="1" si="16">F40*$B$8</f>
        <v>502065.35209703265</v>
      </c>
      <c r="G43" s="1">
        <f t="shared" ca="1" si="16"/>
        <v>480839.52594361058</v>
      </c>
      <c r="H43" s="1">
        <f t="shared" ca="1" si="16"/>
        <v>460321.23582659167</v>
      </c>
      <c r="I43" s="1">
        <f t="shared" ca="1" si="16"/>
        <v>440404.33957428468</v>
      </c>
      <c r="J43" s="1">
        <f t="shared" ca="1" si="16"/>
        <v>420312.98898166465</v>
      </c>
      <c r="K43" s="1">
        <f t="shared" ca="1" si="16"/>
        <v>399336.45046304469</v>
      </c>
      <c r="L43" s="1">
        <f t="shared" ca="1" si="16"/>
        <v>377452.54921564029</v>
      </c>
      <c r="M43" s="1">
        <f t="shared" ca="1" si="16"/>
        <v>354704.99742362037</v>
      </c>
      <c r="N43" s="1">
        <f t="shared" ca="1" si="16"/>
        <v>331050.08290281618</v>
      </c>
      <c r="O43" s="192"/>
      <c r="P43" s="1"/>
      <c r="Q43" s="1"/>
      <c r="R43" s="1"/>
      <c r="S43" s="1"/>
      <c r="T43" s="1"/>
    </row>
    <row r="44" spans="1:21" x14ac:dyDescent="0.2">
      <c r="A44" t="s">
        <v>34</v>
      </c>
      <c r="D44" s="1">
        <f ca="1">D42-D43</f>
        <v>12242.045174618834</v>
      </c>
      <c r="E44" s="1">
        <f ca="1">E42-E43</f>
        <v>23048.526427624281</v>
      </c>
      <c r="F44" s="1">
        <f t="shared" ref="F44:N44" ca="1" si="17">F42-F43</f>
        <v>22056.579793100886</v>
      </c>
      <c r="G44" s="1">
        <f t="shared" ca="1" si="17"/>
        <v>21225.826153422066</v>
      </c>
      <c r="H44" s="1">
        <f t="shared" ca="1" si="17"/>
        <v>20518.290117018914</v>
      </c>
      <c r="I44" s="1">
        <f t="shared" ca="1" si="17"/>
        <v>19916.896252306993</v>
      </c>
      <c r="J44" s="1">
        <f t="shared" ca="1" si="17"/>
        <v>20091.350592620031</v>
      </c>
      <c r="K44" s="1">
        <f t="shared" ca="1" si="17"/>
        <v>20976.538518619956</v>
      </c>
      <c r="L44" s="1">
        <f t="shared" ca="1" si="17"/>
        <v>21883.901247404399</v>
      </c>
      <c r="M44" s="1">
        <f t="shared" ca="1" si="17"/>
        <v>22747.55179201992</v>
      </c>
      <c r="N44" s="1">
        <f t="shared" ca="1" si="17"/>
        <v>23654.914520804363</v>
      </c>
      <c r="O44" s="1"/>
      <c r="P44" s="1"/>
      <c r="Q44" s="1"/>
      <c r="R44" s="1"/>
      <c r="S44" s="1"/>
      <c r="T44" s="1"/>
    </row>
    <row r="45" spans="1:21" x14ac:dyDescent="0.2">
      <c r="A45" t="s">
        <v>233</v>
      </c>
      <c r="D45" s="1">
        <f>$C$9</f>
        <v>372941.66899491788</v>
      </c>
      <c r="E45" s="1">
        <f ca="1">D46</f>
        <v>364780.30554517196</v>
      </c>
      <c r="F45" s="1">
        <f t="shared" ref="F45:N45" ca="1" si="18">E46</f>
        <v>349414.6212600891</v>
      </c>
      <c r="G45" s="1">
        <f t="shared" ca="1" si="18"/>
        <v>334710.23473135516</v>
      </c>
      <c r="H45" s="1">
        <f t="shared" ca="1" si="18"/>
        <v>320559.68396240706</v>
      </c>
      <c r="I45" s="1">
        <f t="shared" ca="1" si="18"/>
        <v>306880.82388439443</v>
      </c>
      <c r="J45" s="1">
        <f t="shared" ca="1" si="18"/>
        <v>293602.89304952318</v>
      </c>
      <c r="K45" s="1">
        <f t="shared" ca="1" si="18"/>
        <v>280208.65932110976</v>
      </c>
      <c r="L45" s="1">
        <f t="shared" ca="1" si="18"/>
        <v>266224.30030869646</v>
      </c>
      <c r="M45" s="1">
        <f t="shared" ca="1" si="18"/>
        <v>251635.0328104269</v>
      </c>
      <c r="N45" s="1">
        <f t="shared" ca="1" si="18"/>
        <v>236469.9982824137</v>
      </c>
      <c r="O45" s="1"/>
      <c r="P45" s="1"/>
      <c r="Q45" s="1"/>
      <c r="R45" s="1"/>
      <c r="S45" s="1"/>
      <c r="T45" s="1"/>
    </row>
    <row r="46" spans="1:21" x14ac:dyDescent="0.2">
      <c r="A46" t="s">
        <v>175</v>
      </c>
      <c r="D46" s="1">
        <f ca="1">D40*(1-$B$8)</f>
        <v>364780.30554517196</v>
      </c>
      <c r="E46" s="1">
        <f ca="1">E40*(1-$B$8)</f>
        <v>349414.6212600891</v>
      </c>
      <c r="F46" s="1">
        <f t="shared" ref="F46:N46" ca="1" si="19">F40*(1-$B$8)</f>
        <v>334710.23473135516</v>
      </c>
      <c r="G46" s="1">
        <f t="shared" ca="1" si="19"/>
        <v>320559.68396240706</v>
      </c>
      <c r="H46" s="1">
        <f t="shared" ca="1" si="19"/>
        <v>306880.82388439443</v>
      </c>
      <c r="I46" s="1">
        <f t="shared" ca="1" si="19"/>
        <v>293602.89304952318</v>
      </c>
      <c r="J46" s="1">
        <f t="shared" ca="1" si="19"/>
        <v>280208.65932110976</v>
      </c>
      <c r="K46" s="1">
        <f t="shared" ca="1" si="19"/>
        <v>266224.30030869646</v>
      </c>
      <c r="L46" s="1">
        <f t="shared" ca="1" si="19"/>
        <v>251635.0328104269</v>
      </c>
      <c r="M46" s="1">
        <f t="shared" ca="1" si="19"/>
        <v>236469.99828241361</v>
      </c>
      <c r="N46" s="1">
        <f t="shared" ca="1" si="19"/>
        <v>220700.05526854415</v>
      </c>
      <c r="O46" s="1"/>
      <c r="P46" s="1"/>
      <c r="Q46" s="1"/>
      <c r="R46" s="1"/>
      <c r="S46" s="1"/>
      <c r="T46" s="1"/>
    </row>
    <row r="48" spans="1:21" x14ac:dyDescent="0.2">
      <c r="A48" t="s">
        <v>176</v>
      </c>
      <c r="B48" s="27"/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P48" s="191"/>
      <c r="Q48" s="191"/>
      <c r="R48" s="191"/>
      <c r="S48" s="191"/>
      <c r="T48" s="191"/>
    </row>
    <row r="49" spans="1:21" x14ac:dyDescent="0.2">
      <c r="A49" s="24" t="s">
        <v>177</v>
      </c>
      <c r="B49" s="27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P49" s="191"/>
      <c r="Q49" s="191"/>
      <c r="R49" s="191"/>
      <c r="S49" s="191"/>
      <c r="T49" s="191"/>
      <c r="U49" s="191"/>
    </row>
    <row r="51" spans="1:21" x14ac:dyDescent="0.2">
      <c r="A51" s="8" t="s">
        <v>178</v>
      </c>
      <c r="B51" s="8"/>
      <c r="D51" s="103">
        <f ca="1">D43/D40</f>
        <v>0.6</v>
      </c>
      <c r="E51" s="103">
        <f ca="1">E43/E40</f>
        <v>0.6</v>
      </c>
      <c r="F51" s="103">
        <f t="shared" ref="F51:N51" ca="1" si="20">F43/F40</f>
        <v>0.6</v>
      </c>
      <c r="G51" s="103">
        <f t="shared" ca="1" si="20"/>
        <v>0.6</v>
      </c>
      <c r="H51" s="103">
        <f t="shared" ca="1" si="20"/>
        <v>0.6</v>
      </c>
      <c r="I51" s="103">
        <f t="shared" ca="1" si="20"/>
        <v>0.6</v>
      </c>
      <c r="J51" s="103">
        <f t="shared" ca="1" si="20"/>
        <v>0.6</v>
      </c>
      <c r="K51" s="103">
        <f t="shared" ca="1" si="20"/>
        <v>0.6</v>
      </c>
      <c r="L51" s="103">
        <f t="shared" ca="1" si="20"/>
        <v>0.6</v>
      </c>
      <c r="M51" s="103">
        <f t="shared" ca="1" si="20"/>
        <v>0.6</v>
      </c>
      <c r="N51" s="103">
        <f t="shared" ca="1" si="20"/>
        <v>0.6</v>
      </c>
      <c r="P51" s="103"/>
      <c r="Q51" s="103"/>
      <c r="R51" s="103"/>
      <c r="S51" s="103"/>
      <c r="T51" s="103"/>
    </row>
    <row r="52" spans="1:21" x14ac:dyDescent="0.2">
      <c r="A52" s="41" t="s">
        <v>32</v>
      </c>
      <c r="B52" s="8"/>
      <c r="D52" s="27">
        <f ca="1">$C$9-D46+D25</f>
        <v>56203.105422175744</v>
      </c>
      <c r="E52" s="27">
        <f ca="1">E45-E46+E25</f>
        <v>63123.575091191968</v>
      </c>
      <c r="F52" s="27">
        <f t="shared" ref="F52:N52" ca="1" si="21">F45-F46+F25</f>
        <v>62676.875116317227</v>
      </c>
      <c r="G52" s="27">
        <f t="shared" ca="1" si="21"/>
        <v>62291.883599488159</v>
      </c>
      <c r="H52" s="27">
        <f t="shared" ca="1" si="21"/>
        <v>61950.718639879284</v>
      </c>
      <c r="I52" s="27">
        <f t="shared" ca="1" si="21"/>
        <v>61647.680028385395</v>
      </c>
      <c r="J52" s="27">
        <f t="shared" ca="1" si="21"/>
        <v>61834.134261565225</v>
      </c>
      <c r="K52" s="27">
        <f t="shared" ca="1" si="21"/>
        <v>62502.457591649712</v>
      </c>
      <c r="L52" s="27">
        <f t="shared" ca="1" si="21"/>
        <v>63226.393416677311</v>
      </c>
      <c r="M52" s="27">
        <f t="shared" ca="1" si="21"/>
        <v>63963.039891457563</v>
      </c>
      <c r="N52" s="27">
        <f t="shared" ca="1" si="21"/>
        <v>64768.66370372074</v>
      </c>
      <c r="O52" s="1"/>
      <c r="P52" s="1"/>
      <c r="Q52" s="1"/>
      <c r="R52" s="1"/>
      <c r="S52" s="1"/>
      <c r="T52" s="1"/>
    </row>
    <row r="56" spans="1:21" ht="15.75" x14ac:dyDescent="0.25">
      <c r="D56" s="309" t="s">
        <v>201</v>
      </c>
    </row>
    <row r="57" spans="1:21" ht="13.5" thickBot="1" x14ac:dyDescent="0.25"/>
    <row r="58" spans="1:21" x14ac:dyDescent="0.2">
      <c r="D58" s="209"/>
      <c r="E58" s="201" t="s">
        <v>203</v>
      </c>
      <c r="F58" s="201"/>
      <c r="G58" s="202"/>
    </row>
    <row r="59" spans="1:21" x14ac:dyDescent="0.2">
      <c r="D59" s="319" t="s">
        <v>202</v>
      </c>
      <c r="E59" s="320">
        <f t="shared" ref="E59:G60" si="22">F6</f>
        <v>0.1</v>
      </c>
      <c r="F59" s="320">
        <f t="shared" si="22"/>
        <v>0.125</v>
      </c>
      <c r="G59" s="321">
        <f t="shared" si="22"/>
        <v>0.15</v>
      </c>
    </row>
    <row r="60" spans="1:21" x14ac:dyDescent="0.2">
      <c r="D60" s="312">
        <f>B8</f>
        <v>0.6</v>
      </c>
      <c r="E60" s="313">
        <f t="shared" ca="1" si="22"/>
        <v>28285.846999887435</v>
      </c>
      <c r="F60" s="313">
        <f t="shared" ca="1" si="22"/>
        <v>680551.20817129395</v>
      </c>
      <c r="G60" s="314">
        <f t="shared" ca="1" si="22"/>
        <v>612085.93538773211</v>
      </c>
    </row>
    <row r="61" spans="1:21" x14ac:dyDescent="0.2">
      <c r="D61" s="380">
        <v>0.2</v>
      </c>
      <c r="E61" s="315">
        <f t="dataTable" ref="E61:G69" dt2D="0" dtr="0" r1="B8" ca="1"/>
        <v>-161025.62188917084</v>
      </c>
      <c r="F61" s="315">
        <v>926116.06122774899</v>
      </c>
      <c r="G61" s="316">
        <v>833867.94224102981</v>
      </c>
    </row>
    <row r="62" spans="1:21" x14ac:dyDescent="0.2">
      <c r="D62" s="380">
        <f>D61+10%</f>
        <v>0.30000000000000004</v>
      </c>
      <c r="E62" s="315">
        <v>-113697.75466690632</v>
      </c>
      <c r="F62" s="315">
        <v>864724.84796363488</v>
      </c>
      <c r="G62" s="316">
        <v>778422.44052770513</v>
      </c>
    </row>
    <row r="63" spans="1:21" x14ac:dyDescent="0.2">
      <c r="D63" s="380">
        <f>D62+10%</f>
        <v>0.4</v>
      </c>
      <c r="E63" s="315">
        <v>-66369.887444641674</v>
      </c>
      <c r="F63" s="315">
        <v>803333.63469952135</v>
      </c>
      <c r="G63" s="316">
        <v>722976.9388143809</v>
      </c>
    </row>
    <row r="64" spans="1:21" x14ac:dyDescent="0.2">
      <c r="D64" s="380">
        <f>D63+10%</f>
        <v>0.5</v>
      </c>
      <c r="E64" s="315">
        <v>-19042.02022237709</v>
      </c>
      <c r="F64" s="315">
        <v>741942.42143540783</v>
      </c>
      <c r="G64" s="316">
        <v>667531.43710105657</v>
      </c>
    </row>
    <row r="65" spans="4:7" x14ac:dyDescent="0.2">
      <c r="D65" s="380">
        <v>0.6</v>
      </c>
      <c r="E65" s="315">
        <v>28285.846999887493</v>
      </c>
      <c r="F65" s="315">
        <v>680551.20817129407</v>
      </c>
      <c r="G65" s="316">
        <v>612085.93538773223</v>
      </c>
    </row>
    <row r="66" spans="4:7" x14ac:dyDescent="0.2">
      <c r="D66" s="380">
        <f>D65+10%</f>
        <v>0.7</v>
      </c>
      <c r="E66" s="315">
        <v>75613.714222152135</v>
      </c>
      <c r="F66" s="315">
        <v>619159.99490718031</v>
      </c>
      <c r="G66" s="316">
        <v>556640.43367440789</v>
      </c>
    </row>
    <row r="67" spans="4:7" x14ac:dyDescent="0.2">
      <c r="D67" s="380">
        <f>D66+10%</f>
        <v>0.79999999999999993</v>
      </c>
      <c r="E67" s="315">
        <v>122941.58144441684</v>
      </c>
      <c r="F67" s="315">
        <v>557768.78164306667</v>
      </c>
      <c r="G67" s="316">
        <v>501194.93196108338</v>
      </c>
    </row>
    <row r="68" spans="4:7" x14ac:dyDescent="0.2">
      <c r="D68" s="380">
        <f>D67+10%</f>
        <v>0.89999999999999991</v>
      </c>
      <c r="E68" s="315">
        <v>170269.44866668124</v>
      </c>
      <c r="F68" s="315">
        <v>496377.56837895286</v>
      </c>
      <c r="G68" s="316">
        <v>445749.4302477591</v>
      </c>
    </row>
    <row r="69" spans="4:7" ht="13.5" thickBot="1" x14ac:dyDescent="0.25">
      <c r="D69" s="381">
        <v>0.99</v>
      </c>
      <c r="E69" s="317">
        <v>212864.52916671929</v>
      </c>
      <c r="F69" s="317">
        <v>441125.47644125047</v>
      </c>
      <c r="G69" s="318">
        <v>395848.47870576696</v>
      </c>
    </row>
  </sheetData>
  <phoneticPr fontId="0" type="noConversion"/>
  <conditionalFormatting sqref="D51:N51">
    <cfRule type="cellIs" priority="1" stopIfTrue="1" operator="notEqual">
      <formula>A$8</formula>
    </cfRule>
  </conditionalFormatting>
  <pageMargins left="0.75" right="0.75" top="1" bottom="1" header="0.5" footer="0.5"/>
  <pageSetup scale="75" fitToHeight="2" orientation="landscape" r:id="rId1"/>
  <headerFooter alignWithMargins="0">
    <oddFooter>&amp;R&amp;F
&amp;A
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F58"/>
  <sheetViews>
    <sheetView tabSelected="1" topLeftCell="A8" zoomScale="75" zoomScaleNormal="100" workbookViewId="0">
      <selection activeCell="J55" sqref="J55"/>
    </sheetView>
  </sheetViews>
  <sheetFormatPr defaultRowHeight="12.75" x14ac:dyDescent="0.2"/>
  <cols>
    <col min="1" max="1" width="19.28515625" customWidth="1"/>
    <col min="2" max="2" width="14.85546875" bestFit="1" customWidth="1"/>
    <col min="3" max="3" width="13.7109375" customWidth="1"/>
    <col min="4" max="4" width="11" customWidth="1"/>
    <col min="5" max="5" width="13.85546875" bestFit="1" customWidth="1"/>
    <col min="6" max="6" width="14.140625" style="40" customWidth="1"/>
    <col min="7" max="7" width="11.28515625" customWidth="1"/>
    <col min="8" max="10" width="12.28515625" customWidth="1"/>
    <col min="11" max="11" width="12.85546875" bestFit="1" customWidth="1"/>
    <col min="12" max="12" width="15" bestFit="1" customWidth="1"/>
    <col min="13" max="13" width="12.85546875" bestFit="1" customWidth="1"/>
    <col min="14" max="14" width="12.28515625" customWidth="1"/>
    <col min="15" max="15" width="12.85546875" bestFit="1" customWidth="1"/>
    <col min="16" max="16" width="12.28515625" customWidth="1"/>
    <col min="17" max="17" width="12.85546875" bestFit="1" customWidth="1"/>
    <col min="18" max="18" width="12.28515625" customWidth="1"/>
    <col min="19" max="19" width="11.28515625" bestFit="1" customWidth="1"/>
  </cols>
  <sheetData>
    <row r="1" spans="1:32" ht="18.75" thickBot="1" x14ac:dyDescent="0.3">
      <c r="A1" s="385" t="str">
        <f>Assumptions!D5</f>
        <v>PG&amp;E Gas Transmission</v>
      </c>
      <c r="B1" s="40"/>
    </row>
    <row r="2" spans="1:32" ht="15.75" x14ac:dyDescent="0.25">
      <c r="A2" s="386" t="s">
        <v>197</v>
      </c>
      <c r="B2" s="387"/>
      <c r="C2" s="93"/>
      <c r="E2" s="200" t="s">
        <v>212</v>
      </c>
      <c r="F2" s="222"/>
      <c r="G2" s="201"/>
      <c r="H2" s="201"/>
      <c r="I2" s="201"/>
      <c r="J2" s="202"/>
    </row>
    <row r="3" spans="1:32" x14ac:dyDescent="0.2">
      <c r="A3" s="41"/>
      <c r="B3" s="93"/>
      <c r="C3" s="93"/>
      <c r="E3" s="203" t="str">
        <f>IF(J56="","", "Warning: Check the Consolidated Purchase Price and the separate Asset Purchase Price")</f>
        <v/>
      </c>
      <c r="G3" s="40"/>
      <c r="H3" s="40"/>
      <c r="I3" s="40"/>
      <c r="J3" s="204"/>
    </row>
    <row r="4" spans="1:32" ht="13.5" thickBot="1" x14ac:dyDescent="0.25">
      <c r="A4" s="42"/>
      <c r="E4" s="273" t="str">
        <f>IF(CLoop&lt;&gt;0,"Run Macro","")</f>
        <v/>
      </c>
      <c r="F4" s="223"/>
      <c r="G4" s="224"/>
      <c r="H4" s="225"/>
      <c r="I4" s="207"/>
      <c r="J4" s="208"/>
    </row>
    <row r="5" spans="1:32" x14ac:dyDescent="0.2">
      <c r="A5" s="42"/>
      <c r="E5" s="226"/>
      <c r="F5" s="98"/>
      <c r="G5" s="226"/>
      <c r="H5" s="55"/>
      <c r="I5" s="40"/>
      <c r="J5" s="40"/>
    </row>
    <row r="6" spans="1:32" x14ac:dyDescent="0.2">
      <c r="A6" s="10" t="s">
        <v>91</v>
      </c>
      <c r="E6" s="227"/>
      <c r="F6" s="228">
        <f>G6-1</f>
        <v>2000</v>
      </c>
      <c r="G6" s="36">
        <f>Assumptions!$D$12</f>
        <v>2001</v>
      </c>
      <c r="H6" s="36">
        <f>G6+1</f>
        <v>2002</v>
      </c>
      <c r="I6" s="36">
        <f t="shared" ref="I6:Q6" si="0">H6+1</f>
        <v>2003</v>
      </c>
      <c r="J6" s="36">
        <f t="shared" si="0"/>
        <v>2004</v>
      </c>
      <c r="K6" s="36">
        <f t="shared" si="0"/>
        <v>2005</v>
      </c>
      <c r="L6" s="36">
        <f t="shared" si="0"/>
        <v>2006</v>
      </c>
      <c r="M6" s="36">
        <f t="shared" si="0"/>
        <v>2007</v>
      </c>
      <c r="N6" s="36">
        <f t="shared" si="0"/>
        <v>2008</v>
      </c>
      <c r="O6" s="36">
        <f t="shared" si="0"/>
        <v>2009</v>
      </c>
      <c r="P6" s="36">
        <f t="shared" si="0"/>
        <v>2010</v>
      </c>
      <c r="Q6" s="36">
        <f t="shared" si="0"/>
        <v>2011</v>
      </c>
    </row>
    <row r="7" spans="1:32" x14ac:dyDescent="0.2">
      <c r="A7" s="23" t="s">
        <v>18</v>
      </c>
      <c r="B7" s="47" t="s">
        <v>97</v>
      </c>
      <c r="E7" s="229"/>
      <c r="F7" s="230"/>
    </row>
    <row r="8" spans="1:32" x14ac:dyDescent="0.2">
      <c r="A8" t="str">
        <f>'Asset 1'!A2</f>
        <v xml:space="preserve">  Asset 1- Cash Flow Analysis</v>
      </c>
      <c r="B8" s="152">
        <f>Assumptions!$C$37</f>
        <v>1</v>
      </c>
      <c r="C8" s="69"/>
      <c r="E8" s="231"/>
      <c r="F8" s="232">
        <f>'Asset 1'!F11*$B$8</f>
        <v>222700</v>
      </c>
      <c r="G8" s="70">
        <f>'Asset 1'!G11*$B$8</f>
        <v>222700</v>
      </c>
      <c r="H8" s="70">
        <f>'Asset 1'!H11*$B$8</f>
        <v>222700</v>
      </c>
      <c r="I8" s="70">
        <f>'Asset 1'!I11*$B$8</f>
        <v>222700</v>
      </c>
      <c r="J8" s="70">
        <f>'Asset 1'!J11*$B$8</f>
        <v>222700</v>
      </c>
      <c r="K8" s="70">
        <f>'Asset 1'!K11*$B$8</f>
        <v>222700</v>
      </c>
      <c r="L8" s="70">
        <f>'Asset 1'!L11*$B$8</f>
        <v>222700</v>
      </c>
      <c r="M8" s="70">
        <f>'Asset 1'!M11*$B$8</f>
        <v>222700</v>
      </c>
      <c r="N8" s="70">
        <f>'Asset 1'!N11*$B$8</f>
        <v>222700</v>
      </c>
      <c r="O8" s="70">
        <f>'Asset 1'!O11*$B$8</f>
        <v>222700</v>
      </c>
      <c r="P8" s="70">
        <f>'Asset 1'!P11*$B$8</f>
        <v>222700</v>
      </c>
      <c r="Q8" s="70">
        <f>'Asset 1'!Q11*$B$8</f>
        <v>222700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</row>
    <row r="9" spans="1:32" x14ac:dyDescent="0.2">
      <c r="A9" t="str">
        <f>'Asset 2'!A2</f>
        <v xml:space="preserve">  Asset 2-Cash Flow Analysis</v>
      </c>
      <c r="B9" s="152">
        <f>Assumptions!$C$40</f>
        <v>0</v>
      </c>
      <c r="C9" s="69"/>
      <c r="E9" s="231"/>
      <c r="F9" s="232">
        <f>'Asset 2'!F9*$B$9</f>
        <v>0</v>
      </c>
      <c r="G9" s="70">
        <f>'Asset 2'!G9*$B$9</f>
        <v>0</v>
      </c>
      <c r="H9" s="70">
        <f>'Asset 2'!H9*$B$9</f>
        <v>0</v>
      </c>
      <c r="I9" s="70">
        <f>'Asset 2'!I9*$B$9</f>
        <v>0</v>
      </c>
      <c r="J9" s="70">
        <f>'Asset 2'!J9*$B$9</f>
        <v>0</v>
      </c>
      <c r="K9" s="70">
        <f>'Asset 2'!K9*$B$9</f>
        <v>0</v>
      </c>
      <c r="L9" s="70">
        <f>'Asset 2'!L9*$B$9</f>
        <v>0</v>
      </c>
      <c r="M9" s="70">
        <f>'Asset 2'!M9*$B$9</f>
        <v>0</v>
      </c>
      <c r="N9" s="70">
        <f>'Asset 2'!N9*$B$9</f>
        <v>0</v>
      </c>
      <c r="O9" s="70">
        <f>'Asset 2'!O9*$B$9</f>
        <v>0</v>
      </c>
      <c r="P9" s="70">
        <f>'Asset 2'!P9*$B$9</f>
        <v>0</v>
      </c>
      <c r="Q9" s="70">
        <f>'Asset 2'!Q9*$B$9</f>
        <v>0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1:32" x14ac:dyDescent="0.2">
      <c r="A10" t="str">
        <f>'Asset 3'!A2</f>
        <v xml:space="preserve">  Asset 3- Cash Flow Analysis</v>
      </c>
      <c r="B10" s="152">
        <f>Assumptions!$C$43</f>
        <v>0</v>
      </c>
      <c r="C10" s="69"/>
      <c r="E10" s="231"/>
      <c r="F10" s="233">
        <f>'Asset 3'!F9*$B$10</f>
        <v>0</v>
      </c>
      <c r="G10" s="70">
        <f>'Asset 3'!G9*$B$10</f>
        <v>0</v>
      </c>
      <c r="H10" s="70">
        <f>'Asset 3'!H9*$B$10</f>
        <v>0</v>
      </c>
      <c r="I10" s="70">
        <f>'Asset 3'!I9*$B$10</f>
        <v>0</v>
      </c>
      <c r="J10" s="70">
        <f>'Asset 3'!J9*$B$10</f>
        <v>0</v>
      </c>
      <c r="K10" s="70">
        <f>'Asset 3'!K9*$B$10</f>
        <v>0</v>
      </c>
      <c r="L10" s="70">
        <f>'Asset 3'!L9*$B$10</f>
        <v>0</v>
      </c>
      <c r="M10" s="70">
        <f>'Asset 3'!M9*$B$10</f>
        <v>0</v>
      </c>
      <c r="N10" s="70">
        <f>'Asset 3'!N9*$B$10</f>
        <v>0</v>
      </c>
      <c r="O10" s="70">
        <f>'Asset 3'!O9*$B$10</f>
        <v>0</v>
      </c>
      <c r="P10" s="70">
        <f>'Asset 3'!P9*$B$10</f>
        <v>0</v>
      </c>
      <c r="Q10" s="70">
        <f>'Asset 3'!Q9*$B$10</f>
        <v>0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1:32" x14ac:dyDescent="0.2">
      <c r="A11" s="56" t="s">
        <v>0</v>
      </c>
      <c r="B11" s="39"/>
      <c r="C11" s="39"/>
      <c r="D11" s="39"/>
      <c r="E11" s="234"/>
      <c r="F11" s="235">
        <f t="shared" ref="F11:Q11" si="1">SUM(F8:F10)</f>
        <v>222700</v>
      </c>
      <c r="G11" s="54">
        <f t="shared" si="1"/>
        <v>222700</v>
      </c>
      <c r="H11" s="54">
        <f t="shared" si="1"/>
        <v>222700</v>
      </c>
      <c r="I11" s="54">
        <f t="shared" si="1"/>
        <v>222700</v>
      </c>
      <c r="J11" s="54">
        <f t="shared" si="1"/>
        <v>222700</v>
      </c>
      <c r="K11" s="54">
        <f t="shared" si="1"/>
        <v>222700</v>
      </c>
      <c r="L11" s="54">
        <f t="shared" si="1"/>
        <v>222700</v>
      </c>
      <c r="M11" s="54">
        <f t="shared" si="1"/>
        <v>222700</v>
      </c>
      <c r="N11" s="54">
        <f t="shared" si="1"/>
        <v>222700</v>
      </c>
      <c r="O11" s="54">
        <f t="shared" si="1"/>
        <v>222700</v>
      </c>
      <c r="P11" s="54">
        <f t="shared" si="1"/>
        <v>222700</v>
      </c>
      <c r="Q11" s="54">
        <f t="shared" si="1"/>
        <v>222700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</row>
    <row r="12" spans="1:32" x14ac:dyDescent="0.2">
      <c r="E12" s="236"/>
      <c r="F12" s="237"/>
      <c r="G12" s="149"/>
      <c r="H12" s="149"/>
      <c r="I12" s="44"/>
      <c r="J12" s="44"/>
      <c r="K12" s="44"/>
      <c r="L12" s="44"/>
      <c r="M12" s="44"/>
      <c r="N12" s="44"/>
      <c r="O12" s="44"/>
      <c r="P12" s="44"/>
      <c r="Q12" s="44"/>
    </row>
    <row r="13" spans="1:32" x14ac:dyDescent="0.2">
      <c r="A13" s="23" t="s">
        <v>19</v>
      </c>
      <c r="B13" s="47" t="s">
        <v>97</v>
      </c>
      <c r="E13" s="238"/>
      <c r="F13" s="239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32" x14ac:dyDescent="0.2">
      <c r="A14" t="str">
        <f>A8</f>
        <v xml:space="preserve">  Asset 1- Cash Flow Analysis</v>
      </c>
      <c r="B14" s="152">
        <f>Assumptions!$C$37</f>
        <v>1</v>
      </c>
      <c r="E14" s="240"/>
      <c r="F14" s="239">
        <f>'Asset 1'!F14*$B$14</f>
        <v>60700</v>
      </c>
      <c r="G14" s="83">
        <f>'Asset 1'!G14*$B$14</f>
        <v>54630</v>
      </c>
      <c r="H14" s="83">
        <f>'Asset 1'!H14*$B$14</f>
        <v>54630</v>
      </c>
      <c r="I14" s="83">
        <f>'Asset 1'!I14*$B$14</f>
        <v>54630</v>
      </c>
      <c r="J14" s="83">
        <f>'Asset 1'!J14*$B$14</f>
        <v>54630</v>
      </c>
      <c r="K14" s="83">
        <f>'Asset 1'!K14*$B$14</f>
        <v>54630</v>
      </c>
      <c r="L14" s="83">
        <f>'Asset 1'!L14*$B$14</f>
        <v>54630</v>
      </c>
      <c r="M14" s="83">
        <f>'Asset 1'!M14*$B$14</f>
        <v>54630</v>
      </c>
      <c r="N14" s="83">
        <f>'Asset 1'!N14*$B$14</f>
        <v>54630</v>
      </c>
      <c r="O14" s="83">
        <f>'Asset 1'!O14*$B$14</f>
        <v>54630</v>
      </c>
      <c r="P14" s="83">
        <f>'Asset 1'!P14*$B$14</f>
        <v>54630</v>
      </c>
      <c r="Q14" s="83">
        <f>'Asset 1'!Q14*$B$14</f>
        <v>54630</v>
      </c>
    </row>
    <row r="15" spans="1:32" x14ac:dyDescent="0.2">
      <c r="A15" t="str">
        <f>A9</f>
        <v xml:space="preserve">  Asset 2-Cash Flow Analysis</v>
      </c>
      <c r="B15" s="152">
        <f>Assumptions!$C$40</f>
        <v>0</v>
      </c>
      <c r="E15" s="240"/>
      <c r="F15" s="239">
        <f>'Asset 2'!F12*$B$15</f>
        <v>0</v>
      </c>
      <c r="G15" s="83">
        <f>'Asset 2'!G12*$B$15</f>
        <v>0</v>
      </c>
      <c r="H15" s="83">
        <f>'Asset 2'!H12*$B$15</f>
        <v>0</v>
      </c>
      <c r="I15" s="83">
        <f>'Asset 2'!I12*$B$15</f>
        <v>0</v>
      </c>
      <c r="J15" s="83">
        <f>'Asset 2'!J12*$B$15</f>
        <v>0</v>
      </c>
      <c r="K15" s="83">
        <f>'Asset 2'!K12*$B$15</f>
        <v>0</v>
      </c>
      <c r="L15" s="83">
        <f>'Asset 2'!L12*$B$15</f>
        <v>0</v>
      </c>
      <c r="M15" s="83">
        <f>'Asset 2'!M12*$B$15</f>
        <v>0</v>
      </c>
      <c r="N15" s="83">
        <f>'Asset 2'!N12*$B$15</f>
        <v>0</v>
      </c>
      <c r="O15" s="83">
        <f>'Asset 2'!O12*$B$15</f>
        <v>0</v>
      </c>
      <c r="P15" s="83">
        <f>'Asset 2'!P12*$B$15</f>
        <v>0</v>
      </c>
      <c r="Q15" s="83">
        <f>'Asset 2'!Q12*$B$15</f>
        <v>0</v>
      </c>
    </row>
    <row r="16" spans="1:32" x14ac:dyDescent="0.2">
      <c r="A16" t="str">
        <f>A10</f>
        <v xml:space="preserve">  Asset 3- Cash Flow Analysis</v>
      </c>
      <c r="B16" s="152">
        <f>Assumptions!$C$43</f>
        <v>0</v>
      </c>
      <c r="E16" s="240"/>
      <c r="F16" s="241">
        <f>'Asset 3'!F12*$B$16</f>
        <v>0</v>
      </c>
      <c r="G16" s="161">
        <f>'Asset 3'!G12*$B$16</f>
        <v>0</v>
      </c>
      <c r="H16" s="160">
        <f>'Asset 3'!H12*$B$16</f>
        <v>0</v>
      </c>
      <c r="I16" s="160">
        <f>'Asset 3'!I12*$B$16</f>
        <v>0</v>
      </c>
      <c r="J16" s="160">
        <f>'Asset 3'!J12*$B$16</f>
        <v>0</v>
      </c>
      <c r="K16" s="160">
        <f>'Asset 3'!K12*$B$16</f>
        <v>0</v>
      </c>
      <c r="L16" s="160">
        <f>'Asset 3'!L12*$B$16</f>
        <v>0</v>
      </c>
      <c r="M16" s="160">
        <f>'Asset 3'!M12*$B$16</f>
        <v>0</v>
      </c>
      <c r="N16" s="160">
        <f>'Asset 3'!N12*$B$16</f>
        <v>0</v>
      </c>
      <c r="O16" s="160">
        <f>'Asset 3'!O12*$B$16</f>
        <v>0</v>
      </c>
      <c r="P16" s="160">
        <f>'Asset 3'!P12*$B$16</f>
        <v>0</v>
      </c>
      <c r="Q16" s="160">
        <f>'Asset 3'!Q12*$B$16</f>
        <v>0</v>
      </c>
    </row>
    <row r="17" spans="1:19" x14ac:dyDescent="0.2">
      <c r="A17" s="56" t="str">
        <f>A11</f>
        <v>TOTAL</v>
      </c>
      <c r="B17" s="39"/>
      <c r="C17" s="39"/>
      <c r="D17" s="39"/>
      <c r="E17" s="234"/>
      <c r="F17" s="241">
        <f t="shared" ref="F17:Q17" si="2">SUM(F14:F16)</f>
        <v>60700</v>
      </c>
      <c r="G17" s="160">
        <f t="shared" si="2"/>
        <v>54630</v>
      </c>
      <c r="H17" s="160">
        <f t="shared" si="2"/>
        <v>54630</v>
      </c>
      <c r="I17" s="160">
        <f t="shared" si="2"/>
        <v>54630</v>
      </c>
      <c r="J17" s="160">
        <f t="shared" si="2"/>
        <v>54630</v>
      </c>
      <c r="K17" s="160">
        <f t="shared" si="2"/>
        <v>54630</v>
      </c>
      <c r="L17" s="160">
        <f t="shared" si="2"/>
        <v>54630</v>
      </c>
      <c r="M17" s="160">
        <f t="shared" si="2"/>
        <v>54630</v>
      </c>
      <c r="N17" s="160">
        <f t="shared" si="2"/>
        <v>54630</v>
      </c>
      <c r="O17" s="160">
        <f t="shared" si="2"/>
        <v>54630</v>
      </c>
      <c r="P17" s="160">
        <f t="shared" si="2"/>
        <v>54630</v>
      </c>
      <c r="Q17" s="159">
        <f t="shared" si="2"/>
        <v>54630</v>
      </c>
    </row>
    <row r="18" spans="1:19" x14ac:dyDescent="0.2">
      <c r="A18" s="76"/>
      <c r="B18" s="40"/>
      <c r="C18" s="40"/>
      <c r="D18" s="40"/>
      <c r="E18" s="236"/>
      <c r="F18" s="242"/>
      <c r="G18" s="148"/>
      <c r="H18" s="148"/>
      <c r="I18" s="83"/>
      <c r="J18" s="83"/>
      <c r="K18" s="83"/>
      <c r="L18" s="83"/>
      <c r="M18" s="83"/>
      <c r="N18" s="83"/>
      <c r="O18" s="83"/>
      <c r="P18" s="83"/>
      <c r="Q18" s="83"/>
    </row>
    <row r="19" spans="1:19" x14ac:dyDescent="0.2">
      <c r="A19" s="8" t="s">
        <v>82</v>
      </c>
      <c r="B19" s="8"/>
      <c r="C19" s="8"/>
      <c r="D19" s="137"/>
      <c r="E19" s="243"/>
      <c r="F19" s="244">
        <f t="shared" ref="F19:Q19" si="3">F11/F17</f>
        <v>3.6688632619439869</v>
      </c>
      <c r="G19" s="140">
        <f t="shared" si="3"/>
        <v>4.0765147354933191</v>
      </c>
      <c r="H19" s="140">
        <f t="shared" si="3"/>
        <v>4.0765147354933191</v>
      </c>
      <c r="I19" s="140">
        <f t="shared" si="3"/>
        <v>4.0765147354933191</v>
      </c>
      <c r="J19" s="140">
        <f t="shared" si="3"/>
        <v>4.0765147354933191</v>
      </c>
      <c r="K19" s="140">
        <f t="shared" si="3"/>
        <v>4.0765147354933191</v>
      </c>
      <c r="L19" s="140">
        <f t="shared" si="3"/>
        <v>4.0765147354933191</v>
      </c>
      <c r="M19" s="140">
        <f t="shared" si="3"/>
        <v>4.0765147354933191</v>
      </c>
      <c r="N19" s="140">
        <f t="shared" si="3"/>
        <v>4.0765147354933191</v>
      </c>
      <c r="O19" s="140">
        <f t="shared" si="3"/>
        <v>4.0765147354933191</v>
      </c>
      <c r="P19" s="140">
        <f t="shared" si="3"/>
        <v>4.0765147354933191</v>
      </c>
      <c r="Q19" s="140">
        <f t="shared" si="3"/>
        <v>4.0765147354933191</v>
      </c>
    </row>
    <row r="20" spans="1:19" x14ac:dyDescent="0.2">
      <c r="A20" s="53" t="s">
        <v>1</v>
      </c>
      <c r="B20" s="39"/>
      <c r="C20" s="39"/>
      <c r="D20" s="39"/>
      <c r="E20" s="235"/>
      <c r="F20" s="233">
        <f t="shared" ref="F20:Q20" si="4">F11-F17</f>
        <v>162000</v>
      </c>
      <c r="G20" s="64">
        <f t="shared" si="4"/>
        <v>168070</v>
      </c>
      <c r="H20" s="64">
        <f t="shared" si="4"/>
        <v>168070</v>
      </c>
      <c r="I20" s="64">
        <f t="shared" si="4"/>
        <v>168070</v>
      </c>
      <c r="J20" s="64">
        <f t="shared" si="4"/>
        <v>168070</v>
      </c>
      <c r="K20" s="64">
        <f t="shared" si="4"/>
        <v>168070</v>
      </c>
      <c r="L20" s="64">
        <f t="shared" si="4"/>
        <v>168070</v>
      </c>
      <c r="M20" s="64">
        <f t="shared" si="4"/>
        <v>168070</v>
      </c>
      <c r="N20" s="64">
        <f t="shared" si="4"/>
        <v>168070</v>
      </c>
      <c r="O20" s="64">
        <f t="shared" si="4"/>
        <v>168070</v>
      </c>
      <c r="P20" s="64">
        <f t="shared" si="4"/>
        <v>168070</v>
      </c>
      <c r="Q20" s="74">
        <f t="shared" si="4"/>
        <v>168070</v>
      </c>
    </row>
    <row r="21" spans="1:19" x14ac:dyDescent="0.2">
      <c r="E21" s="245"/>
      <c r="F21" s="246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9" x14ac:dyDescent="0.2">
      <c r="A22" t="s">
        <v>7</v>
      </c>
      <c r="B22" s="16"/>
      <c r="C22" s="16"/>
      <c r="E22" s="247"/>
      <c r="F22" s="232">
        <f>F44</f>
        <v>0</v>
      </c>
      <c r="G22" s="163">
        <f>G44</f>
        <v>47997.408624364725</v>
      </c>
      <c r="H22" s="163">
        <f t="shared" ref="H22:Q22" si="5">H44</f>
        <v>49377.10862436473</v>
      </c>
      <c r="I22" s="163">
        <f t="shared" si="5"/>
        <v>50756.808624364727</v>
      </c>
      <c r="J22" s="163">
        <f t="shared" si="5"/>
        <v>52136.508624364731</v>
      </c>
      <c r="K22" s="163">
        <f t="shared" si="5"/>
        <v>53516.208624364728</v>
      </c>
      <c r="L22" s="163">
        <f t="shared" si="5"/>
        <v>54895.908624364733</v>
      </c>
      <c r="M22" s="163">
        <f t="shared" si="5"/>
        <v>56275.60862436473</v>
      </c>
      <c r="N22" s="163">
        <f t="shared" si="5"/>
        <v>57655.308624364727</v>
      </c>
      <c r="O22" s="163">
        <f t="shared" si="5"/>
        <v>59035.008624364731</v>
      </c>
      <c r="P22" s="163">
        <f t="shared" si="5"/>
        <v>60414.708624364735</v>
      </c>
      <c r="Q22" s="163">
        <f t="shared" si="5"/>
        <v>61794.408624364733</v>
      </c>
    </row>
    <row r="23" spans="1:19" ht="15" x14ac:dyDescent="0.35">
      <c r="A23" t="s">
        <v>20</v>
      </c>
      <c r="E23" s="248"/>
      <c r="F23" s="232">
        <v>0</v>
      </c>
      <c r="G23" s="26">
        <f t="shared" ref="G23:Q23" si="6">F23</f>
        <v>0</v>
      </c>
      <c r="H23" s="26">
        <f t="shared" si="6"/>
        <v>0</v>
      </c>
      <c r="I23" s="26">
        <f t="shared" si="6"/>
        <v>0</v>
      </c>
      <c r="J23" s="26">
        <f t="shared" si="6"/>
        <v>0</v>
      </c>
      <c r="K23" s="26">
        <f t="shared" si="6"/>
        <v>0</v>
      </c>
      <c r="L23" s="26">
        <f t="shared" si="6"/>
        <v>0</v>
      </c>
      <c r="M23" s="26">
        <f t="shared" si="6"/>
        <v>0</v>
      </c>
      <c r="N23" s="26">
        <f t="shared" si="6"/>
        <v>0</v>
      </c>
      <c r="O23" s="26">
        <f t="shared" si="6"/>
        <v>0</v>
      </c>
      <c r="P23" s="26">
        <f t="shared" si="6"/>
        <v>0</v>
      </c>
      <c r="Q23" s="26">
        <f t="shared" si="6"/>
        <v>0</v>
      </c>
    </row>
    <row r="24" spans="1:19" x14ac:dyDescent="0.2">
      <c r="A24" s="53" t="s">
        <v>2</v>
      </c>
      <c r="B24" s="39"/>
      <c r="C24" s="39"/>
      <c r="D24" s="39"/>
      <c r="E24" s="249"/>
      <c r="F24" s="250">
        <f t="shared" ref="F24:Q24" si="7">F20-F22+F23</f>
        <v>162000</v>
      </c>
      <c r="G24" s="65">
        <f t="shared" si="7"/>
        <v>120072.59137563527</v>
      </c>
      <c r="H24" s="65">
        <f t="shared" si="7"/>
        <v>118692.89137563527</v>
      </c>
      <c r="I24" s="65">
        <f t="shared" si="7"/>
        <v>117313.19137563527</v>
      </c>
      <c r="J24" s="65">
        <f t="shared" si="7"/>
        <v>115933.49137563526</v>
      </c>
      <c r="K24" s="65">
        <f t="shared" si="7"/>
        <v>114553.79137563528</v>
      </c>
      <c r="L24" s="65">
        <f t="shared" si="7"/>
        <v>113174.09137563527</v>
      </c>
      <c r="M24" s="65">
        <f t="shared" si="7"/>
        <v>111794.39137563527</v>
      </c>
      <c r="N24" s="65">
        <f t="shared" si="7"/>
        <v>110414.69137563527</v>
      </c>
      <c r="O24" s="65">
        <f t="shared" si="7"/>
        <v>109034.99137563526</v>
      </c>
      <c r="P24" s="65">
        <f t="shared" si="7"/>
        <v>107655.29137563526</v>
      </c>
      <c r="Q24" s="66">
        <f t="shared" si="7"/>
        <v>106275.59137563527</v>
      </c>
    </row>
    <row r="25" spans="1:19" x14ac:dyDescent="0.2">
      <c r="E25" s="245"/>
      <c r="F25" s="246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spans="1:19" x14ac:dyDescent="0.2">
      <c r="A26" s="11" t="s">
        <v>3</v>
      </c>
      <c r="E26" s="238"/>
      <c r="F26" s="239">
        <f t="shared" ref="F26:Q26" si="8">$B$28*(F20-F49)</f>
        <v>62370</v>
      </c>
      <c r="G26" s="33">
        <f t="shared" si="8"/>
        <v>46227.947679619581</v>
      </c>
      <c r="H26" s="33">
        <f t="shared" si="8"/>
        <v>29065.661091277201</v>
      </c>
      <c r="I26" s="33">
        <f t="shared" si="8"/>
        <v>31567.420982149481</v>
      </c>
      <c r="J26" s="33">
        <f t="shared" si="8"/>
        <v>33800.525881614158</v>
      </c>
      <c r="K26" s="33">
        <f t="shared" si="8"/>
        <v>35828.26810895274</v>
      </c>
      <c r="L26" s="33">
        <f t="shared" si="8"/>
        <v>37679.106716805996</v>
      </c>
      <c r="M26" s="33">
        <f t="shared" si="8"/>
        <v>38236.864982951105</v>
      </c>
      <c r="N26" s="33">
        <f t="shared" si="8"/>
        <v>37610.067272951106</v>
      </c>
      <c r="O26" s="33">
        <f t="shared" si="8"/>
        <v>36946.311558310343</v>
      </c>
      <c r="P26" s="33">
        <f t="shared" si="8"/>
        <v>36355.409483951109</v>
      </c>
      <c r="Q26" s="33">
        <f t="shared" si="8"/>
        <v>35691.653769310346</v>
      </c>
    </row>
    <row r="27" spans="1:19" ht="15" x14ac:dyDescent="0.35">
      <c r="A27" s="11" t="s">
        <v>4</v>
      </c>
      <c r="E27" s="248"/>
      <c r="F27" s="251">
        <f t="shared" ref="F27:Q27" si="9">F28-F26</f>
        <v>0</v>
      </c>
      <c r="G27" s="6">
        <f t="shared" si="9"/>
        <v>0</v>
      </c>
      <c r="H27" s="6">
        <f t="shared" si="9"/>
        <v>16631.102088342377</v>
      </c>
      <c r="I27" s="6">
        <f t="shared" si="9"/>
        <v>13598.157697470102</v>
      </c>
      <c r="J27" s="6">
        <f t="shared" si="9"/>
        <v>10833.868298005422</v>
      </c>
      <c r="K27" s="6">
        <f t="shared" si="9"/>
        <v>8274.9415706668442</v>
      </c>
      <c r="L27" s="6">
        <f t="shared" si="9"/>
        <v>5892.9184628135845</v>
      </c>
      <c r="M27" s="6">
        <f t="shared" si="9"/>
        <v>4803.9756966684727</v>
      </c>
      <c r="N27" s="6">
        <f t="shared" si="9"/>
        <v>4899.5889066684758</v>
      </c>
      <c r="O27" s="6">
        <f t="shared" si="9"/>
        <v>5032.1601213092363</v>
      </c>
      <c r="P27" s="6">
        <f t="shared" si="9"/>
        <v>5091.8776956684669</v>
      </c>
      <c r="Q27" s="6">
        <f t="shared" si="9"/>
        <v>5224.4489103092346</v>
      </c>
    </row>
    <row r="28" spans="1:19" x14ac:dyDescent="0.2">
      <c r="A28" s="12" t="s">
        <v>0</v>
      </c>
      <c r="B28" s="141">
        <f>Assumptions!D19</f>
        <v>0.38500000000000001</v>
      </c>
      <c r="C28" s="14"/>
      <c r="E28" s="247"/>
      <c r="F28" s="232">
        <f t="shared" ref="F28:Q28" si="10">$B$28*F24</f>
        <v>62370</v>
      </c>
      <c r="G28" s="11">
        <f t="shared" si="10"/>
        <v>46227.947679619581</v>
      </c>
      <c r="H28" s="11">
        <f t="shared" si="10"/>
        <v>45696.763179619578</v>
      </c>
      <c r="I28" s="11">
        <f t="shared" si="10"/>
        <v>45165.578679619583</v>
      </c>
      <c r="J28" s="11">
        <f t="shared" si="10"/>
        <v>44634.39417961958</v>
      </c>
      <c r="K28" s="11">
        <f t="shared" si="10"/>
        <v>44103.209679619584</v>
      </c>
      <c r="L28" s="11">
        <f t="shared" si="10"/>
        <v>43572.025179619581</v>
      </c>
      <c r="M28" s="11">
        <f t="shared" si="10"/>
        <v>43040.840679619578</v>
      </c>
      <c r="N28" s="11">
        <f t="shared" si="10"/>
        <v>42509.656179619582</v>
      </c>
      <c r="O28" s="11">
        <f t="shared" si="10"/>
        <v>41978.471679619579</v>
      </c>
      <c r="P28" s="11">
        <f t="shared" si="10"/>
        <v>41447.287179619576</v>
      </c>
      <c r="Q28" s="11">
        <f t="shared" si="10"/>
        <v>40916.10267961958</v>
      </c>
    </row>
    <row r="29" spans="1:19" x14ac:dyDescent="0.2">
      <c r="A29" s="11"/>
      <c r="E29" s="252"/>
      <c r="F29" s="230"/>
    </row>
    <row r="30" spans="1:19" x14ac:dyDescent="0.2">
      <c r="A30" s="95" t="s">
        <v>16</v>
      </c>
      <c r="B30" s="39"/>
      <c r="C30" s="39"/>
      <c r="D30" s="39"/>
      <c r="E30" s="249"/>
      <c r="F30" s="250">
        <f t="shared" ref="F30:Q30" si="11">F24-F28</f>
        <v>99630</v>
      </c>
      <c r="G30" s="67">
        <f t="shared" si="11"/>
        <v>73844.643696015686</v>
      </c>
      <c r="H30" s="67">
        <f t="shared" si="11"/>
        <v>72996.128196015692</v>
      </c>
      <c r="I30" s="67">
        <f t="shared" si="11"/>
        <v>72147.612696015683</v>
      </c>
      <c r="J30" s="67">
        <f t="shared" si="11"/>
        <v>71299.097196015675</v>
      </c>
      <c r="K30" s="67">
        <f t="shared" si="11"/>
        <v>70450.581696015695</v>
      </c>
      <c r="L30" s="67">
        <f t="shared" si="11"/>
        <v>69602.066196015687</v>
      </c>
      <c r="M30" s="67">
        <f t="shared" si="11"/>
        <v>68753.550696015693</v>
      </c>
      <c r="N30" s="67">
        <f t="shared" si="11"/>
        <v>67905.035196015699</v>
      </c>
      <c r="O30" s="67">
        <f t="shared" si="11"/>
        <v>67056.51969601569</v>
      </c>
      <c r="P30" s="67">
        <f t="shared" si="11"/>
        <v>66208.004196015681</v>
      </c>
      <c r="Q30" s="68">
        <f t="shared" si="11"/>
        <v>65359.488696015687</v>
      </c>
    </row>
    <row r="31" spans="1:19" x14ac:dyDescent="0.2">
      <c r="A31" s="11"/>
      <c r="E31" s="245"/>
      <c r="F31" s="246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5"/>
      <c r="S31" s="25"/>
    </row>
    <row r="32" spans="1:19" x14ac:dyDescent="0.2">
      <c r="A32" s="11" t="s">
        <v>15</v>
      </c>
      <c r="E32" s="238"/>
      <c r="F32" s="239">
        <f t="shared" ref="F32:Q32" si="12">F30+F27+F22</f>
        <v>99630</v>
      </c>
      <c r="G32" s="33">
        <f t="shared" si="12"/>
        <v>121842.0523203804</v>
      </c>
      <c r="H32" s="83">
        <f>H30+H27+H22</f>
        <v>139004.3389087228</v>
      </c>
      <c r="I32" s="33">
        <f t="shared" si="12"/>
        <v>136502.57901785051</v>
      </c>
      <c r="J32" s="33">
        <f t="shared" si="12"/>
        <v>134269.47411838584</v>
      </c>
      <c r="K32" s="33">
        <f t="shared" si="12"/>
        <v>132241.73189104727</v>
      </c>
      <c r="L32" s="33">
        <f t="shared" si="12"/>
        <v>130390.893283194</v>
      </c>
      <c r="M32" s="33">
        <f t="shared" si="12"/>
        <v>129833.1350170489</v>
      </c>
      <c r="N32" s="33">
        <f t="shared" si="12"/>
        <v>130459.9327270489</v>
      </c>
      <c r="O32" s="33">
        <f t="shared" si="12"/>
        <v>131123.68844168965</v>
      </c>
      <c r="P32" s="33">
        <f t="shared" si="12"/>
        <v>131714.59051604889</v>
      </c>
      <c r="Q32" s="33">
        <f t="shared" si="12"/>
        <v>132378.34623068967</v>
      </c>
      <c r="S32" s="13"/>
    </row>
    <row r="33" spans="1:19" x14ac:dyDescent="0.2">
      <c r="A33" s="11"/>
      <c r="E33" s="252"/>
      <c r="F33" s="230"/>
      <c r="S33" s="13"/>
    </row>
    <row r="34" spans="1:19" x14ac:dyDescent="0.2">
      <c r="A34" s="11" t="s">
        <v>23</v>
      </c>
      <c r="B34" s="47" t="s">
        <v>97</v>
      </c>
      <c r="E34" s="238"/>
      <c r="F34" s="239">
        <f t="shared" ref="F34:Q34" si="13">SUM(F35:F37)</f>
        <v>27594</v>
      </c>
      <c r="G34" s="33">
        <f t="shared" si="13"/>
        <v>27594</v>
      </c>
      <c r="H34" s="33">
        <f t="shared" si="13"/>
        <v>27594</v>
      </c>
      <c r="I34" s="33">
        <f t="shared" si="13"/>
        <v>27594</v>
      </c>
      <c r="J34" s="33">
        <f t="shared" si="13"/>
        <v>27594</v>
      </c>
      <c r="K34" s="33">
        <f t="shared" si="13"/>
        <v>27594</v>
      </c>
      <c r="L34" s="33">
        <f t="shared" si="13"/>
        <v>27594</v>
      </c>
      <c r="M34" s="33">
        <f t="shared" si="13"/>
        <v>27594</v>
      </c>
      <c r="N34" s="33">
        <f t="shared" si="13"/>
        <v>27594</v>
      </c>
      <c r="O34" s="33">
        <f t="shared" si="13"/>
        <v>27594</v>
      </c>
      <c r="P34" s="33">
        <f t="shared" si="13"/>
        <v>27594</v>
      </c>
      <c r="Q34" s="33">
        <f t="shared" si="13"/>
        <v>27594</v>
      </c>
      <c r="S34" s="13"/>
    </row>
    <row r="35" spans="1:19" x14ac:dyDescent="0.2">
      <c r="A35" s="11" t="str">
        <f>A14</f>
        <v xml:space="preserve">  Asset 1- Cash Flow Analysis</v>
      </c>
      <c r="B35" s="152">
        <f>Assumptions!$C$37</f>
        <v>1</v>
      </c>
      <c r="E35" s="238"/>
      <c r="F35" s="239">
        <f>'Asset 1'!F29*$B$35</f>
        <v>27594</v>
      </c>
      <c r="G35" s="83">
        <f>'Asset 1'!G29*$B$35</f>
        <v>27594</v>
      </c>
      <c r="H35" s="83">
        <f>'Asset 1'!H29*$B$35</f>
        <v>27594</v>
      </c>
      <c r="I35" s="83">
        <f>'Asset 1'!I29*$B$35</f>
        <v>27594</v>
      </c>
      <c r="J35" s="83">
        <f>'Asset 1'!J29*$B$35</f>
        <v>27594</v>
      </c>
      <c r="K35" s="83">
        <f>'Asset 1'!K29*$B$35</f>
        <v>27594</v>
      </c>
      <c r="L35" s="83">
        <f>'Asset 1'!L29*$B$35</f>
        <v>27594</v>
      </c>
      <c r="M35" s="83">
        <f>'Asset 1'!M29*$B$35</f>
        <v>27594</v>
      </c>
      <c r="N35" s="83">
        <f>'Asset 1'!N29*$B$35</f>
        <v>27594</v>
      </c>
      <c r="O35" s="83">
        <f>'Asset 1'!O29*$B$35</f>
        <v>27594</v>
      </c>
      <c r="P35" s="83">
        <f>'Asset 1'!P29*$B$35</f>
        <v>27594</v>
      </c>
      <c r="Q35" s="83">
        <f>'Asset 1'!Q29*$B$35</f>
        <v>27594</v>
      </c>
      <c r="R35" s="35"/>
      <c r="S35" s="13"/>
    </row>
    <row r="36" spans="1:19" x14ac:dyDescent="0.2">
      <c r="A36" s="11" t="str">
        <f>A15</f>
        <v xml:space="preserve">  Asset 2-Cash Flow Analysis</v>
      </c>
      <c r="B36" s="152">
        <f>Assumptions!$C$40</f>
        <v>0</v>
      </c>
      <c r="E36" s="238"/>
      <c r="F36" s="239">
        <f>'Asset 2'!F27*$B$36</f>
        <v>0</v>
      </c>
      <c r="G36" s="83">
        <f>'Asset 2'!G27*$B$36</f>
        <v>0</v>
      </c>
      <c r="H36" s="83">
        <f>'Asset 2'!H27*$B$36</f>
        <v>0</v>
      </c>
      <c r="I36" s="83">
        <f>'Asset 2'!I27*$B$36</f>
        <v>0</v>
      </c>
      <c r="J36" s="83">
        <f>'Asset 2'!J27*$B$36</f>
        <v>0</v>
      </c>
      <c r="K36" s="83">
        <f>'Asset 2'!K27*$B$36</f>
        <v>0</v>
      </c>
      <c r="L36" s="83">
        <f>'Asset 2'!L27*$B$36</f>
        <v>0</v>
      </c>
      <c r="M36" s="83">
        <f>'Asset 2'!M27*$B$36</f>
        <v>0</v>
      </c>
      <c r="N36" s="83">
        <f>'Asset 2'!N27*$B$36</f>
        <v>0</v>
      </c>
      <c r="O36" s="83">
        <f>'Asset 2'!O27*$B$36</f>
        <v>0</v>
      </c>
      <c r="P36" s="83">
        <f>'Asset 2'!P27*$B$36</f>
        <v>0</v>
      </c>
      <c r="Q36" s="83">
        <f>'Asset 2'!Q27*$B$36</f>
        <v>0</v>
      </c>
      <c r="R36" s="35"/>
      <c r="S36" s="13"/>
    </row>
    <row r="37" spans="1:19" x14ac:dyDescent="0.2">
      <c r="A37" s="11" t="str">
        <f>A16</f>
        <v xml:space="preserve">  Asset 3- Cash Flow Analysis</v>
      </c>
      <c r="B37" s="152">
        <f>Assumptions!$C$43</f>
        <v>0</v>
      </c>
      <c r="E37" s="238"/>
      <c r="F37" s="239">
        <f>'Asset 3'!F27*$B$37</f>
        <v>0</v>
      </c>
      <c r="G37" s="83">
        <f>'Asset 3'!G27*$B$37</f>
        <v>0</v>
      </c>
      <c r="H37" s="83">
        <f>'Asset 3'!H27*$B$37</f>
        <v>0</v>
      </c>
      <c r="I37" s="83">
        <f>'Asset 3'!I27*$B$37</f>
        <v>0</v>
      </c>
      <c r="J37" s="83">
        <f>'Asset 3'!J27*$B$37</f>
        <v>0</v>
      </c>
      <c r="K37" s="83">
        <f>'Asset 3'!K27*$B$37</f>
        <v>0</v>
      </c>
      <c r="L37" s="83">
        <f>'Asset 3'!L27*$B$37</f>
        <v>0</v>
      </c>
      <c r="M37" s="83">
        <f>'Asset 3'!M27*$B$37</f>
        <v>0</v>
      </c>
      <c r="N37" s="83">
        <f>'Asset 3'!N27*$B$37</f>
        <v>0</v>
      </c>
      <c r="O37" s="83">
        <f>'Asset 3'!O27*$B$37</f>
        <v>0</v>
      </c>
      <c r="P37" s="83">
        <f>'Asset 3'!P27*$B$37</f>
        <v>0</v>
      </c>
      <c r="Q37" s="83">
        <f>'Asset 3'!Q27*$B$37</f>
        <v>0</v>
      </c>
      <c r="R37" s="35"/>
      <c r="S37" s="13"/>
    </row>
    <row r="38" spans="1:19" ht="15" x14ac:dyDescent="0.35">
      <c r="A38" s="11"/>
      <c r="E38" s="236"/>
      <c r="F38" s="253"/>
      <c r="G38" s="93"/>
      <c r="H38" s="93"/>
      <c r="I38" s="32"/>
      <c r="J38" s="32"/>
      <c r="K38" s="32"/>
      <c r="L38" s="32"/>
      <c r="M38" s="32"/>
      <c r="N38" s="32"/>
      <c r="O38" s="32"/>
      <c r="P38" s="32"/>
      <c r="Q38" s="32"/>
      <c r="R38" s="146">
        <f>R39/Q20</f>
        <v>8</v>
      </c>
      <c r="S38" s="13"/>
    </row>
    <row r="39" spans="1:19" x14ac:dyDescent="0.2">
      <c r="A39" s="142" t="s">
        <v>17</v>
      </c>
      <c r="B39" s="39"/>
      <c r="C39" s="39"/>
      <c r="D39" s="39"/>
      <c r="E39" s="254"/>
      <c r="F39" s="255">
        <f t="shared" ref="F39:Q39" si="14">F32-F34</f>
        <v>72036</v>
      </c>
      <c r="G39" s="63">
        <f t="shared" si="14"/>
        <v>94248.052320380404</v>
      </c>
      <c r="H39" s="63">
        <f t="shared" si="14"/>
        <v>111410.3389087228</v>
      </c>
      <c r="I39" s="63">
        <f t="shared" si="14"/>
        <v>108908.57901785051</v>
      </c>
      <c r="J39" s="63">
        <f t="shared" si="14"/>
        <v>106675.47411838584</v>
      </c>
      <c r="K39" s="63">
        <f t="shared" si="14"/>
        <v>104647.73189104727</v>
      </c>
      <c r="L39" s="63">
        <f t="shared" si="14"/>
        <v>102796.893283194</v>
      </c>
      <c r="M39" s="63">
        <f t="shared" si="14"/>
        <v>102239.1350170489</v>
      </c>
      <c r="N39" s="63">
        <f t="shared" si="14"/>
        <v>102865.9327270489</v>
      </c>
      <c r="O39" s="63">
        <f t="shared" si="14"/>
        <v>103529.68844168965</v>
      </c>
      <c r="P39" s="63">
        <f t="shared" si="14"/>
        <v>104120.59051604889</v>
      </c>
      <c r="Q39" s="63">
        <f t="shared" si="14"/>
        <v>104784.34623068967</v>
      </c>
      <c r="R39" s="143">
        <f>'Asset 1'!R30*Assumptions!$C$37+'Asset 2'!R28*Assumptions!$C$40+'Asset 3'!R28*Assumptions!$C$43</f>
        <v>1344560</v>
      </c>
      <c r="S39" s="29"/>
    </row>
    <row r="40" spans="1:19" x14ac:dyDescent="0.2">
      <c r="A40" s="28"/>
      <c r="E40" s="33"/>
      <c r="F40" s="85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13"/>
      <c r="S40" s="29"/>
    </row>
    <row r="41" spans="1:19" x14ac:dyDescent="0.2">
      <c r="A41" s="96" t="s">
        <v>44</v>
      </c>
      <c r="B41" s="97">
        <f>Assumptions!D20</f>
        <v>20</v>
      </c>
      <c r="C41" s="97"/>
      <c r="D41" s="382">
        <f>CPurPrice</f>
        <v>932354.17248729453</v>
      </c>
      <c r="E41" s="33"/>
      <c r="F41" s="85"/>
      <c r="G41" s="79">
        <f>1/B41</f>
        <v>0.05</v>
      </c>
      <c r="H41" s="79">
        <f>G41</f>
        <v>0.05</v>
      </c>
      <c r="I41" s="79">
        <f t="shared" ref="I41:P41" si="15">H41</f>
        <v>0.05</v>
      </c>
      <c r="J41" s="79">
        <f t="shared" si="15"/>
        <v>0.05</v>
      </c>
      <c r="K41" s="79">
        <f t="shared" si="15"/>
        <v>0.05</v>
      </c>
      <c r="L41" s="79">
        <f t="shared" si="15"/>
        <v>0.05</v>
      </c>
      <c r="M41" s="79">
        <f t="shared" si="15"/>
        <v>0.05</v>
      </c>
      <c r="N41" s="79">
        <f t="shared" si="15"/>
        <v>0.05</v>
      </c>
      <c r="O41" s="79">
        <f t="shared" si="15"/>
        <v>0.05</v>
      </c>
      <c r="P41" s="79">
        <f t="shared" si="15"/>
        <v>0.05</v>
      </c>
      <c r="Q41" s="80">
        <f>P41</f>
        <v>0.05</v>
      </c>
      <c r="R41" s="13"/>
      <c r="S41" s="29"/>
    </row>
    <row r="42" spans="1:19" x14ac:dyDescent="0.2">
      <c r="A42" s="11" t="s">
        <v>10</v>
      </c>
      <c r="D42" s="94"/>
      <c r="E42" s="33"/>
      <c r="F42" s="85"/>
      <c r="G42" s="33">
        <f>D41/B41</f>
        <v>46617.708624364728</v>
      </c>
      <c r="H42" s="33">
        <f>+G42</f>
        <v>46617.708624364728</v>
      </c>
      <c r="I42" s="33">
        <f t="shared" ref="I42:Q42" si="16">+H42</f>
        <v>46617.708624364728</v>
      </c>
      <c r="J42" s="33">
        <f t="shared" si="16"/>
        <v>46617.708624364728</v>
      </c>
      <c r="K42" s="33">
        <f t="shared" si="16"/>
        <v>46617.708624364728</v>
      </c>
      <c r="L42" s="33">
        <f t="shared" si="16"/>
        <v>46617.708624364728</v>
      </c>
      <c r="M42" s="33">
        <f t="shared" si="16"/>
        <v>46617.708624364728</v>
      </c>
      <c r="N42" s="33">
        <f t="shared" si="16"/>
        <v>46617.708624364728</v>
      </c>
      <c r="O42" s="33">
        <f t="shared" si="16"/>
        <v>46617.708624364728</v>
      </c>
      <c r="P42" s="33">
        <f t="shared" si="16"/>
        <v>46617.708624364728</v>
      </c>
      <c r="Q42" s="33">
        <f t="shared" si="16"/>
        <v>46617.708624364728</v>
      </c>
      <c r="R42" s="13"/>
      <c r="S42" s="29"/>
    </row>
    <row r="43" spans="1:19" ht="15" x14ac:dyDescent="0.35">
      <c r="A43" s="11" t="s">
        <v>11</v>
      </c>
      <c r="E43" s="33"/>
      <c r="F43" s="85"/>
      <c r="G43" s="6">
        <f>($G$34*G$41)</f>
        <v>1379.7</v>
      </c>
      <c r="H43" s="6">
        <f>($G$34*H41)+($H$34*G41)</f>
        <v>2759.4</v>
      </c>
      <c r="I43" s="6">
        <f>($G$34*I41)+($H$34*H41)+($I$34*G41)</f>
        <v>4139.1000000000004</v>
      </c>
      <c r="J43" s="6">
        <f>($G$34*J41)+($H$34*I41)+($I$34*H41)+($J$34*G41)</f>
        <v>5518.8</v>
      </c>
      <c r="K43" s="6">
        <f>($G$34*K41)+($H$34*J41)+($I$34*I41)+($J$34*H41)+($K$34*G41)</f>
        <v>6898.5</v>
      </c>
      <c r="L43" s="6">
        <f>($G$34*L41)+($H$34*K41)+($I$34*J41)+($J$34*I41)+($K$34*H41)+($L$34*G41)</f>
        <v>8278.2000000000007</v>
      </c>
      <c r="M43" s="6">
        <f>($G$34*M41)+($H$34*L41)+($I$34*K41)+($J$34*J41)+($K$34*I41)+($L$34*H41)+($M$34*G41)</f>
        <v>9657.9000000000015</v>
      </c>
      <c r="N43" s="6">
        <f>($G$34*N41)+($H$34*M41)+($I$34*L41)+($J$34*K41)+($K$34*J41)+($L$34*I41)+($M$34*H41)+($N$34*G41)</f>
        <v>11037.600000000002</v>
      </c>
      <c r="O43" s="6">
        <f>($G$34*O41)+($H$34*N41)+($I$34*M41)+($J$34*L41)+($K$34*K41)+($L$34*J41)+($M$34*I41)+($N$34*H41)+($O$34*G41)</f>
        <v>12417.300000000003</v>
      </c>
      <c r="P43" s="6">
        <f>($G$34*P41)+($H$34*O41)+($I$34*N41)+($J$34*M41)+($K$34*L41)+($L$34*K41)+($M$34*J41)+($N$34*I41)+($O$34*H41)+($P$34*G41)</f>
        <v>13797.000000000004</v>
      </c>
      <c r="Q43" s="6">
        <f>($G$34*Q41)+($H$34*P41)+($I$34*O41)+($J$34*N41)+($K$34*M41)+($L$34*L41)+($M$34*K41)+($N$34*J41)+($O$34*I41)+($P$34*H41)+($Q$34*G41)</f>
        <v>15176.700000000004</v>
      </c>
      <c r="R43" s="13"/>
      <c r="S43" s="29"/>
    </row>
    <row r="44" spans="1:19" x14ac:dyDescent="0.2">
      <c r="A44" s="9" t="s">
        <v>0</v>
      </c>
      <c r="E44" s="33"/>
      <c r="F44" s="85"/>
      <c r="G44" s="33">
        <f>+G42+G43</f>
        <v>47997.408624364725</v>
      </c>
      <c r="H44" s="33">
        <f t="shared" ref="H44:Q44" si="17">+H42+H43</f>
        <v>49377.10862436473</v>
      </c>
      <c r="I44" s="33">
        <f t="shared" si="17"/>
        <v>50756.808624364727</v>
      </c>
      <c r="J44" s="33">
        <f t="shared" si="17"/>
        <v>52136.508624364731</v>
      </c>
      <c r="K44" s="33">
        <f t="shared" si="17"/>
        <v>53516.208624364728</v>
      </c>
      <c r="L44" s="33">
        <f t="shared" si="17"/>
        <v>54895.908624364733</v>
      </c>
      <c r="M44" s="33">
        <f t="shared" si="17"/>
        <v>56275.60862436473</v>
      </c>
      <c r="N44" s="33">
        <f t="shared" si="17"/>
        <v>57655.308624364727</v>
      </c>
      <c r="O44" s="33">
        <f t="shared" si="17"/>
        <v>59035.008624364731</v>
      </c>
      <c r="P44" s="33">
        <f t="shared" si="17"/>
        <v>60414.708624364735</v>
      </c>
      <c r="Q44" s="33">
        <f t="shared" si="17"/>
        <v>61794.408624364733</v>
      </c>
      <c r="R44" s="13"/>
      <c r="S44" s="29"/>
    </row>
    <row r="45" spans="1:19" x14ac:dyDescent="0.2">
      <c r="A45" s="11"/>
      <c r="E45" s="25"/>
      <c r="F45" s="84"/>
      <c r="R45" s="87"/>
      <c r="S45" s="13"/>
    </row>
    <row r="46" spans="1:19" x14ac:dyDescent="0.2">
      <c r="A46" s="96" t="s">
        <v>9</v>
      </c>
      <c r="E46" s="25"/>
      <c r="F46" s="84"/>
      <c r="G46" s="71">
        <v>0.05</v>
      </c>
      <c r="H46" s="72">
        <v>9.5000000000000001E-2</v>
      </c>
      <c r="I46" s="72">
        <v>8.5500000000000007E-2</v>
      </c>
      <c r="J46" s="72">
        <v>7.6999999999999999E-2</v>
      </c>
      <c r="K46" s="72">
        <v>6.93E-2</v>
      </c>
      <c r="L46" s="72">
        <v>6.2300000000000001E-2</v>
      </c>
      <c r="M46" s="72">
        <v>5.8999999999999997E-2</v>
      </c>
      <c r="N46" s="72">
        <v>5.8999999999999997E-2</v>
      </c>
      <c r="O46" s="72">
        <v>5.91E-2</v>
      </c>
      <c r="P46" s="72">
        <v>5.8999999999999997E-2</v>
      </c>
      <c r="Q46" s="73">
        <v>5.91E-2</v>
      </c>
      <c r="R46" s="86"/>
      <c r="S46" s="13"/>
    </row>
    <row r="47" spans="1:19" x14ac:dyDescent="0.2">
      <c r="A47" s="11" t="s">
        <v>10</v>
      </c>
      <c r="B47" s="15"/>
      <c r="C47" s="15"/>
      <c r="E47" s="25"/>
      <c r="F47" s="84"/>
      <c r="G47" s="11">
        <f>G46*$D$41</f>
        <v>46617.708624364728</v>
      </c>
      <c r="H47" s="11">
        <f t="shared" ref="H47:Q47" si="18">H46*$D$41</f>
        <v>88573.646386292981</v>
      </c>
      <c r="I47" s="11">
        <f t="shared" si="18"/>
        <v>79716.281747663685</v>
      </c>
      <c r="J47" s="11">
        <f t="shared" si="18"/>
        <v>71791.27128152168</v>
      </c>
      <c r="K47" s="11">
        <f t="shared" si="18"/>
        <v>64612.144153369511</v>
      </c>
      <c r="L47" s="11">
        <f t="shared" si="18"/>
        <v>58085.664945958451</v>
      </c>
      <c r="M47" s="11">
        <f t="shared" si="18"/>
        <v>55008.896176750372</v>
      </c>
      <c r="N47" s="11">
        <f t="shared" si="18"/>
        <v>55008.896176750372</v>
      </c>
      <c r="O47" s="11">
        <f t="shared" si="18"/>
        <v>55102.131593999104</v>
      </c>
      <c r="P47" s="11">
        <f t="shared" si="18"/>
        <v>55008.896176750372</v>
      </c>
      <c r="Q47" s="11">
        <f t="shared" si="18"/>
        <v>55102.131593999104</v>
      </c>
    </row>
    <row r="48" spans="1:19" ht="15" x14ac:dyDescent="0.35">
      <c r="A48" s="11" t="s">
        <v>11</v>
      </c>
      <c r="B48" s="16"/>
      <c r="C48" s="16"/>
      <c r="E48" s="25"/>
      <c r="F48" s="84"/>
      <c r="G48" s="6">
        <f>($G$34*G$46)</f>
        <v>1379.7</v>
      </c>
      <c r="H48" s="6">
        <f>($G$34*H46)+($H$34*G46)</f>
        <v>4001.13</v>
      </c>
      <c r="I48" s="6">
        <f>($G$34*I46)+($H$34*H46)+($I$34*G46)</f>
        <v>6360.4170000000004</v>
      </c>
      <c r="J48" s="6">
        <f>($G$34*J46)+($H$34*I46)+($I$34*H46)+($J$34*G46)</f>
        <v>8485.1550000000007</v>
      </c>
      <c r="K48" s="6">
        <f>($G$34*K46)+($H$34*J46)+($I$34*I46)+($J$34*H46)+($K$34*G46)</f>
        <v>10397.4192</v>
      </c>
      <c r="L48" s="6">
        <f>($G$34*L46)+($H$34*K46)+($I$34*J46)+($J$34*I46)+($K$34*H46)+($L$34*G46)</f>
        <v>12116.5254</v>
      </c>
      <c r="M48" s="6">
        <f>($G$34*M46)+($H$34*L46)+($I$34*K46)+($J$34*J46)+($K$34*I46)+($L$34*H46)+($M$34*G46)</f>
        <v>13744.571400000001</v>
      </c>
      <c r="N48" s="6">
        <f>($G$34*N46)+($H$34*M46)+($I$34*L46)+($J$34*K46)+($K$34*J46)+($L$34*I46)+($M$34*H46)+($N$34*G46)</f>
        <v>15372.617400000001</v>
      </c>
      <c r="O48" s="6">
        <f>($G$34*O46)+($H$34*N46)+($I$34*M46)+($J$34*L46)+($K$34*K46)+($L$34*J46)+($M$34*I46)+($N$34*H46)+($O$34*G46)</f>
        <v>17003.4228</v>
      </c>
      <c r="P48" s="6">
        <f>($G$34*P46)+($H$34*O46)+($I$34*N46)+($J$34*M46)+($K$34*L46)+($L$34*K46)+($M$34*J46)+($N$34*I46)+($O$34*H46)+($P$34*G46)</f>
        <v>18631.468799999999</v>
      </c>
      <c r="Q48" s="6">
        <f>($G$34*Q46)+($H$34*P46)+($I$34*O46)+($J$34*N46)+($K$34*M46)+($L$34*L46)+($M$34*K46)+($N$34*J46)+($O$34*I46)+($P$34*H46)+($Q$34*G46)</f>
        <v>20262.2742</v>
      </c>
    </row>
    <row r="49" spans="1:17" x14ac:dyDescent="0.2">
      <c r="A49" s="9" t="s">
        <v>0</v>
      </c>
      <c r="E49" s="25"/>
      <c r="F49" s="84"/>
      <c r="G49" s="11">
        <f>SUM(G47:G48)</f>
        <v>47997.408624364725</v>
      </c>
      <c r="H49" s="11">
        <f t="shared" ref="H49:Q49" si="19">SUM(H47:H48)</f>
        <v>92574.776386292986</v>
      </c>
      <c r="I49" s="11">
        <f t="shared" si="19"/>
        <v>86076.698747663686</v>
      </c>
      <c r="J49" s="26">
        <f t="shared" si="19"/>
        <v>80276.426281521679</v>
      </c>
      <c r="K49" s="26">
        <f t="shared" si="19"/>
        <v>75009.563353369507</v>
      </c>
      <c r="L49" s="11">
        <f t="shared" si="19"/>
        <v>70202.190345958457</v>
      </c>
      <c r="M49" s="11">
        <f t="shared" si="19"/>
        <v>68753.46757675038</v>
      </c>
      <c r="N49" s="11">
        <f t="shared" si="19"/>
        <v>70381.513576750367</v>
      </c>
      <c r="O49" s="11">
        <f t="shared" si="19"/>
        <v>72105.554393999104</v>
      </c>
      <c r="P49" s="11">
        <f t="shared" si="19"/>
        <v>73640.364976750367</v>
      </c>
      <c r="Q49" s="11">
        <f t="shared" si="19"/>
        <v>75364.405793999103</v>
      </c>
    </row>
    <row r="50" spans="1:17" x14ac:dyDescent="0.2">
      <c r="A50" s="9"/>
      <c r="E50" s="25"/>
      <c r="F50" s="55"/>
    </row>
    <row r="51" spans="1:17" ht="13.5" thickBot="1" x14ac:dyDescent="0.25"/>
    <row r="52" spans="1:17" ht="15" x14ac:dyDescent="0.35">
      <c r="J52" s="264" t="s">
        <v>12</v>
      </c>
      <c r="K52" s="265" t="str">
        <f>(Assumptions!D12-1&amp;" EBITDA")</f>
        <v>2000 EBITDA</v>
      </c>
      <c r="L52" s="266"/>
      <c r="M52" s="398" t="s">
        <v>13</v>
      </c>
      <c r="N52" s="399"/>
      <c r="O52" s="400"/>
    </row>
    <row r="53" spans="1:17" ht="15" x14ac:dyDescent="0.35">
      <c r="J53" s="267" t="s">
        <v>14</v>
      </c>
      <c r="K53" s="268" t="s">
        <v>24</v>
      </c>
      <c r="L53" s="269" t="s">
        <v>182</v>
      </c>
      <c r="M53" s="272">
        <f>CDRate-0.025</f>
        <v>0.1</v>
      </c>
      <c r="N53" s="270">
        <f>Assumptions!D21</f>
        <v>0.125</v>
      </c>
      <c r="O53" s="271">
        <f>CDRate+0.025</f>
        <v>0.15</v>
      </c>
    </row>
    <row r="54" spans="1:17" ht="13.5" thickBot="1" x14ac:dyDescent="0.25">
      <c r="I54" s="162" t="s">
        <v>22</v>
      </c>
      <c r="J54" s="258"/>
      <c r="K54" s="256"/>
      <c r="L54" s="257"/>
      <c r="M54" s="258"/>
      <c r="N54" s="256"/>
      <c r="O54" s="259"/>
    </row>
    <row r="55" spans="1:17" ht="13.5" thickBot="1" x14ac:dyDescent="0.25">
      <c r="I55" s="24">
        <f>IF(ABS(J55-N55)&lt;0.05,0,1)</f>
        <v>0</v>
      </c>
      <c r="J55" s="353">
        <v>932354.17248729453</v>
      </c>
      <c r="K55" s="354">
        <f>J55/F20</f>
        <v>5.7552726696746577</v>
      </c>
      <c r="L55" s="355" t="str">
        <f>Assumptions!D6</f>
        <v>ETS</v>
      </c>
      <c r="M55" s="356">
        <f>NPV(M53,$G39:$R39)</f>
        <v>1105091.0684142313</v>
      </c>
      <c r="N55" s="357">
        <f>NPV(N53,$G39:$R39)</f>
        <v>932354.21133864543</v>
      </c>
      <c r="O55" s="358">
        <f>NPV(O53,$G39:$R39)</f>
        <v>796328.32199328241</v>
      </c>
    </row>
    <row r="56" spans="1:17" x14ac:dyDescent="0.2">
      <c r="I56" s="166"/>
      <c r="J56" s="261" t="str">
        <f>IF(ABS(Asset1PurPrice*Assumptions!$C$37+MethPurPrice*Assumptions!$C$40+OBLPurPrice*Assumptions!$C$43-CPurPrice)&gt;1,CPurPrice-(Asset1PurPrice*Assumptions!$C$37+MethPurPrice*Assumptions!$C$40+OBLPurPrice*Assumptions!$C$43),"")</f>
        <v/>
      </c>
      <c r="K56" s="262"/>
      <c r="L56" s="25"/>
      <c r="M56" s="263"/>
      <c r="N56" s="263"/>
      <c r="O56" s="263"/>
    </row>
    <row r="57" spans="1:17" ht="13.5" thickBot="1" x14ac:dyDescent="0.25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3.5" thickBot="1" x14ac:dyDescent="0.25">
      <c r="J58" s="367" t="s">
        <v>189</v>
      </c>
      <c r="K58" s="368" t="e">
        <f>IRR(H39:R39)+G39</f>
        <v>#NUM!</v>
      </c>
    </row>
  </sheetData>
  <mergeCells count="1">
    <mergeCell ref="M52:O52"/>
  </mergeCells>
  <phoneticPr fontId="0" type="noConversion"/>
  <conditionalFormatting sqref="D19">
    <cfRule type="cellIs" dxfId="3" priority="1" stopIfTrue="1" operator="notBetween">
      <formula>0.25</formula>
      <formula>-0.25</formula>
    </cfRule>
  </conditionalFormatting>
  <pageMargins left="0.5" right="0.5" top="0.5" bottom="0.5" header="0.5" footer="0.5"/>
  <pageSetup scale="54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"/>
  <dimension ref="A1:R90"/>
  <sheetViews>
    <sheetView zoomScale="75" zoomScaleNormal="75" workbookViewId="0">
      <selection activeCell="F36" sqref="F36"/>
    </sheetView>
  </sheetViews>
  <sheetFormatPr defaultRowHeight="12.75" x14ac:dyDescent="0.2"/>
  <cols>
    <col min="1" max="1" width="27.5703125" customWidth="1"/>
    <col min="2" max="2" width="14" bestFit="1" customWidth="1"/>
    <col min="3" max="3" width="12.85546875" customWidth="1"/>
    <col min="4" max="4" width="11.85546875" customWidth="1"/>
    <col min="5" max="5" width="9.140625" style="25"/>
    <col min="6" max="6" width="13" style="25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85" t="str">
        <f>Assumptions!D5</f>
        <v>PG&amp;E Gas Transmission</v>
      </c>
      <c r="B1" s="40"/>
      <c r="E1" s="82"/>
    </row>
    <row r="2" spans="1:18" ht="15.75" x14ac:dyDescent="0.25">
      <c r="A2" s="388" t="s">
        <v>198</v>
      </c>
      <c r="B2" s="275"/>
      <c r="E2" s="59"/>
      <c r="F2" s="329" t="s">
        <v>212</v>
      </c>
      <c r="G2" s="293"/>
      <c r="H2" s="294"/>
      <c r="I2" s="76"/>
      <c r="R2" s="25"/>
    </row>
    <row r="3" spans="1:18" x14ac:dyDescent="0.2">
      <c r="A3" s="276"/>
      <c r="B3" s="275"/>
      <c r="E3" s="59"/>
      <c r="F3" s="295" t="str">
        <f>IF(Asset1Loop&lt;&gt;0,"Run Macro","")</f>
        <v/>
      </c>
      <c r="G3" s="76"/>
      <c r="H3" s="296"/>
      <c r="I3" s="76"/>
      <c r="R3" s="25"/>
    </row>
    <row r="4" spans="1:18" ht="13.5" thickBot="1" x14ac:dyDescent="0.25">
      <c r="A4" s="276"/>
      <c r="B4" s="275"/>
      <c r="E4" s="59"/>
      <c r="F4" s="297"/>
      <c r="G4" s="298"/>
      <c r="H4" s="299"/>
      <c r="I4" s="76"/>
      <c r="R4" s="25"/>
    </row>
    <row r="5" spans="1:18" x14ac:dyDescent="0.2">
      <c r="A5" s="276"/>
      <c r="B5" s="275"/>
      <c r="E5" s="59"/>
      <c r="G5" s="76"/>
      <c r="H5" s="76"/>
      <c r="I5" s="76"/>
      <c r="R5" s="25"/>
    </row>
    <row r="6" spans="1:18" x14ac:dyDescent="0.2">
      <c r="A6" s="276"/>
      <c r="B6" s="275"/>
      <c r="E6" s="59"/>
      <c r="G6" s="76"/>
      <c r="H6" s="76"/>
      <c r="I6" s="76"/>
      <c r="R6" s="25"/>
    </row>
    <row r="7" spans="1:18" x14ac:dyDescent="0.2">
      <c r="E7" s="107"/>
      <c r="F7" s="37">
        <f>G7-1</f>
        <v>2000</v>
      </c>
      <c r="G7" s="36">
        <f>Assumptions!$D$12</f>
        <v>2001</v>
      </c>
      <c r="H7" s="36">
        <f t="shared" ref="H7:Q7" si="0">G7+1</f>
        <v>2002</v>
      </c>
      <c r="I7" s="36">
        <f t="shared" si="0"/>
        <v>2003</v>
      </c>
      <c r="J7" s="36">
        <f t="shared" si="0"/>
        <v>2004</v>
      </c>
      <c r="K7" s="36">
        <f t="shared" si="0"/>
        <v>2005</v>
      </c>
      <c r="L7" s="36">
        <f t="shared" si="0"/>
        <v>2006</v>
      </c>
      <c r="M7" s="36">
        <f t="shared" si="0"/>
        <v>2007</v>
      </c>
      <c r="N7" s="36">
        <f t="shared" si="0"/>
        <v>2008</v>
      </c>
      <c r="O7" s="36">
        <f t="shared" si="0"/>
        <v>2009</v>
      </c>
      <c r="P7" s="36">
        <f t="shared" si="0"/>
        <v>2010</v>
      </c>
      <c r="Q7" s="36">
        <f t="shared" si="0"/>
        <v>2011</v>
      </c>
      <c r="R7" s="25"/>
    </row>
    <row r="8" spans="1:18" x14ac:dyDescent="0.2">
      <c r="A8" s="10" t="s">
        <v>91</v>
      </c>
      <c r="E8" s="59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5"/>
    </row>
    <row r="9" spans="1:18" x14ac:dyDescent="0.2">
      <c r="E9" s="59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5"/>
    </row>
    <row r="10" spans="1:18" x14ac:dyDescent="0.2">
      <c r="D10" s="110"/>
      <c r="E10" s="59"/>
      <c r="F10" s="19"/>
      <c r="G10" s="86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5"/>
    </row>
    <row r="11" spans="1:18" x14ac:dyDescent="0.2">
      <c r="A11" s="123" t="s">
        <v>65</v>
      </c>
      <c r="B11" s="135"/>
      <c r="C11" s="127"/>
      <c r="D11" s="127"/>
      <c r="E11" s="104"/>
      <c r="F11" s="34">
        <f>F43</f>
        <v>222700</v>
      </c>
      <c r="G11" s="100">
        <f>G43</f>
        <v>222700</v>
      </c>
      <c r="H11" s="100">
        <f t="shared" ref="H11:Q11" si="1">H43</f>
        <v>222700</v>
      </c>
      <c r="I11" s="100">
        <f t="shared" si="1"/>
        <v>222700</v>
      </c>
      <c r="J11" s="100">
        <f t="shared" si="1"/>
        <v>222700</v>
      </c>
      <c r="K11" s="100">
        <f t="shared" si="1"/>
        <v>222700</v>
      </c>
      <c r="L11" s="100">
        <f t="shared" si="1"/>
        <v>222700</v>
      </c>
      <c r="M11" s="100">
        <f t="shared" si="1"/>
        <v>222700</v>
      </c>
      <c r="N11" s="100">
        <f t="shared" si="1"/>
        <v>222700</v>
      </c>
      <c r="O11" s="100">
        <f t="shared" si="1"/>
        <v>222700</v>
      </c>
      <c r="P11" s="100">
        <f t="shared" si="1"/>
        <v>222700</v>
      </c>
      <c r="Q11" s="100">
        <f t="shared" si="1"/>
        <v>222700</v>
      </c>
      <c r="R11" s="25"/>
    </row>
    <row r="12" spans="1:18" x14ac:dyDescent="0.2">
      <c r="E12" s="59"/>
      <c r="F12" s="128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5"/>
    </row>
    <row r="13" spans="1:18" x14ac:dyDescent="0.2">
      <c r="D13" s="110"/>
      <c r="E13" s="111"/>
      <c r="F13" s="19"/>
      <c r="G13" s="86" t="str">
        <f>IF(C60=1,A63,IF(C60=2,A69,A72))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5"/>
    </row>
    <row r="14" spans="1:18" x14ac:dyDescent="0.2">
      <c r="A14" s="40" t="s">
        <v>6</v>
      </c>
      <c r="B14" s="134"/>
      <c r="C14" s="40"/>
      <c r="D14" s="127"/>
      <c r="E14" s="124"/>
      <c r="F14" s="34">
        <f>F60</f>
        <v>60700</v>
      </c>
      <c r="G14" s="100">
        <f t="shared" ref="G14:P14" si="2">G60</f>
        <v>54630</v>
      </c>
      <c r="H14" s="100">
        <f t="shared" si="2"/>
        <v>54630</v>
      </c>
      <c r="I14" s="100">
        <f t="shared" si="2"/>
        <v>54630</v>
      </c>
      <c r="J14" s="100">
        <f t="shared" si="2"/>
        <v>54630</v>
      </c>
      <c r="K14" s="100">
        <f t="shared" si="2"/>
        <v>54630</v>
      </c>
      <c r="L14" s="100">
        <f t="shared" si="2"/>
        <v>54630</v>
      </c>
      <c r="M14" s="100">
        <f t="shared" si="2"/>
        <v>54630</v>
      </c>
      <c r="N14" s="100">
        <f t="shared" si="2"/>
        <v>54630</v>
      </c>
      <c r="O14" s="100">
        <f t="shared" si="2"/>
        <v>54630</v>
      </c>
      <c r="P14" s="100">
        <f t="shared" si="2"/>
        <v>54630</v>
      </c>
      <c r="Q14" s="100">
        <f>Q60</f>
        <v>54630</v>
      </c>
      <c r="R14" s="25"/>
    </row>
    <row r="15" spans="1:18" x14ac:dyDescent="0.2">
      <c r="A15" s="8" t="s">
        <v>82</v>
      </c>
      <c r="B15" s="8"/>
      <c r="C15" s="8"/>
      <c r="D15" s="137"/>
      <c r="E15" s="138"/>
      <c r="F15" s="139">
        <f t="shared" ref="F15:Q15" si="3">F11/F14</f>
        <v>3.6688632619439869</v>
      </c>
      <c r="G15" s="140">
        <f t="shared" si="3"/>
        <v>4.0765147354933191</v>
      </c>
      <c r="H15" s="140">
        <f t="shared" si="3"/>
        <v>4.0765147354933191</v>
      </c>
      <c r="I15" s="140">
        <f t="shared" si="3"/>
        <v>4.0765147354933191</v>
      </c>
      <c r="J15" s="140">
        <f t="shared" si="3"/>
        <v>4.0765147354933191</v>
      </c>
      <c r="K15" s="140">
        <f t="shared" si="3"/>
        <v>4.0765147354933191</v>
      </c>
      <c r="L15" s="140">
        <f t="shared" si="3"/>
        <v>4.0765147354933191</v>
      </c>
      <c r="M15" s="140">
        <f t="shared" si="3"/>
        <v>4.0765147354933191</v>
      </c>
      <c r="N15" s="140">
        <f t="shared" si="3"/>
        <v>4.0765147354933191</v>
      </c>
      <c r="O15" s="140">
        <f t="shared" si="3"/>
        <v>4.0765147354933191</v>
      </c>
      <c r="P15" s="140">
        <f t="shared" si="3"/>
        <v>4.0765147354933191</v>
      </c>
      <c r="Q15" s="140">
        <f t="shared" si="3"/>
        <v>4.0765147354933191</v>
      </c>
      <c r="R15" s="25"/>
    </row>
    <row r="16" spans="1:18" x14ac:dyDescent="0.2">
      <c r="A16" s="53" t="s">
        <v>1</v>
      </c>
      <c r="B16" s="39"/>
      <c r="C16" s="39"/>
      <c r="D16" s="39"/>
      <c r="E16" s="108"/>
      <c r="F16" s="60">
        <f t="shared" ref="F16:Q16" si="4">(F11-F14)</f>
        <v>162000</v>
      </c>
      <c r="G16" s="57">
        <f t="shared" si="4"/>
        <v>168070</v>
      </c>
      <c r="H16" s="57">
        <f t="shared" si="4"/>
        <v>168070</v>
      </c>
      <c r="I16" s="57">
        <f t="shared" si="4"/>
        <v>168070</v>
      </c>
      <c r="J16" s="57">
        <f t="shared" si="4"/>
        <v>168070</v>
      </c>
      <c r="K16" s="57">
        <f t="shared" si="4"/>
        <v>168070</v>
      </c>
      <c r="L16" s="57">
        <f t="shared" si="4"/>
        <v>168070</v>
      </c>
      <c r="M16" s="57">
        <f t="shared" si="4"/>
        <v>168070</v>
      </c>
      <c r="N16" s="57">
        <f t="shared" si="4"/>
        <v>168070</v>
      </c>
      <c r="O16" s="57">
        <f t="shared" si="4"/>
        <v>168070</v>
      </c>
      <c r="P16" s="57">
        <f t="shared" si="4"/>
        <v>168070</v>
      </c>
      <c r="Q16" s="58">
        <f t="shared" si="4"/>
        <v>168070</v>
      </c>
      <c r="R16" s="44"/>
    </row>
    <row r="17" spans="1:18" x14ac:dyDescent="0.2">
      <c r="E17" s="59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5"/>
    </row>
    <row r="18" spans="1:18" x14ac:dyDescent="0.2">
      <c r="A18" t="s">
        <v>7</v>
      </c>
      <c r="B18" s="16"/>
      <c r="E18" s="59"/>
      <c r="F18" s="19">
        <v>0</v>
      </c>
      <c r="G18" s="33">
        <f t="shared" ref="G18:Q18" si="5">G85</f>
        <v>47997.408624364725</v>
      </c>
      <c r="H18" s="33">
        <f t="shared" si="5"/>
        <v>49377.10862436473</v>
      </c>
      <c r="I18" s="33">
        <f t="shared" si="5"/>
        <v>50756.808624364727</v>
      </c>
      <c r="J18" s="33">
        <f t="shared" si="5"/>
        <v>52136.508624364731</v>
      </c>
      <c r="K18" s="33">
        <f t="shared" si="5"/>
        <v>53516.208624364728</v>
      </c>
      <c r="L18" s="33">
        <f t="shared" si="5"/>
        <v>54895.908624364733</v>
      </c>
      <c r="M18" s="33">
        <f t="shared" si="5"/>
        <v>56275.60862436473</v>
      </c>
      <c r="N18" s="33">
        <f t="shared" si="5"/>
        <v>57655.308624364727</v>
      </c>
      <c r="O18" s="33">
        <f t="shared" si="5"/>
        <v>59035.008624364731</v>
      </c>
      <c r="P18" s="33">
        <f t="shared" si="5"/>
        <v>60414.708624364735</v>
      </c>
      <c r="Q18" s="33">
        <f t="shared" si="5"/>
        <v>61794.408624364733</v>
      </c>
      <c r="R18" s="25"/>
    </row>
    <row r="19" spans="1:18" x14ac:dyDescent="0.2">
      <c r="E19" s="59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5"/>
    </row>
    <row r="20" spans="1:18" x14ac:dyDescent="0.2">
      <c r="A20" s="53" t="s">
        <v>2</v>
      </c>
      <c r="B20" s="39"/>
      <c r="C20" s="39"/>
      <c r="D20" s="39"/>
      <c r="E20" s="108"/>
      <c r="F20" s="60">
        <f>F16-F18</f>
        <v>162000</v>
      </c>
      <c r="G20" s="61">
        <f t="shared" ref="G20:Q20" si="6">G16-G18</f>
        <v>120072.59137563527</v>
      </c>
      <c r="H20" s="61">
        <f t="shared" si="6"/>
        <v>118692.89137563527</v>
      </c>
      <c r="I20" s="61">
        <f t="shared" si="6"/>
        <v>117313.19137563527</v>
      </c>
      <c r="J20" s="57">
        <f t="shared" si="6"/>
        <v>115933.49137563526</v>
      </c>
      <c r="K20" s="57">
        <f t="shared" si="6"/>
        <v>114553.79137563528</v>
      </c>
      <c r="L20" s="61">
        <f t="shared" si="6"/>
        <v>113174.09137563527</v>
      </c>
      <c r="M20" s="61">
        <f t="shared" si="6"/>
        <v>111794.39137563527</v>
      </c>
      <c r="N20" s="61">
        <f t="shared" si="6"/>
        <v>110414.69137563527</v>
      </c>
      <c r="O20" s="61">
        <f t="shared" si="6"/>
        <v>109034.99137563526</v>
      </c>
      <c r="P20" s="61">
        <f t="shared" si="6"/>
        <v>107655.29137563526</v>
      </c>
      <c r="Q20" s="62">
        <f t="shared" si="6"/>
        <v>106275.59137563527</v>
      </c>
      <c r="R20" s="25"/>
    </row>
    <row r="21" spans="1:18" x14ac:dyDescent="0.2">
      <c r="E21" s="59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5"/>
    </row>
    <row r="22" spans="1:18" x14ac:dyDescent="0.2">
      <c r="A22" s="2" t="s">
        <v>3</v>
      </c>
      <c r="E22" s="130"/>
      <c r="F22" s="19"/>
      <c r="G22" s="1">
        <f t="shared" ref="G22:Q22" si="7">$B$24*(G16-G90)</f>
        <v>46227.947679619581</v>
      </c>
      <c r="H22" s="1">
        <f t="shared" si="7"/>
        <v>29065.661091277201</v>
      </c>
      <c r="I22" s="1">
        <f t="shared" si="7"/>
        <v>31567.420982149481</v>
      </c>
      <c r="J22" s="1">
        <f t="shared" si="7"/>
        <v>33800.525881614158</v>
      </c>
      <c r="K22" s="1">
        <f t="shared" si="7"/>
        <v>35828.26810895274</v>
      </c>
      <c r="L22" s="1">
        <f t="shared" si="7"/>
        <v>37679.106716805996</v>
      </c>
      <c r="M22" s="1">
        <f t="shared" si="7"/>
        <v>38236.864982951105</v>
      </c>
      <c r="N22" s="1">
        <f t="shared" si="7"/>
        <v>37610.067272951106</v>
      </c>
      <c r="O22" s="1">
        <f t="shared" si="7"/>
        <v>36946.311558310343</v>
      </c>
      <c r="P22" s="1">
        <f t="shared" si="7"/>
        <v>36355.409483951109</v>
      </c>
      <c r="Q22" s="1">
        <f t="shared" si="7"/>
        <v>35691.653769310346</v>
      </c>
      <c r="R22" s="25"/>
    </row>
    <row r="23" spans="1:18" ht="15" x14ac:dyDescent="0.35">
      <c r="A23" s="2" t="s">
        <v>4</v>
      </c>
      <c r="E23" s="105"/>
      <c r="F23" s="18"/>
      <c r="G23" s="3">
        <f t="shared" ref="G23:Q23" si="8">G24-G22</f>
        <v>0</v>
      </c>
      <c r="H23" s="3">
        <f t="shared" si="8"/>
        <v>16631.102088342377</v>
      </c>
      <c r="I23" s="3">
        <f t="shared" si="8"/>
        <v>13598.157697470102</v>
      </c>
      <c r="J23" s="3">
        <f t="shared" si="8"/>
        <v>10833.868298005422</v>
      </c>
      <c r="K23" s="3">
        <f t="shared" si="8"/>
        <v>8274.9415706668442</v>
      </c>
      <c r="L23" s="3">
        <f t="shared" si="8"/>
        <v>5892.9184628135845</v>
      </c>
      <c r="M23" s="3">
        <f t="shared" si="8"/>
        <v>4803.9756966684727</v>
      </c>
      <c r="N23" s="3">
        <f t="shared" si="8"/>
        <v>4899.5889066684758</v>
      </c>
      <c r="O23" s="3">
        <f t="shared" si="8"/>
        <v>5032.1601213092363</v>
      </c>
      <c r="P23" s="3">
        <f t="shared" si="8"/>
        <v>5091.8776956684669</v>
      </c>
      <c r="Q23" s="3">
        <f t="shared" si="8"/>
        <v>5224.4489103092346</v>
      </c>
      <c r="R23" s="25"/>
    </row>
    <row r="24" spans="1:18" x14ac:dyDescent="0.2">
      <c r="A24" s="4" t="s">
        <v>0</v>
      </c>
      <c r="B24" s="170">
        <f>Assumptions!D19</f>
        <v>0.38500000000000001</v>
      </c>
      <c r="E24" s="130"/>
      <c r="F24" s="19">
        <v>0</v>
      </c>
      <c r="G24" s="1">
        <f t="shared" ref="G24:Q24" si="9">$B$24*G20</f>
        <v>46227.947679619581</v>
      </c>
      <c r="H24" s="1">
        <f t="shared" si="9"/>
        <v>45696.763179619578</v>
      </c>
      <c r="I24" s="1">
        <f t="shared" si="9"/>
        <v>45165.578679619583</v>
      </c>
      <c r="J24" s="1">
        <f t="shared" si="9"/>
        <v>44634.39417961958</v>
      </c>
      <c r="K24" s="1">
        <f t="shared" si="9"/>
        <v>44103.209679619584</v>
      </c>
      <c r="L24" s="1">
        <f t="shared" si="9"/>
        <v>43572.025179619581</v>
      </c>
      <c r="M24" s="1">
        <f t="shared" si="9"/>
        <v>43040.840679619578</v>
      </c>
      <c r="N24" s="1">
        <f t="shared" si="9"/>
        <v>42509.656179619582</v>
      </c>
      <c r="O24" s="1">
        <f t="shared" si="9"/>
        <v>41978.471679619579</v>
      </c>
      <c r="P24" s="1">
        <f t="shared" si="9"/>
        <v>41447.287179619576</v>
      </c>
      <c r="Q24" s="1">
        <f t="shared" si="9"/>
        <v>40916.10267961958</v>
      </c>
      <c r="R24" s="25"/>
    </row>
    <row r="25" spans="1:18" x14ac:dyDescent="0.2">
      <c r="A25" s="1"/>
      <c r="E25" s="59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5"/>
    </row>
    <row r="26" spans="1:18" x14ac:dyDescent="0.2">
      <c r="A26" s="81" t="s">
        <v>16</v>
      </c>
      <c r="B26" s="39"/>
      <c r="C26" s="39"/>
      <c r="D26" s="39"/>
      <c r="E26" s="131"/>
      <c r="F26" s="60">
        <f t="shared" ref="F26:Q26" si="10">F20-F24</f>
        <v>162000</v>
      </c>
      <c r="G26" s="61">
        <f t="shared" si="10"/>
        <v>73844.643696015686</v>
      </c>
      <c r="H26" s="61">
        <f t="shared" si="10"/>
        <v>72996.128196015692</v>
      </c>
      <c r="I26" s="61">
        <f t="shared" si="10"/>
        <v>72147.612696015683</v>
      </c>
      <c r="J26" s="57">
        <f t="shared" si="10"/>
        <v>71299.097196015675</v>
      </c>
      <c r="K26" s="57">
        <f t="shared" si="10"/>
        <v>70450.581696015695</v>
      </c>
      <c r="L26" s="61">
        <f t="shared" si="10"/>
        <v>69602.066196015687</v>
      </c>
      <c r="M26" s="61">
        <f t="shared" si="10"/>
        <v>68753.550696015693</v>
      </c>
      <c r="N26" s="61">
        <f t="shared" si="10"/>
        <v>67905.035196015699</v>
      </c>
      <c r="O26" s="61">
        <f t="shared" si="10"/>
        <v>67056.51969601569</v>
      </c>
      <c r="P26" s="61">
        <f t="shared" si="10"/>
        <v>66208.004196015681</v>
      </c>
      <c r="Q26" s="62">
        <f t="shared" si="10"/>
        <v>65359.488696015687</v>
      </c>
    </row>
    <row r="27" spans="1:18" x14ac:dyDescent="0.2">
      <c r="A27" s="2"/>
      <c r="E27" s="59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1</v>
      </c>
    </row>
    <row r="28" spans="1:18" x14ac:dyDescent="0.2">
      <c r="A28" s="2" t="s">
        <v>15</v>
      </c>
      <c r="E28" s="59"/>
      <c r="F28" s="19">
        <f t="shared" ref="F28:Q28" si="11">F26+F23+F18</f>
        <v>162000</v>
      </c>
      <c r="G28" s="1">
        <f t="shared" si="11"/>
        <v>121842.0523203804</v>
      </c>
      <c r="H28" s="1">
        <f t="shared" si="11"/>
        <v>139004.3389087228</v>
      </c>
      <c r="I28" s="1">
        <f t="shared" si="11"/>
        <v>136502.57901785051</v>
      </c>
      <c r="J28" s="13">
        <f t="shared" si="11"/>
        <v>134269.47411838584</v>
      </c>
      <c r="K28" s="13">
        <f t="shared" si="11"/>
        <v>132241.73189104727</v>
      </c>
      <c r="L28" s="1">
        <f t="shared" si="11"/>
        <v>130390.893283194</v>
      </c>
      <c r="M28" s="1">
        <f t="shared" si="11"/>
        <v>129833.1350170489</v>
      </c>
      <c r="N28" s="1">
        <f t="shared" si="11"/>
        <v>130459.9327270489</v>
      </c>
      <c r="O28" s="1">
        <f t="shared" si="11"/>
        <v>131123.68844168965</v>
      </c>
      <c r="P28" s="1">
        <f t="shared" si="11"/>
        <v>131714.59051604889</v>
      </c>
      <c r="Q28" s="1">
        <f t="shared" si="11"/>
        <v>132378.34623068967</v>
      </c>
      <c r="R28" s="20" t="s">
        <v>70</v>
      </c>
    </row>
    <row r="29" spans="1:18" x14ac:dyDescent="0.2">
      <c r="A29" s="2" t="s">
        <v>23</v>
      </c>
      <c r="B29" s="171">
        <f>Assumptions!C44</f>
        <v>1</v>
      </c>
      <c r="E29" s="59"/>
      <c r="F29" s="19">
        <f>F78</f>
        <v>27594</v>
      </c>
      <c r="G29" s="13">
        <f>G78</f>
        <v>27594</v>
      </c>
      <c r="H29" s="13">
        <f t="shared" ref="H29:Q29" si="12">H78</f>
        <v>27594</v>
      </c>
      <c r="I29" s="13">
        <f t="shared" si="12"/>
        <v>27594</v>
      </c>
      <c r="J29" s="13">
        <f t="shared" si="12"/>
        <v>27594</v>
      </c>
      <c r="K29" s="13">
        <f t="shared" si="12"/>
        <v>27594</v>
      </c>
      <c r="L29" s="13">
        <f t="shared" si="12"/>
        <v>27594</v>
      </c>
      <c r="M29" s="13">
        <f t="shared" si="12"/>
        <v>27594</v>
      </c>
      <c r="N29" s="13">
        <f t="shared" si="12"/>
        <v>27594</v>
      </c>
      <c r="O29" s="13">
        <f t="shared" si="12"/>
        <v>27594</v>
      </c>
      <c r="P29" s="13">
        <f t="shared" si="12"/>
        <v>27594</v>
      </c>
      <c r="Q29" s="13">
        <f t="shared" si="12"/>
        <v>27594</v>
      </c>
      <c r="R29" s="397">
        <f>Assumptions!E37</f>
        <v>8</v>
      </c>
    </row>
    <row r="30" spans="1:18" x14ac:dyDescent="0.2">
      <c r="A30" s="115" t="s">
        <v>17</v>
      </c>
      <c r="B30" s="39"/>
      <c r="C30" s="39"/>
      <c r="D30" s="39"/>
      <c r="E30" s="108"/>
      <c r="F30" s="60">
        <f t="shared" ref="F30:Q30" si="13">F28-F29</f>
        <v>134406</v>
      </c>
      <c r="G30" s="57">
        <f t="shared" si="13"/>
        <v>94248.052320380404</v>
      </c>
      <c r="H30" s="57">
        <f t="shared" si="13"/>
        <v>111410.3389087228</v>
      </c>
      <c r="I30" s="57">
        <f t="shared" si="13"/>
        <v>108908.57901785051</v>
      </c>
      <c r="J30" s="57">
        <f t="shared" si="13"/>
        <v>106675.47411838584</v>
      </c>
      <c r="K30" s="57">
        <f t="shared" si="13"/>
        <v>104647.73189104727</v>
      </c>
      <c r="L30" s="57">
        <f t="shared" si="13"/>
        <v>102796.893283194</v>
      </c>
      <c r="M30" s="57">
        <f t="shared" si="13"/>
        <v>102239.1350170489</v>
      </c>
      <c r="N30" s="57">
        <f t="shared" si="13"/>
        <v>102865.9327270489</v>
      </c>
      <c r="O30" s="57">
        <f t="shared" si="13"/>
        <v>103529.68844168965</v>
      </c>
      <c r="P30" s="57">
        <f t="shared" si="13"/>
        <v>104120.59051604889</v>
      </c>
      <c r="Q30" s="57">
        <f t="shared" si="13"/>
        <v>104784.34623068967</v>
      </c>
      <c r="R30" s="58">
        <f>Q16*$R$29</f>
        <v>1344560</v>
      </c>
    </row>
    <row r="31" spans="1:18" x14ac:dyDescent="0.2">
      <c r="A31" s="4"/>
      <c r="D31" s="9" t="s">
        <v>243</v>
      </c>
      <c r="E31" s="396">
        <f>IRR(F31:R31)</f>
        <v>0.12500000636250147</v>
      </c>
      <c r="F31" s="19">
        <f>-Asset1PurPrice</f>
        <v>-932354.17248729453</v>
      </c>
      <c r="G31" s="13">
        <f>G30</f>
        <v>94248.052320380404</v>
      </c>
      <c r="H31" s="13">
        <f t="shared" ref="H31:R31" si="14">H30</f>
        <v>111410.3389087228</v>
      </c>
      <c r="I31" s="13">
        <f t="shared" si="14"/>
        <v>108908.57901785051</v>
      </c>
      <c r="J31" s="13">
        <f t="shared" si="14"/>
        <v>106675.47411838584</v>
      </c>
      <c r="K31" s="13">
        <f t="shared" si="14"/>
        <v>104647.73189104727</v>
      </c>
      <c r="L31" s="13">
        <f t="shared" si="14"/>
        <v>102796.893283194</v>
      </c>
      <c r="M31" s="13">
        <f t="shared" si="14"/>
        <v>102239.1350170489</v>
      </c>
      <c r="N31" s="13">
        <f t="shared" si="14"/>
        <v>102865.9327270489</v>
      </c>
      <c r="O31" s="13">
        <f t="shared" si="14"/>
        <v>103529.68844168965</v>
      </c>
      <c r="P31" s="13">
        <f t="shared" si="14"/>
        <v>104120.59051604889</v>
      </c>
      <c r="Q31" s="13">
        <f t="shared" si="14"/>
        <v>104784.34623068967</v>
      </c>
      <c r="R31" s="13">
        <f t="shared" si="14"/>
        <v>1344560</v>
      </c>
    </row>
    <row r="32" spans="1:18" ht="13.5" thickBot="1" x14ac:dyDescent="0.25">
      <c r="R32" s="13"/>
    </row>
    <row r="33" spans="1:18" ht="15" x14ac:dyDescent="0.35">
      <c r="F33"/>
      <c r="G33" s="279" t="s">
        <v>12</v>
      </c>
      <c r="H33" s="280" t="str">
        <f>(Assumptions!D12-1&amp;" EBITDA")</f>
        <v>2000 EBITDA</v>
      </c>
      <c r="I33" s="280" t="s">
        <v>72</v>
      </c>
      <c r="J33" s="281"/>
      <c r="K33" s="401" t="s">
        <v>13</v>
      </c>
      <c r="L33" s="401"/>
      <c r="M33" s="402"/>
      <c r="P33" s="1"/>
      <c r="Q33" s="1"/>
      <c r="R33" s="1"/>
    </row>
    <row r="34" spans="1:18" ht="15" x14ac:dyDescent="0.35">
      <c r="F34"/>
      <c r="G34" s="282" t="s">
        <v>14</v>
      </c>
      <c r="H34" s="283" t="s">
        <v>24</v>
      </c>
      <c r="I34" s="283" t="s">
        <v>73</v>
      </c>
      <c r="J34" s="284"/>
      <c r="K34" s="285">
        <f>Asset1Drate-0.025</f>
        <v>0.1</v>
      </c>
      <c r="L34" s="285">
        <f>Assumptions!H37</f>
        <v>0.125</v>
      </c>
      <c r="M34" s="286">
        <f>Asset1Drate+0.025</f>
        <v>0.15</v>
      </c>
      <c r="P34" s="1"/>
      <c r="Q34" s="1"/>
      <c r="R34" s="1"/>
    </row>
    <row r="35" spans="1:18" x14ac:dyDescent="0.2">
      <c r="F35" s="9" t="s">
        <v>22</v>
      </c>
      <c r="G35" s="287"/>
      <c r="H35" s="288"/>
      <c r="I35" s="288"/>
      <c r="J35" s="277"/>
      <c r="K35" s="277"/>
      <c r="L35" s="277"/>
      <c r="M35" s="289"/>
      <c r="P35" s="1"/>
      <c r="Q35" s="1"/>
      <c r="R35" s="1"/>
    </row>
    <row r="36" spans="1:18" ht="13.5" thickBot="1" x14ac:dyDescent="0.25">
      <c r="F36">
        <f>IF(ABS(G36-L36)&lt;0.05,0,1)</f>
        <v>0</v>
      </c>
      <c r="G36" s="359">
        <v>932354.17248729453</v>
      </c>
      <c r="H36" s="360">
        <f>G36/F16</f>
        <v>5.7552726696746577</v>
      </c>
      <c r="I36" s="361" t="str">
        <f>Assumptions!D40</f>
        <v>ETS</v>
      </c>
      <c r="J36" s="362"/>
      <c r="K36" s="290">
        <f>NPV(K34,$G$30:$R$30)</f>
        <v>1105091.0684142313</v>
      </c>
      <c r="L36" s="291">
        <f>NPV(L34,$G$30:$R$30)</f>
        <v>932354.21133864543</v>
      </c>
      <c r="M36" s="292">
        <f>NPV(M34,$G$30:$R$30)</f>
        <v>796328.32199328241</v>
      </c>
      <c r="P36" s="1"/>
      <c r="Q36" s="1"/>
      <c r="R36" s="1"/>
    </row>
    <row r="37" spans="1:18" x14ac:dyDescent="0.2">
      <c r="F37"/>
      <c r="G37" s="13"/>
      <c r="H37" s="278"/>
      <c r="I37" s="278"/>
      <c r="J37" s="13"/>
      <c r="K37" s="100"/>
      <c r="L37" s="100"/>
      <c r="M37" s="100"/>
      <c r="P37" s="1"/>
      <c r="Q37" s="1"/>
      <c r="R37" s="1"/>
    </row>
    <row r="38" spans="1:18" x14ac:dyDescent="0.2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">
      <c r="E39" s="13"/>
      <c r="F39" s="13"/>
      <c r="G39" s="13"/>
      <c r="I39" s="25"/>
      <c r="J39" s="25"/>
      <c r="K39" s="25"/>
      <c r="L39" s="25"/>
      <c r="M39" s="25"/>
      <c r="N39" s="25"/>
      <c r="O39" s="25"/>
      <c r="P39" s="25"/>
      <c r="Q39" s="25"/>
    </row>
    <row r="40" spans="1:18" x14ac:dyDescent="0.2">
      <c r="E40" s="13"/>
      <c r="F40" s="13"/>
      <c r="G40" s="13"/>
      <c r="H40" s="13"/>
      <c r="I40" s="25"/>
      <c r="J40" s="25"/>
      <c r="K40" s="25"/>
      <c r="L40" s="25"/>
      <c r="M40" s="25"/>
      <c r="N40" s="25"/>
      <c r="O40" s="25"/>
      <c r="P40" s="25"/>
      <c r="Q40" s="25"/>
    </row>
    <row r="41" spans="1:18" ht="13.5" thickBot="1" x14ac:dyDescent="0.25">
      <c r="A41" s="7" t="s">
        <v>75</v>
      </c>
    </row>
    <row r="42" spans="1:18" ht="13.5" thickBot="1" x14ac:dyDescent="0.25">
      <c r="B42" s="21" t="s">
        <v>69</v>
      </c>
      <c r="C42" s="116" t="s">
        <v>47</v>
      </c>
      <c r="F42" s="113">
        <f>G42-1</f>
        <v>2000</v>
      </c>
      <c r="G42" s="7">
        <f>Assumptions!D12</f>
        <v>2001</v>
      </c>
      <c r="H42" s="7">
        <f t="shared" ref="H42:Q42" si="15">G42+1</f>
        <v>2002</v>
      </c>
      <c r="I42" s="7">
        <f t="shared" si="15"/>
        <v>2003</v>
      </c>
      <c r="J42" s="7">
        <f t="shared" si="15"/>
        <v>2004</v>
      </c>
      <c r="K42" s="7">
        <f t="shared" si="15"/>
        <v>2005</v>
      </c>
      <c r="L42" s="7">
        <f t="shared" si="15"/>
        <v>2006</v>
      </c>
      <c r="M42" s="7">
        <f t="shared" si="15"/>
        <v>2007</v>
      </c>
      <c r="N42" s="7">
        <f t="shared" si="15"/>
        <v>2008</v>
      </c>
      <c r="O42" s="7">
        <f t="shared" si="15"/>
        <v>2009</v>
      </c>
      <c r="P42" s="7">
        <f t="shared" si="15"/>
        <v>2010</v>
      </c>
      <c r="Q42" s="7">
        <f t="shared" si="15"/>
        <v>2011</v>
      </c>
    </row>
    <row r="43" spans="1:18" ht="13.5" thickBot="1" x14ac:dyDescent="0.25">
      <c r="A43" s="106" t="str">
        <f>A2</f>
        <v xml:space="preserve">  Asset 1- Cash Flow Analysis</v>
      </c>
      <c r="B43" s="176">
        <f>Assumptions!C44</f>
        <v>1</v>
      </c>
      <c r="C43" s="177">
        <v>1</v>
      </c>
      <c r="D43" s="39"/>
      <c r="E43" s="92"/>
      <c r="F43" s="60">
        <f>F48*$B$43</f>
        <v>222700</v>
      </c>
      <c r="G43" s="61">
        <f t="shared" ref="G43:Q43" si="16">CHOOSE($C$43,G48,G51,G54)*$B$43+G44</f>
        <v>222700</v>
      </c>
      <c r="H43" s="61">
        <f t="shared" si="16"/>
        <v>222700</v>
      </c>
      <c r="I43" s="61">
        <f t="shared" si="16"/>
        <v>222700</v>
      </c>
      <c r="J43" s="61">
        <f t="shared" si="16"/>
        <v>222700</v>
      </c>
      <c r="K43" s="61">
        <f t="shared" si="16"/>
        <v>222700</v>
      </c>
      <c r="L43" s="61">
        <f t="shared" si="16"/>
        <v>222700</v>
      </c>
      <c r="M43" s="61">
        <f t="shared" si="16"/>
        <v>222700</v>
      </c>
      <c r="N43" s="61">
        <f t="shared" si="16"/>
        <v>222700</v>
      </c>
      <c r="O43" s="61">
        <f t="shared" si="16"/>
        <v>222700</v>
      </c>
      <c r="P43" s="61">
        <f t="shared" si="16"/>
        <v>222700</v>
      </c>
      <c r="Q43" s="62">
        <f t="shared" si="16"/>
        <v>222700</v>
      </c>
    </row>
    <row r="44" spans="1:18" x14ac:dyDescent="0.2">
      <c r="C44" s="50"/>
      <c r="F44" s="128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">
      <c r="C45" s="117"/>
      <c r="D45" s="110"/>
      <c r="F45" s="13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">
      <c r="A46" s="8" t="str">
        <f>Assumptions!B50</f>
        <v>1. Base Case</v>
      </c>
      <c r="C46" s="117">
        <v>1</v>
      </c>
    </row>
    <row r="47" spans="1:18" ht="15" x14ac:dyDescent="0.35">
      <c r="A47" t="s">
        <v>105</v>
      </c>
      <c r="C47" s="117"/>
      <c r="D47" s="156"/>
      <c r="E47" s="59"/>
      <c r="F47" s="18">
        <v>222700</v>
      </c>
      <c r="G47" s="6">
        <f>F47</f>
        <v>222700</v>
      </c>
      <c r="H47" s="6">
        <f>G47</f>
        <v>222700</v>
      </c>
      <c r="I47" s="6">
        <f t="shared" ref="I47:Q47" si="17">H47</f>
        <v>222700</v>
      </c>
      <c r="J47" s="6">
        <f t="shared" si="17"/>
        <v>222700</v>
      </c>
      <c r="K47" s="6">
        <f t="shared" si="17"/>
        <v>222700</v>
      </c>
      <c r="L47" s="6">
        <f t="shared" si="17"/>
        <v>222700</v>
      </c>
      <c r="M47" s="6">
        <f t="shared" si="17"/>
        <v>222700</v>
      </c>
      <c r="N47" s="6">
        <f t="shared" si="17"/>
        <v>222700</v>
      </c>
      <c r="O47" s="6">
        <f t="shared" si="17"/>
        <v>222700</v>
      </c>
      <c r="P47" s="6">
        <f t="shared" si="17"/>
        <v>222700</v>
      </c>
      <c r="Q47" s="6">
        <f t="shared" si="17"/>
        <v>222700</v>
      </c>
    </row>
    <row r="48" spans="1:18" x14ac:dyDescent="0.2">
      <c r="A48" s="76" t="s">
        <v>0</v>
      </c>
      <c r="B48" s="155">
        <v>1</v>
      </c>
      <c r="C48" s="117"/>
      <c r="D48" s="129"/>
      <c r="E48" s="104"/>
      <c r="F48" s="34">
        <f>SUM(F47:F47)*$B$48</f>
        <v>222700</v>
      </c>
      <c r="G48" s="100">
        <f t="shared" ref="G48:Q48" si="18">SUM(G47:G47)*$B$48+G49</f>
        <v>222700</v>
      </c>
      <c r="H48" s="100">
        <f t="shared" si="18"/>
        <v>222700</v>
      </c>
      <c r="I48" s="100">
        <f t="shared" si="18"/>
        <v>222700</v>
      </c>
      <c r="J48" s="100">
        <f t="shared" si="18"/>
        <v>222700</v>
      </c>
      <c r="K48" s="100">
        <f t="shared" si="18"/>
        <v>222700</v>
      </c>
      <c r="L48" s="100">
        <f t="shared" si="18"/>
        <v>222700</v>
      </c>
      <c r="M48" s="100">
        <f t="shared" si="18"/>
        <v>222700</v>
      </c>
      <c r="N48" s="100">
        <f t="shared" si="18"/>
        <v>222700</v>
      </c>
      <c r="O48" s="100">
        <f t="shared" si="18"/>
        <v>222700</v>
      </c>
      <c r="P48" s="100">
        <f t="shared" si="18"/>
        <v>222700</v>
      </c>
      <c r="Q48" s="100">
        <f t="shared" si="18"/>
        <v>222700</v>
      </c>
    </row>
    <row r="49" spans="1:17" x14ac:dyDescent="0.2">
      <c r="C49" s="117"/>
      <c r="F49" s="128" t="s">
        <v>45</v>
      </c>
      <c r="G49" s="1">
        <v>0</v>
      </c>
      <c r="H49" s="1">
        <v>0</v>
      </c>
      <c r="I49" s="1">
        <f t="shared" ref="I49:Q49" si="19">H49</f>
        <v>0</v>
      </c>
      <c r="J49" s="13">
        <f t="shared" si="19"/>
        <v>0</v>
      </c>
      <c r="K49" s="13">
        <f t="shared" si="19"/>
        <v>0</v>
      </c>
      <c r="L49" s="1">
        <f t="shared" si="19"/>
        <v>0</v>
      </c>
      <c r="M49" s="1">
        <f t="shared" si="19"/>
        <v>0</v>
      </c>
      <c r="N49" s="1">
        <f t="shared" si="19"/>
        <v>0</v>
      </c>
      <c r="O49" s="1">
        <f t="shared" si="19"/>
        <v>0</v>
      </c>
      <c r="P49" s="1">
        <f t="shared" si="19"/>
        <v>0</v>
      </c>
      <c r="Q49" s="1">
        <f t="shared" si="19"/>
        <v>0</v>
      </c>
    </row>
    <row r="50" spans="1:17" x14ac:dyDescent="0.2">
      <c r="C50" s="117"/>
    </row>
    <row r="51" spans="1:17" x14ac:dyDescent="0.2">
      <c r="A51" s="8" t="str">
        <f>Assumptions!B51</f>
        <v>2. Optimistic</v>
      </c>
      <c r="B51" s="155">
        <v>1.1000000000000001</v>
      </c>
      <c r="C51" s="117">
        <v>2</v>
      </c>
      <c r="D51" s="129"/>
      <c r="F51" s="34">
        <f>F48</f>
        <v>222700</v>
      </c>
      <c r="G51" s="27">
        <f t="shared" ref="G51:Q51" si="20">F51*$B$51+G52</f>
        <v>244970.00000000003</v>
      </c>
      <c r="H51" s="27">
        <f t="shared" si="20"/>
        <v>269467.00000000006</v>
      </c>
      <c r="I51" s="27">
        <f t="shared" si="20"/>
        <v>296413.70000000007</v>
      </c>
      <c r="J51" s="27">
        <f t="shared" si="20"/>
        <v>326055.07000000012</v>
      </c>
      <c r="K51" s="27">
        <f t="shared" si="20"/>
        <v>358660.57700000016</v>
      </c>
      <c r="L51" s="27">
        <f t="shared" si="20"/>
        <v>394526.63470000023</v>
      </c>
      <c r="M51" s="27">
        <f t="shared" si="20"/>
        <v>433979.29817000031</v>
      </c>
      <c r="N51" s="27">
        <f t="shared" si="20"/>
        <v>477377.22798700037</v>
      </c>
      <c r="O51" s="27">
        <f t="shared" si="20"/>
        <v>525114.95078570046</v>
      </c>
      <c r="P51" s="27">
        <f t="shared" si="20"/>
        <v>577626.44586427056</v>
      </c>
      <c r="Q51" s="27">
        <f t="shared" si="20"/>
        <v>635389.09045069769</v>
      </c>
    </row>
    <row r="52" spans="1:17" x14ac:dyDescent="0.2">
      <c r="C52" s="117"/>
      <c r="F52" s="128" t="s">
        <v>45</v>
      </c>
      <c r="G52" s="1">
        <v>0</v>
      </c>
      <c r="H52" s="1">
        <v>0</v>
      </c>
      <c r="I52" s="1">
        <f t="shared" ref="I52:Q52" si="21">H52</f>
        <v>0</v>
      </c>
      <c r="J52" s="13">
        <f t="shared" si="21"/>
        <v>0</v>
      </c>
      <c r="K52" s="13">
        <f t="shared" si="21"/>
        <v>0</v>
      </c>
      <c r="L52" s="1">
        <f t="shared" si="21"/>
        <v>0</v>
      </c>
      <c r="M52" s="1">
        <f t="shared" si="21"/>
        <v>0</v>
      </c>
      <c r="N52" s="1">
        <f t="shared" si="21"/>
        <v>0</v>
      </c>
      <c r="O52" s="1">
        <f t="shared" si="21"/>
        <v>0</v>
      </c>
      <c r="P52" s="1">
        <f t="shared" si="21"/>
        <v>0</v>
      </c>
      <c r="Q52" s="1">
        <f t="shared" si="21"/>
        <v>0</v>
      </c>
    </row>
    <row r="53" spans="1:17" x14ac:dyDescent="0.2">
      <c r="C53" s="117"/>
    </row>
    <row r="54" spans="1:17" x14ac:dyDescent="0.2">
      <c r="A54" s="8" t="str">
        <f>Assumptions!B52</f>
        <v>3. Pessimistic</v>
      </c>
      <c r="B54" s="155">
        <v>1.02</v>
      </c>
      <c r="C54" s="117">
        <v>3</v>
      </c>
      <c r="D54" s="129"/>
      <c r="F54" s="34">
        <f>F48</f>
        <v>222700</v>
      </c>
      <c r="G54" s="27">
        <f>G48</f>
        <v>222700</v>
      </c>
      <c r="H54" s="27">
        <f>H48</f>
        <v>222700</v>
      </c>
      <c r="I54" s="27">
        <f t="shared" ref="I54:Q54" si="22">H54*$B$54+I55</f>
        <v>227154</v>
      </c>
      <c r="J54" s="27">
        <f t="shared" si="22"/>
        <v>231697.08000000002</v>
      </c>
      <c r="K54" s="27">
        <f t="shared" si="22"/>
        <v>236331.02160000001</v>
      </c>
      <c r="L54" s="27">
        <f t="shared" si="22"/>
        <v>241057.642032</v>
      </c>
      <c r="M54" s="27">
        <f t="shared" si="22"/>
        <v>245878.79487264002</v>
      </c>
      <c r="N54" s="27">
        <f t="shared" si="22"/>
        <v>250796.37077009282</v>
      </c>
      <c r="O54" s="27">
        <f t="shared" si="22"/>
        <v>255812.29818549467</v>
      </c>
      <c r="P54" s="27">
        <f t="shared" si="22"/>
        <v>260928.54414920456</v>
      </c>
      <c r="Q54" s="27">
        <f t="shared" si="22"/>
        <v>266147.11503218865</v>
      </c>
    </row>
    <row r="55" spans="1:17" ht="13.5" thickBot="1" x14ac:dyDescent="0.25">
      <c r="C55" s="121"/>
      <c r="F55" s="128" t="s">
        <v>45</v>
      </c>
      <c r="G55" s="1">
        <v>0</v>
      </c>
      <c r="H55" s="1">
        <v>0</v>
      </c>
      <c r="I55" s="1">
        <f t="shared" ref="I55:Q55" si="23">H55</f>
        <v>0</v>
      </c>
      <c r="J55" s="13">
        <f t="shared" si="23"/>
        <v>0</v>
      </c>
      <c r="K55" s="13">
        <f t="shared" si="23"/>
        <v>0</v>
      </c>
      <c r="L55" s="1">
        <f t="shared" si="23"/>
        <v>0</v>
      </c>
      <c r="M55" s="1">
        <f t="shared" si="23"/>
        <v>0</v>
      </c>
      <c r="N55" s="1">
        <f t="shared" si="23"/>
        <v>0</v>
      </c>
      <c r="O55" s="1">
        <f t="shared" si="23"/>
        <v>0</v>
      </c>
      <c r="P55" s="1">
        <f t="shared" si="23"/>
        <v>0</v>
      </c>
      <c r="Q55" s="1">
        <f t="shared" si="23"/>
        <v>0</v>
      </c>
    </row>
    <row r="58" spans="1:17" ht="13.5" thickBot="1" x14ac:dyDescent="0.25">
      <c r="A58" s="7" t="s">
        <v>52</v>
      </c>
    </row>
    <row r="59" spans="1:17" ht="13.5" thickBot="1" x14ac:dyDescent="0.25">
      <c r="B59" s="21" t="s">
        <v>69</v>
      </c>
      <c r="C59" s="116" t="s">
        <v>47</v>
      </c>
      <c r="F59" s="113">
        <f>G59-1</f>
        <v>2000</v>
      </c>
      <c r="G59" s="7">
        <f>Assumptions!D12</f>
        <v>2001</v>
      </c>
      <c r="H59" s="7">
        <f t="shared" ref="H59:Q59" si="24">G59+1</f>
        <v>2002</v>
      </c>
      <c r="I59" s="7">
        <f t="shared" si="24"/>
        <v>2003</v>
      </c>
      <c r="J59" s="7">
        <f t="shared" si="24"/>
        <v>2004</v>
      </c>
      <c r="K59" s="7">
        <f t="shared" si="24"/>
        <v>2005</v>
      </c>
      <c r="L59" s="7">
        <f t="shared" si="24"/>
        <v>2006</v>
      </c>
      <c r="M59" s="7">
        <f t="shared" si="24"/>
        <v>2007</v>
      </c>
      <c r="N59" s="7">
        <f t="shared" si="24"/>
        <v>2008</v>
      </c>
      <c r="O59" s="7">
        <f t="shared" si="24"/>
        <v>2009</v>
      </c>
      <c r="P59" s="7">
        <f t="shared" si="24"/>
        <v>2010</v>
      </c>
      <c r="Q59" s="7">
        <f t="shared" si="24"/>
        <v>2011</v>
      </c>
    </row>
    <row r="60" spans="1:17" ht="13.5" thickBot="1" x14ac:dyDescent="0.25">
      <c r="A60" s="106" t="str">
        <f>A2</f>
        <v xml:space="preserve">  Asset 1- Cash Flow Analysis</v>
      </c>
      <c r="B60" s="176">
        <f>Assumptions!C44</f>
        <v>1</v>
      </c>
      <c r="C60" s="178">
        <v>1</v>
      </c>
      <c r="D60" s="39"/>
      <c r="E60" s="92"/>
      <c r="F60" s="114">
        <f>F66*$B$60</f>
        <v>60700</v>
      </c>
      <c r="G60" s="61">
        <f t="shared" ref="G60:Q60" si="25">CHOOSE($C$60,G66,G69,G72)*$B$60+G61</f>
        <v>54630</v>
      </c>
      <c r="H60" s="61">
        <f t="shared" si="25"/>
        <v>54630</v>
      </c>
      <c r="I60" s="61">
        <f t="shared" si="25"/>
        <v>54630</v>
      </c>
      <c r="J60" s="61">
        <f t="shared" si="25"/>
        <v>54630</v>
      </c>
      <c r="K60" s="61">
        <f t="shared" si="25"/>
        <v>54630</v>
      </c>
      <c r="L60" s="61">
        <f t="shared" si="25"/>
        <v>54630</v>
      </c>
      <c r="M60" s="61">
        <f t="shared" si="25"/>
        <v>54630</v>
      </c>
      <c r="N60" s="61">
        <f t="shared" si="25"/>
        <v>54630</v>
      </c>
      <c r="O60" s="61">
        <f t="shared" si="25"/>
        <v>54630</v>
      </c>
      <c r="P60" s="61">
        <f t="shared" si="25"/>
        <v>54630</v>
      </c>
      <c r="Q60" s="62">
        <f t="shared" si="25"/>
        <v>54630</v>
      </c>
    </row>
    <row r="61" spans="1:17" x14ac:dyDescent="0.2">
      <c r="C61" s="118"/>
      <c r="F61" s="128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C62" s="119"/>
      <c r="D62" s="110"/>
      <c r="E62" s="111"/>
    </row>
    <row r="63" spans="1:17" x14ac:dyDescent="0.2">
      <c r="A63" s="8" t="str">
        <f>Assumptions!B56</f>
        <v>1. Base Case</v>
      </c>
      <c r="C63" s="119"/>
    </row>
    <row r="64" spans="1:17" x14ac:dyDescent="0.2">
      <c r="C64" s="119"/>
    </row>
    <row r="65" spans="1:17" ht="15" x14ac:dyDescent="0.35">
      <c r="A65" t="s">
        <v>262</v>
      </c>
      <c r="C65" s="119"/>
      <c r="D65" s="129"/>
      <c r="E65" s="133"/>
      <c r="F65" s="18">
        <f>(102000-41300)</f>
        <v>60700</v>
      </c>
      <c r="G65" s="6">
        <f>F65</f>
        <v>60700</v>
      </c>
      <c r="H65" s="38">
        <f>G65</f>
        <v>60700</v>
      </c>
      <c r="I65" s="38">
        <f>H65</f>
        <v>60700</v>
      </c>
      <c r="J65" s="38">
        <f>I65</f>
        <v>60700</v>
      </c>
      <c r="K65" s="38">
        <f t="shared" ref="K65:Q65" si="26">J65</f>
        <v>60700</v>
      </c>
      <c r="L65" s="38">
        <f t="shared" si="26"/>
        <v>60700</v>
      </c>
      <c r="M65" s="38">
        <f t="shared" si="26"/>
        <v>60700</v>
      </c>
      <c r="N65" s="38">
        <f t="shared" si="26"/>
        <v>60700</v>
      </c>
      <c r="O65" s="38">
        <f t="shared" si="26"/>
        <v>60700</v>
      </c>
      <c r="P65" s="38">
        <f t="shared" si="26"/>
        <v>60700</v>
      </c>
      <c r="Q65" s="38">
        <f t="shared" si="26"/>
        <v>60700</v>
      </c>
    </row>
    <row r="66" spans="1:17" x14ac:dyDescent="0.2">
      <c r="A66" s="76" t="s">
        <v>0</v>
      </c>
      <c r="B66" s="157">
        <v>0.9</v>
      </c>
      <c r="C66" s="117">
        <v>1</v>
      </c>
      <c r="D66" s="129"/>
      <c r="F66" s="30">
        <f>SUM(F65:F65)</f>
        <v>60700</v>
      </c>
      <c r="G66" s="109">
        <f t="shared" ref="G66:Q66" si="27">SUM(G65:G65)*$B$66+G67</f>
        <v>54630</v>
      </c>
      <c r="H66" s="109">
        <f t="shared" si="27"/>
        <v>54630</v>
      </c>
      <c r="I66" s="109">
        <f t="shared" si="27"/>
        <v>54630</v>
      </c>
      <c r="J66" s="109">
        <f t="shared" si="27"/>
        <v>54630</v>
      </c>
      <c r="K66" s="109">
        <f t="shared" si="27"/>
        <v>54630</v>
      </c>
      <c r="L66" s="109">
        <f t="shared" si="27"/>
        <v>54630</v>
      </c>
      <c r="M66" s="109">
        <f t="shared" si="27"/>
        <v>54630</v>
      </c>
      <c r="N66" s="109">
        <f t="shared" si="27"/>
        <v>54630</v>
      </c>
      <c r="O66" s="109">
        <f t="shared" si="27"/>
        <v>54630</v>
      </c>
      <c r="P66" s="109">
        <f t="shared" si="27"/>
        <v>54630</v>
      </c>
      <c r="Q66" s="109">
        <f t="shared" si="27"/>
        <v>54630</v>
      </c>
    </row>
    <row r="67" spans="1:17" x14ac:dyDescent="0.2">
      <c r="C67" s="119"/>
      <c r="F67" s="128" t="s">
        <v>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">
      <c r="C68" s="119"/>
    </row>
    <row r="69" spans="1:17" x14ac:dyDescent="0.2">
      <c r="A69" s="8" t="str">
        <f>Assumptions!B57</f>
        <v>2. Optimistic</v>
      </c>
      <c r="B69" s="157">
        <v>1</v>
      </c>
      <c r="C69" s="117">
        <v>2</v>
      </c>
      <c r="D69" s="129"/>
      <c r="F69" s="30">
        <f>F66</f>
        <v>60700</v>
      </c>
      <c r="G69" s="27">
        <f t="shared" ref="G69:Q69" si="28">F69*$B$69+G70</f>
        <v>60700</v>
      </c>
      <c r="H69" s="27">
        <f t="shared" si="28"/>
        <v>60700</v>
      </c>
      <c r="I69" s="27">
        <f t="shared" si="28"/>
        <v>60700</v>
      </c>
      <c r="J69" s="27">
        <f t="shared" si="28"/>
        <v>60700</v>
      </c>
      <c r="K69" s="27">
        <f t="shared" si="28"/>
        <v>60700</v>
      </c>
      <c r="L69" s="27">
        <f t="shared" si="28"/>
        <v>60700</v>
      </c>
      <c r="M69" s="27">
        <f t="shared" si="28"/>
        <v>60700</v>
      </c>
      <c r="N69" s="27">
        <f t="shared" si="28"/>
        <v>60700</v>
      </c>
      <c r="O69" s="27">
        <f t="shared" si="28"/>
        <v>60700</v>
      </c>
      <c r="P69" s="27">
        <f t="shared" si="28"/>
        <v>60700</v>
      </c>
      <c r="Q69" s="27">
        <f t="shared" si="28"/>
        <v>60700</v>
      </c>
    </row>
    <row r="70" spans="1:17" x14ac:dyDescent="0.2">
      <c r="C70" s="120"/>
      <c r="F70" s="128" t="s">
        <v>45</v>
      </c>
      <c r="G70" s="1">
        <v>0</v>
      </c>
      <c r="H70" s="1">
        <v>0</v>
      </c>
      <c r="I70" s="1">
        <f t="shared" ref="I70:Q70" si="29">H70</f>
        <v>0</v>
      </c>
      <c r="J70" s="13">
        <f t="shared" si="29"/>
        <v>0</v>
      </c>
      <c r="K70" s="13">
        <f t="shared" si="29"/>
        <v>0</v>
      </c>
      <c r="L70" s="1">
        <f t="shared" si="29"/>
        <v>0</v>
      </c>
      <c r="M70" s="1">
        <f t="shared" si="29"/>
        <v>0</v>
      </c>
      <c r="N70" s="1">
        <f t="shared" si="29"/>
        <v>0</v>
      </c>
      <c r="O70" s="1">
        <f t="shared" si="29"/>
        <v>0</v>
      </c>
      <c r="P70" s="1">
        <f t="shared" si="29"/>
        <v>0</v>
      </c>
      <c r="Q70" s="1">
        <f t="shared" si="29"/>
        <v>0</v>
      </c>
    </row>
    <row r="71" spans="1:17" x14ac:dyDescent="0.2">
      <c r="C71" s="120"/>
    </row>
    <row r="72" spans="1:17" x14ac:dyDescent="0.2">
      <c r="A72" s="8" t="str">
        <f>Assumptions!B58</f>
        <v>3. Pessimistic</v>
      </c>
      <c r="B72" s="157">
        <v>1.01</v>
      </c>
      <c r="C72" s="117">
        <v>3</v>
      </c>
      <c r="D72" s="129"/>
      <c r="F72" s="30">
        <f>F66</f>
        <v>60700</v>
      </c>
      <c r="G72" s="27">
        <f>G66</f>
        <v>54630</v>
      </c>
      <c r="H72" s="27">
        <f>H66</f>
        <v>54630</v>
      </c>
      <c r="I72" s="27">
        <f t="shared" ref="I72:Q72" si="30">H72*$B$72+I73</f>
        <v>55176.3</v>
      </c>
      <c r="J72" s="27">
        <f t="shared" si="30"/>
        <v>55728.063000000002</v>
      </c>
      <c r="K72" s="27">
        <f t="shared" si="30"/>
        <v>56285.343630000003</v>
      </c>
      <c r="L72" s="27">
        <f t="shared" si="30"/>
        <v>56848.197066300003</v>
      </c>
      <c r="M72" s="27">
        <f t="shared" si="30"/>
        <v>57416.679036963003</v>
      </c>
      <c r="N72" s="27">
        <f t="shared" si="30"/>
        <v>57990.845827332632</v>
      </c>
      <c r="O72" s="27">
        <f t="shared" si="30"/>
        <v>58570.754285605959</v>
      </c>
      <c r="P72" s="27">
        <f t="shared" si="30"/>
        <v>59156.461828462016</v>
      </c>
      <c r="Q72" s="27">
        <f t="shared" si="30"/>
        <v>59748.026446746633</v>
      </c>
    </row>
    <row r="73" spans="1:17" ht="13.5" thickBot="1" x14ac:dyDescent="0.25">
      <c r="C73" s="121"/>
      <c r="F73" s="128" t="s">
        <v>45</v>
      </c>
      <c r="G73" s="1">
        <v>0</v>
      </c>
      <c r="H73" s="1">
        <v>0</v>
      </c>
      <c r="I73" s="1">
        <f t="shared" ref="I73:Q73" si="31">H73</f>
        <v>0</v>
      </c>
      <c r="J73" s="13">
        <f t="shared" si="31"/>
        <v>0</v>
      </c>
      <c r="K73" s="13">
        <f t="shared" si="31"/>
        <v>0</v>
      </c>
      <c r="L73" s="1">
        <f t="shared" si="31"/>
        <v>0</v>
      </c>
      <c r="M73" s="1">
        <f t="shared" si="31"/>
        <v>0</v>
      </c>
      <c r="N73" s="1">
        <f t="shared" si="31"/>
        <v>0</v>
      </c>
      <c r="O73" s="1">
        <f t="shared" si="31"/>
        <v>0</v>
      </c>
      <c r="P73" s="1">
        <f t="shared" si="31"/>
        <v>0</v>
      </c>
      <c r="Q73" s="1">
        <f t="shared" si="31"/>
        <v>0</v>
      </c>
    </row>
    <row r="74" spans="1:17" x14ac:dyDescent="0.2">
      <c r="C74" s="40"/>
      <c r="F74" s="128"/>
      <c r="G74" s="1"/>
      <c r="H74" s="1"/>
      <c r="I74" s="1"/>
      <c r="J74" s="13"/>
      <c r="K74" s="13"/>
      <c r="L74" s="1"/>
      <c r="M74" s="1"/>
      <c r="N74" s="1"/>
      <c r="O74" s="1"/>
      <c r="P74" s="1"/>
      <c r="Q74" s="1"/>
    </row>
    <row r="75" spans="1:17" x14ac:dyDescent="0.2">
      <c r="A75" s="7" t="s">
        <v>23</v>
      </c>
      <c r="C75" s="40"/>
      <c r="F75" s="128"/>
      <c r="G75" s="1"/>
      <c r="H75" s="1"/>
      <c r="I75" s="1"/>
      <c r="J75" s="13"/>
      <c r="K75" s="13"/>
      <c r="L75" s="1"/>
      <c r="M75" s="1"/>
      <c r="N75" s="1"/>
      <c r="O75" s="1"/>
      <c r="P75" s="1"/>
      <c r="Q75" s="1"/>
    </row>
    <row r="76" spans="1:17" x14ac:dyDescent="0.2">
      <c r="A76" t="s">
        <v>162</v>
      </c>
      <c r="C76" s="40"/>
      <c r="F76" s="128"/>
      <c r="G76" s="1"/>
      <c r="H76" s="1"/>
      <c r="I76" s="1"/>
      <c r="J76" s="13"/>
      <c r="K76" s="13"/>
      <c r="L76" s="1"/>
      <c r="M76" s="1"/>
      <c r="N76" s="1"/>
      <c r="O76" s="1"/>
      <c r="P76" s="1"/>
      <c r="Q76" s="1"/>
    </row>
    <row r="77" spans="1:17" x14ac:dyDescent="0.2">
      <c r="A77" t="s">
        <v>163</v>
      </c>
      <c r="C77" s="40"/>
      <c r="F77" s="128"/>
      <c r="G77" s="1"/>
      <c r="H77" s="1"/>
      <c r="I77" s="1"/>
      <c r="J77" s="13"/>
      <c r="K77" s="13"/>
      <c r="L77" s="1"/>
      <c r="M77" s="1"/>
      <c r="N77" s="1"/>
      <c r="O77" s="1"/>
      <c r="P77" s="1"/>
      <c r="Q77" s="1"/>
    </row>
    <row r="78" spans="1:17" x14ac:dyDescent="0.2">
      <c r="A78" s="9" t="s">
        <v>0</v>
      </c>
      <c r="F78" s="109">
        <v>27594</v>
      </c>
      <c r="G78" s="27">
        <f>F78</f>
        <v>27594</v>
      </c>
      <c r="H78" s="27">
        <f t="shared" ref="H78:Q78" si="32">G78</f>
        <v>27594</v>
      </c>
      <c r="I78" s="27">
        <f t="shared" si="32"/>
        <v>27594</v>
      </c>
      <c r="J78" s="27">
        <f t="shared" si="32"/>
        <v>27594</v>
      </c>
      <c r="K78" s="27">
        <f t="shared" si="32"/>
        <v>27594</v>
      </c>
      <c r="L78" s="27">
        <f t="shared" si="32"/>
        <v>27594</v>
      </c>
      <c r="M78" s="27">
        <f t="shared" si="32"/>
        <v>27594</v>
      </c>
      <c r="N78" s="27">
        <f t="shared" si="32"/>
        <v>27594</v>
      </c>
      <c r="O78" s="27">
        <f t="shared" si="32"/>
        <v>27594</v>
      </c>
      <c r="P78" s="27">
        <f t="shared" si="32"/>
        <v>27594</v>
      </c>
      <c r="Q78" s="27">
        <f t="shared" si="32"/>
        <v>27594</v>
      </c>
    </row>
    <row r="79" spans="1:17" x14ac:dyDescent="0.2">
      <c r="A79" s="9"/>
    </row>
    <row r="80" spans="1:17" x14ac:dyDescent="0.2">
      <c r="A80" s="9"/>
    </row>
    <row r="81" spans="1:17" x14ac:dyDescent="0.2">
      <c r="A81" s="7" t="s">
        <v>90</v>
      </c>
    </row>
    <row r="82" spans="1:17" x14ac:dyDescent="0.2">
      <c r="A82" s="96" t="s">
        <v>44</v>
      </c>
      <c r="B82" s="24">
        <f>Assumptions!D20</f>
        <v>20</v>
      </c>
      <c r="C82" s="383">
        <f>Asset1PurPrice</f>
        <v>932354.17248729453</v>
      </c>
      <c r="D82" s="13"/>
      <c r="E82" s="59"/>
      <c r="F82" s="19"/>
      <c r="G82" s="102">
        <f>1/B82</f>
        <v>0.05</v>
      </c>
      <c r="H82" s="79">
        <f t="shared" ref="H82:Q82" si="33">G82</f>
        <v>0.05</v>
      </c>
      <c r="I82" s="79">
        <f t="shared" si="33"/>
        <v>0.05</v>
      </c>
      <c r="J82" s="79">
        <f t="shared" si="33"/>
        <v>0.05</v>
      </c>
      <c r="K82" s="79">
        <f t="shared" si="33"/>
        <v>0.05</v>
      </c>
      <c r="L82" s="79">
        <f t="shared" si="33"/>
        <v>0.05</v>
      </c>
      <c r="M82" s="79">
        <f t="shared" si="33"/>
        <v>0.05</v>
      </c>
      <c r="N82" s="79">
        <f t="shared" si="33"/>
        <v>0.05</v>
      </c>
      <c r="O82" s="79">
        <f t="shared" si="33"/>
        <v>0.05</v>
      </c>
      <c r="P82" s="79">
        <f t="shared" si="33"/>
        <v>0.05</v>
      </c>
      <c r="Q82" s="80">
        <f t="shared" si="33"/>
        <v>0.05</v>
      </c>
    </row>
    <row r="83" spans="1:17" x14ac:dyDescent="0.2">
      <c r="A83" s="2" t="s">
        <v>10</v>
      </c>
      <c r="C83" s="46"/>
      <c r="D83" s="103"/>
      <c r="E83" s="59"/>
      <c r="F83" s="19"/>
      <c r="G83" s="33">
        <f>C82/B82</f>
        <v>46617.708624364728</v>
      </c>
      <c r="H83" s="33">
        <f t="shared" ref="H83:Q83" si="34">+G83</f>
        <v>46617.708624364728</v>
      </c>
      <c r="I83" s="33">
        <f t="shared" si="34"/>
        <v>46617.708624364728</v>
      </c>
      <c r="J83" s="33">
        <f t="shared" si="34"/>
        <v>46617.708624364728</v>
      </c>
      <c r="K83" s="33">
        <f t="shared" si="34"/>
        <v>46617.708624364728</v>
      </c>
      <c r="L83" s="33">
        <f t="shared" si="34"/>
        <v>46617.708624364728</v>
      </c>
      <c r="M83" s="33">
        <f t="shared" si="34"/>
        <v>46617.708624364728</v>
      </c>
      <c r="N83" s="33">
        <f t="shared" si="34"/>
        <v>46617.708624364728</v>
      </c>
      <c r="O83" s="33">
        <f t="shared" si="34"/>
        <v>46617.708624364728</v>
      </c>
      <c r="P83" s="33">
        <f t="shared" si="34"/>
        <v>46617.708624364728</v>
      </c>
      <c r="Q83" s="33">
        <f t="shared" si="34"/>
        <v>46617.708624364728</v>
      </c>
    </row>
    <row r="84" spans="1:17" ht="15" x14ac:dyDescent="0.35">
      <c r="A84" s="2" t="s">
        <v>11</v>
      </c>
      <c r="E84" s="59"/>
      <c r="F84" s="19"/>
      <c r="G84" s="6">
        <f>($G$29*G82)</f>
        <v>1379.7</v>
      </c>
      <c r="H84" s="6">
        <f>($G$29*H82)+($H$29*G82)</f>
        <v>2759.4</v>
      </c>
      <c r="I84" s="6">
        <f>($G$29*I82)+($H$29*H82)+($I$29*G82)</f>
        <v>4139.1000000000004</v>
      </c>
      <c r="J84" s="6">
        <f>($G$29*J82)+($H$29*I82)+($I$29*H82)+($J$29*G82)</f>
        <v>5518.8</v>
      </c>
      <c r="K84" s="6">
        <f>($G$29*K82)+($H$29*J82)+($I$29*I82)+($J$29*H82)+($K$29*G82)</f>
        <v>6898.5</v>
      </c>
      <c r="L84" s="6">
        <f>($G$29*L82)+($H$29*K82)+($I$29*J82)+($J$29*I82)+($K$29*H82)+($L$29*G82)</f>
        <v>8278.2000000000007</v>
      </c>
      <c r="M84" s="6">
        <f>($G$29*M82)+($H$29*L82)+($I$29*K82)+($J$29*J82)+($K$29*I82)+($L$29*H82)+($M$29*G82)</f>
        <v>9657.9000000000015</v>
      </c>
      <c r="N84" s="6">
        <f>($G$29*N82)+($H$29*M82)+($I$29*L82)+($J$29*K82)+($K$29*J82)+($L$29*I82)+($M$29*H82)+($N$29*G82)</f>
        <v>11037.600000000002</v>
      </c>
      <c r="O84" s="6">
        <f>($G$29*O82)+($H$29*N82)+($I$29*M82)+($J$29*L82)+($K$29*K82)+($L$29*J82)+($M$29*I82)+($N$29*H82)+($O$29*G82)</f>
        <v>12417.300000000003</v>
      </c>
      <c r="P84" s="6">
        <f>($G$29*P82)+($H$29*O82)+($I$29*N82)+($J$29*M82)+($K$29*L82)+($L$29*K82)+($M$29*J82)+($N$29*I82)+($O$29*H82)+($P$29*G82)</f>
        <v>13797.000000000004</v>
      </c>
      <c r="Q84" s="6">
        <f>($G$29*Q82)+($H$29*P82)+($I$29*O82)+($J$29*N82)+($K$29*M82)+($L$29*L82)+($M$29*K82)+($N$29*J82)+($O$29*I82)+($P$29*H82)+($Q$29*G82)</f>
        <v>15176.700000000004</v>
      </c>
    </row>
    <row r="85" spans="1:17" x14ac:dyDescent="0.2">
      <c r="A85" s="9" t="s">
        <v>0</v>
      </c>
      <c r="E85" s="59"/>
      <c r="F85" s="19"/>
      <c r="G85" s="1">
        <f t="shared" ref="G85:Q85" si="35">SUM(G83:G84)</f>
        <v>47997.408624364725</v>
      </c>
      <c r="H85" s="1">
        <f t="shared" si="35"/>
        <v>49377.10862436473</v>
      </c>
      <c r="I85" s="1">
        <f t="shared" si="35"/>
        <v>50756.808624364727</v>
      </c>
      <c r="J85" s="13">
        <f t="shared" si="35"/>
        <v>52136.508624364731</v>
      </c>
      <c r="K85" s="13">
        <f t="shared" si="35"/>
        <v>53516.208624364728</v>
      </c>
      <c r="L85" s="1">
        <f t="shared" si="35"/>
        <v>54895.908624364733</v>
      </c>
      <c r="M85" s="1">
        <f t="shared" si="35"/>
        <v>56275.60862436473</v>
      </c>
      <c r="N85" s="1">
        <f t="shared" si="35"/>
        <v>57655.308624364727</v>
      </c>
      <c r="O85" s="1">
        <f t="shared" si="35"/>
        <v>59035.008624364731</v>
      </c>
      <c r="P85" s="1">
        <f t="shared" si="35"/>
        <v>60414.708624364735</v>
      </c>
      <c r="Q85" s="1">
        <f t="shared" si="35"/>
        <v>61794.408624364733</v>
      </c>
    </row>
    <row r="86" spans="1:17" x14ac:dyDescent="0.2">
      <c r="A86" s="1"/>
      <c r="E86" s="59"/>
      <c r="F86" s="19"/>
      <c r="G86" s="1"/>
      <c r="H86" s="1"/>
      <c r="I86" s="1"/>
      <c r="J86" s="13"/>
      <c r="K86" s="13"/>
      <c r="L86" s="1"/>
      <c r="M86" s="1"/>
      <c r="N86" s="1"/>
      <c r="O86" s="1"/>
      <c r="P86" s="1"/>
      <c r="Q86" s="1"/>
    </row>
    <row r="87" spans="1:17" x14ac:dyDescent="0.2">
      <c r="A87" s="99" t="s">
        <v>9</v>
      </c>
      <c r="E87" s="59"/>
      <c r="F87" s="19"/>
      <c r="G87" s="71">
        <v>0.05</v>
      </c>
      <c r="H87" s="72">
        <v>9.5000000000000001E-2</v>
      </c>
      <c r="I87" s="72">
        <v>8.5500000000000007E-2</v>
      </c>
      <c r="J87" s="72">
        <v>7.6999999999999999E-2</v>
      </c>
      <c r="K87" s="72">
        <v>6.93E-2</v>
      </c>
      <c r="L87" s="72">
        <v>6.2300000000000001E-2</v>
      </c>
      <c r="M87" s="72">
        <v>5.8999999999999997E-2</v>
      </c>
      <c r="N87" s="72">
        <v>5.8999999999999997E-2</v>
      </c>
      <c r="O87" s="72">
        <v>5.91E-2</v>
      </c>
      <c r="P87" s="72">
        <v>5.8999999999999997E-2</v>
      </c>
      <c r="Q87" s="73">
        <v>5.91E-2</v>
      </c>
    </row>
    <row r="88" spans="1:17" x14ac:dyDescent="0.2">
      <c r="A88" s="2" t="s">
        <v>10</v>
      </c>
      <c r="B88" s="15"/>
      <c r="E88" s="59"/>
      <c r="F88" s="19"/>
      <c r="G88" s="1">
        <f t="shared" ref="G88:Q88" si="36">G87*$C$82</f>
        <v>46617.708624364728</v>
      </c>
      <c r="H88" s="1">
        <f t="shared" si="36"/>
        <v>88573.646386292981</v>
      </c>
      <c r="I88" s="1">
        <f t="shared" si="36"/>
        <v>79716.281747663685</v>
      </c>
      <c r="J88" s="1">
        <f t="shared" si="36"/>
        <v>71791.27128152168</v>
      </c>
      <c r="K88" s="1">
        <f t="shared" si="36"/>
        <v>64612.144153369511</v>
      </c>
      <c r="L88" s="1">
        <f t="shared" si="36"/>
        <v>58085.664945958451</v>
      </c>
      <c r="M88" s="1">
        <f t="shared" si="36"/>
        <v>55008.896176750372</v>
      </c>
      <c r="N88" s="1">
        <f t="shared" si="36"/>
        <v>55008.896176750372</v>
      </c>
      <c r="O88" s="1">
        <f t="shared" si="36"/>
        <v>55102.131593999104</v>
      </c>
      <c r="P88" s="1">
        <f t="shared" si="36"/>
        <v>55008.896176750372</v>
      </c>
      <c r="Q88" s="1">
        <f t="shared" si="36"/>
        <v>55102.131593999104</v>
      </c>
    </row>
    <row r="89" spans="1:17" ht="15" x14ac:dyDescent="0.35">
      <c r="A89" s="2" t="s">
        <v>11</v>
      </c>
      <c r="B89" s="16"/>
      <c r="E89" s="130"/>
      <c r="F89" s="19"/>
      <c r="G89" s="6">
        <f>($G$29*G$87)</f>
        <v>1379.7</v>
      </c>
      <c r="H89" s="6">
        <f>($G$29*H87)+($H$29*G87)</f>
        <v>4001.13</v>
      </c>
      <c r="I89" s="6">
        <f>($G$29*I87)+($H$29*H87)+($I$29*G87)</f>
        <v>6360.4170000000004</v>
      </c>
      <c r="J89" s="6">
        <f>($G$29*J87)+($H$29*I87)+($I$29*H87)+($J$29*G87)</f>
        <v>8485.1550000000007</v>
      </c>
      <c r="K89" s="6">
        <f>($G$29*K87)+($H$29*J87)+($I$29*I87)+($J$29*H87)+($K$29*G87)</f>
        <v>10397.4192</v>
      </c>
      <c r="L89" s="6">
        <f>($G$29*L87)+($H$29*K87)+($I$29*J87)+($J$29*I87)+($K$29*H87)+($L$29*G87)</f>
        <v>12116.5254</v>
      </c>
      <c r="M89" s="6">
        <f>($G$29*M87)+($H$29*L87)+($I$29*K87)+($J$29*J87)+($K$29*I87)+($L$29*H87)+($M$29*G87)</f>
        <v>13744.571400000001</v>
      </c>
      <c r="N89" s="6">
        <f>($G$29*N87)+($H$29*M87)+($I$29*L87)+($J$29*K87)+($K$29*J87)+($L$29*I87)+($M$29*H87)+($N$29*G87)</f>
        <v>15372.617400000001</v>
      </c>
      <c r="O89" s="6">
        <f>($G$29*O87)+($H$29*N87)+($I$29*M87)+($J$29*L87)+($K$29*K87)+($L$29*J87)+($M$29*I87)+($N$29*H87)+($O$29*G87)</f>
        <v>17003.4228</v>
      </c>
      <c r="P89" s="6">
        <f>($G$29*P87)+($H$29*O87)+($I$29*N87)+($J$29*M87)+($K$29*L87)+($L$29*K87)+($M$29*J87)+($N$29*I87)+($O$29*H87)+($P$29*G87)</f>
        <v>18631.468799999999</v>
      </c>
      <c r="Q89" s="6">
        <f>($G$29*Q87)+($H$29*P87)+($I$29*O87)+($J$29*N87)+($K$29*M87)+($L$29*L87)+($M$29*K87)+($N$29*J87)+($O$29*I87)+($P$29*H87)+($Q$29*G87)</f>
        <v>20262.2742</v>
      </c>
    </row>
    <row r="90" spans="1:17" x14ac:dyDescent="0.2">
      <c r="A90" s="9" t="s">
        <v>0</v>
      </c>
      <c r="E90" s="59"/>
      <c r="F90" s="19"/>
      <c r="G90" s="1">
        <f t="shared" ref="G90:Q90" si="37">SUM(G88:G89)</f>
        <v>47997.408624364725</v>
      </c>
      <c r="H90" s="1">
        <f t="shared" si="37"/>
        <v>92574.776386292986</v>
      </c>
      <c r="I90" s="1">
        <f t="shared" si="37"/>
        <v>86076.698747663686</v>
      </c>
      <c r="J90" s="13">
        <f t="shared" si="37"/>
        <v>80276.426281521679</v>
      </c>
      <c r="K90" s="13">
        <f t="shared" si="37"/>
        <v>75009.563353369507</v>
      </c>
      <c r="L90" s="1">
        <f t="shared" si="37"/>
        <v>70202.190345958457</v>
      </c>
      <c r="M90" s="1">
        <f t="shared" si="37"/>
        <v>68753.46757675038</v>
      </c>
      <c r="N90" s="1">
        <f t="shared" si="37"/>
        <v>70381.513576750367</v>
      </c>
      <c r="O90" s="1">
        <f t="shared" si="37"/>
        <v>72105.554393999104</v>
      </c>
      <c r="P90" s="1">
        <f t="shared" si="37"/>
        <v>73640.364976750367</v>
      </c>
      <c r="Q90" s="1">
        <f t="shared" si="37"/>
        <v>75364.405793999103</v>
      </c>
    </row>
  </sheetData>
  <mergeCells count="1">
    <mergeCell ref="K33:M33"/>
  </mergeCells>
  <phoneticPr fontId="0" type="noConversion"/>
  <conditionalFormatting sqref="D69 D72 D54 D51 C11:D11 D14:D15 D47:D48 D65:D66">
    <cfRule type="cellIs" dxfId="2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"/>
  <dimension ref="A1:R109"/>
  <sheetViews>
    <sheetView zoomScale="75" zoomScaleNormal="75" workbookViewId="0">
      <selection activeCell="G34" sqref="G34"/>
    </sheetView>
  </sheetViews>
  <sheetFormatPr defaultRowHeight="12.75" x14ac:dyDescent="0.2"/>
  <cols>
    <col min="1" max="1" width="27.5703125" customWidth="1"/>
    <col min="2" max="2" width="14" bestFit="1" customWidth="1"/>
    <col min="3" max="3" width="12.85546875" customWidth="1"/>
    <col min="4" max="4" width="11.85546875" customWidth="1"/>
    <col min="5" max="5" width="9.140625" style="25"/>
    <col min="6" max="6" width="13" style="25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85" t="str">
        <f>Assumptions!D5</f>
        <v>PG&amp;E Gas Transmission</v>
      </c>
      <c r="B1" s="40"/>
      <c r="E1" s="82"/>
    </row>
    <row r="2" spans="1:18" ht="15.75" x14ac:dyDescent="0.25">
      <c r="A2" s="388" t="s">
        <v>200</v>
      </c>
      <c r="B2" s="275"/>
      <c r="E2" s="59"/>
      <c r="F2" s="329" t="s">
        <v>213</v>
      </c>
      <c r="G2" s="294"/>
      <c r="H2" s="76"/>
      <c r="I2" s="76"/>
      <c r="R2" s="25"/>
    </row>
    <row r="3" spans="1:18" ht="13.5" thickBot="1" x14ac:dyDescent="0.25">
      <c r="A3" s="276"/>
      <c r="B3" s="275"/>
      <c r="E3" s="59"/>
      <c r="F3" s="297" t="str">
        <f>IF(MethLoop&lt;&gt;0,"Run Macro","")</f>
        <v/>
      </c>
      <c r="G3" s="299"/>
      <c r="H3" s="76"/>
      <c r="I3" s="76"/>
      <c r="R3" s="25"/>
    </row>
    <row r="4" spans="1:18" x14ac:dyDescent="0.2">
      <c r="A4" s="276"/>
      <c r="B4" s="275"/>
      <c r="E4" s="59"/>
      <c r="G4" s="76"/>
      <c r="H4" s="76"/>
      <c r="I4" s="76"/>
      <c r="R4" s="25"/>
    </row>
    <row r="5" spans="1:18" x14ac:dyDescent="0.2">
      <c r="E5" s="107"/>
      <c r="F5" s="37">
        <f>G5-1</f>
        <v>2000</v>
      </c>
      <c r="G5" s="36">
        <f>Assumptions!$D$12</f>
        <v>2001</v>
      </c>
      <c r="H5" s="36">
        <f t="shared" ref="H5:Q5" si="0">G5+1</f>
        <v>2002</v>
      </c>
      <c r="I5" s="36">
        <f t="shared" si="0"/>
        <v>2003</v>
      </c>
      <c r="J5" s="36">
        <f t="shared" si="0"/>
        <v>2004</v>
      </c>
      <c r="K5" s="36">
        <f t="shared" si="0"/>
        <v>2005</v>
      </c>
      <c r="L5" s="36">
        <f t="shared" si="0"/>
        <v>2006</v>
      </c>
      <c r="M5" s="36">
        <f t="shared" si="0"/>
        <v>2007</v>
      </c>
      <c r="N5" s="36">
        <f t="shared" si="0"/>
        <v>2008</v>
      </c>
      <c r="O5" s="36">
        <f t="shared" si="0"/>
        <v>2009</v>
      </c>
      <c r="P5" s="36">
        <f t="shared" si="0"/>
        <v>2010</v>
      </c>
      <c r="Q5" s="36">
        <f t="shared" si="0"/>
        <v>2011</v>
      </c>
      <c r="R5" s="25"/>
    </row>
    <row r="6" spans="1:18" x14ac:dyDescent="0.2">
      <c r="A6" s="10" t="s">
        <v>91</v>
      </c>
      <c r="E6" s="59"/>
      <c r="F6" s="19"/>
      <c r="G6" s="1"/>
      <c r="H6" s="1"/>
      <c r="I6" s="1"/>
      <c r="J6" s="13"/>
      <c r="K6" s="13"/>
      <c r="L6" s="1"/>
      <c r="M6" s="1"/>
      <c r="N6" s="1"/>
      <c r="O6" s="1"/>
      <c r="P6" s="1"/>
      <c r="Q6" s="1"/>
      <c r="R6" s="25"/>
    </row>
    <row r="7" spans="1:18" x14ac:dyDescent="0.2">
      <c r="E7" s="59"/>
      <c r="F7" s="19"/>
      <c r="H7" s="1"/>
      <c r="I7" s="1"/>
      <c r="J7" s="13"/>
      <c r="K7" s="13"/>
      <c r="L7" s="1"/>
      <c r="M7" s="1"/>
      <c r="N7" s="1"/>
      <c r="O7" s="1"/>
      <c r="P7" s="1"/>
      <c r="Q7" s="1"/>
      <c r="R7" s="25"/>
    </row>
    <row r="8" spans="1:18" x14ac:dyDescent="0.2">
      <c r="D8" s="110"/>
      <c r="E8" s="59"/>
      <c r="F8" s="19"/>
      <c r="G8" s="86" t="str">
        <f>IF(C41=1,A44,IF(C41=2,A56,A59))</f>
        <v>2. Optimistic</v>
      </c>
      <c r="H8" s="1"/>
      <c r="I8" s="1"/>
      <c r="J8" s="13"/>
      <c r="K8" s="13"/>
      <c r="L8" s="1"/>
      <c r="M8" s="1"/>
      <c r="N8" s="1"/>
      <c r="O8" s="1"/>
      <c r="P8" s="1"/>
      <c r="Q8" s="1"/>
      <c r="R8" s="25"/>
    </row>
    <row r="9" spans="1:18" x14ac:dyDescent="0.2">
      <c r="A9" s="123" t="s">
        <v>65</v>
      </c>
      <c r="B9" s="135"/>
      <c r="C9" s="127"/>
      <c r="D9" s="127"/>
      <c r="E9" s="104"/>
      <c r="F9" s="34">
        <f t="shared" ref="F9:Q9" si="1">F41</f>
        <v>14408</v>
      </c>
      <c r="G9" s="100">
        <f t="shared" si="1"/>
        <v>15848.800000000001</v>
      </c>
      <c r="H9" s="100">
        <f t="shared" si="1"/>
        <v>17433.680000000004</v>
      </c>
      <c r="I9" s="100">
        <f t="shared" si="1"/>
        <v>19177.048000000006</v>
      </c>
      <c r="J9" s="100">
        <f t="shared" si="1"/>
        <v>21094.752800000009</v>
      </c>
      <c r="K9" s="100">
        <f t="shared" si="1"/>
        <v>23204.228080000012</v>
      </c>
      <c r="L9" s="100">
        <f t="shared" si="1"/>
        <v>25524.650888000015</v>
      </c>
      <c r="M9" s="100">
        <f t="shared" si="1"/>
        <v>28077.115976800018</v>
      </c>
      <c r="N9" s="100">
        <f t="shared" si="1"/>
        <v>30884.827574480023</v>
      </c>
      <c r="O9" s="100">
        <f t="shared" si="1"/>
        <v>33973.310331928027</v>
      </c>
      <c r="P9" s="100">
        <f t="shared" si="1"/>
        <v>37370.641365120835</v>
      </c>
      <c r="Q9" s="100">
        <f t="shared" si="1"/>
        <v>41107.705501632925</v>
      </c>
      <c r="R9" s="25"/>
    </row>
    <row r="10" spans="1:18" x14ac:dyDescent="0.2">
      <c r="E10" s="59"/>
      <c r="F10" s="128"/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25"/>
    </row>
    <row r="11" spans="1:18" x14ac:dyDescent="0.2">
      <c r="D11" s="110"/>
      <c r="E11" s="111"/>
      <c r="F11" s="19"/>
      <c r="G11" s="86" t="str">
        <f>IF(C65=1,A68,IF(C65=2,A89,A92))</f>
        <v>1. Base Case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25"/>
    </row>
    <row r="12" spans="1:18" x14ac:dyDescent="0.2">
      <c r="A12" s="40" t="s">
        <v>6</v>
      </c>
      <c r="B12" s="134"/>
      <c r="C12" s="40"/>
      <c r="D12" s="127"/>
      <c r="E12" s="124"/>
      <c r="F12" s="34">
        <f t="shared" ref="F12:Q12" si="2">F65</f>
        <v>16926</v>
      </c>
      <c r="G12" s="100">
        <f t="shared" si="2"/>
        <v>18832</v>
      </c>
      <c r="H12" s="100">
        <f t="shared" si="2"/>
        <v>18832</v>
      </c>
      <c r="I12" s="100">
        <f t="shared" si="2"/>
        <v>18832</v>
      </c>
      <c r="J12" s="100">
        <f t="shared" si="2"/>
        <v>18832</v>
      </c>
      <c r="K12" s="100">
        <f t="shared" si="2"/>
        <v>18832</v>
      </c>
      <c r="L12" s="100">
        <f t="shared" si="2"/>
        <v>18832</v>
      </c>
      <c r="M12" s="100">
        <f t="shared" si="2"/>
        <v>18832</v>
      </c>
      <c r="N12" s="100">
        <f t="shared" si="2"/>
        <v>18832</v>
      </c>
      <c r="O12" s="100">
        <f t="shared" si="2"/>
        <v>18832</v>
      </c>
      <c r="P12" s="100">
        <f t="shared" si="2"/>
        <v>18832</v>
      </c>
      <c r="Q12" s="100">
        <f t="shared" si="2"/>
        <v>18832</v>
      </c>
      <c r="R12" s="25"/>
    </row>
    <row r="13" spans="1:18" x14ac:dyDescent="0.2">
      <c r="A13" s="8" t="s">
        <v>82</v>
      </c>
      <c r="B13" s="8"/>
      <c r="C13" s="8"/>
      <c r="D13" s="137"/>
      <c r="E13" s="138"/>
      <c r="F13" s="139">
        <f t="shared" ref="F13:Q13" si="3">F9/F12</f>
        <v>0.85123478671865771</v>
      </c>
      <c r="G13" s="140">
        <f t="shared" si="3"/>
        <v>0.84158878504672907</v>
      </c>
      <c r="H13" s="140">
        <f t="shared" si="3"/>
        <v>0.92574766355140203</v>
      </c>
      <c r="I13" s="140">
        <f t="shared" si="3"/>
        <v>1.0183224299065423</v>
      </c>
      <c r="J13" s="140">
        <f t="shared" si="3"/>
        <v>1.1201546728971967</v>
      </c>
      <c r="K13" s="140">
        <f t="shared" si="3"/>
        <v>1.2321701401869165</v>
      </c>
      <c r="L13" s="140">
        <f t="shared" si="3"/>
        <v>1.3553871542056082</v>
      </c>
      <c r="M13" s="140">
        <f t="shared" si="3"/>
        <v>1.4909258696261691</v>
      </c>
      <c r="N13" s="140">
        <f t="shared" si="3"/>
        <v>1.6400184565887863</v>
      </c>
      <c r="O13" s="140">
        <f t="shared" si="3"/>
        <v>1.8040203022476651</v>
      </c>
      <c r="P13" s="140">
        <f t="shared" si="3"/>
        <v>1.9844223324724317</v>
      </c>
      <c r="Q13" s="140">
        <f t="shared" si="3"/>
        <v>2.1828645657196755</v>
      </c>
      <c r="R13" s="25"/>
    </row>
    <row r="14" spans="1:18" x14ac:dyDescent="0.2">
      <c r="A14" s="53" t="s">
        <v>1</v>
      </c>
      <c r="B14" s="39"/>
      <c r="C14" s="39"/>
      <c r="D14" s="39"/>
      <c r="E14" s="108"/>
      <c r="F14" s="60">
        <f t="shared" ref="F14:Q14" si="4">(F9-F12)</f>
        <v>-2518</v>
      </c>
      <c r="G14" s="57">
        <f t="shared" si="4"/>
        <v>-2983.1999999999989</v>
      </c>
      <c r="H14" s="57">
        <f t="shared" si="4"/>
        <v>-1398.3199999999961</v>
      </c>
      <c r="I14" s="57">
        <f t="shared" si="4"/>
        <v>345.04800000000614</v>
      </c>
      <c r="J14" s="57">
        <f t="shared" si="4"/>
        <v>2262.7528000000093</v>
      </c>
      <c r="K14" s="57">
        <f t="shared" si="4"/>
        <v>4372.2280800000117</v>
      </c>
      <c r="L14" s="57">
        <f t="shared" si="4"/>
        <v>6692.6508880000147</v>
      </c>
      <c r="M14" s="57">
        <f t="shared" si="4"/>
        <v>9245.115976800018</v>
      </c>
      <c r="N14" s="57">
        <f t="shared" si="4"/>
        <v>12052.827574480023</v>
      </c>
      <c r="O14" s="57">
        <f t="shared" si="4"/>
        <v>15141.310331928027</v>
      </c>
      <c r="P14" s="57">
        <f t="shared" si="4"/>
        <v>18538.641365120835</v>
      </c>
      <c r="Q14" s="58">
        <f t="shared" si="4"/>
        <v>22275.705501632925</v>
      </c>
      <c r="R14" s="25"/>
    </row>
    <row r="15" spans="1:18" x14ac:dyDescent="0.2">
      <c r="E15" s="59"/>
      <c r="F15" s="19"/>
      <c r="G15" s="1"/>
      <c r="H15" s="1"/>
      <c r="I15" s="1"/>
      <c r="J15" s="13"/>
      <c r="K15" s="13"/>
      <c r="L15" s="1"/>
      <c r="M15" s="1"/>
      <c r="N15" s="1"/>
      <c r="O15" s="1"/>
      <c r="P15" s="1"/>
      <c r="Q15" s="1"/>
      <c r="R15" s="25"/>
    </row>
    <row r="16" spans="1:18" x14ac:dyDescent="0.2">
      <c r="A16" t="s">
        <v>7</v>
      </c>
      <c r="B16" s="16"/>
      <c r="E16" s="59"/>
      <c r="F16" s="19">
        <v>0</v>
      </c>
      <c r="G16" s="33">
        <f t="shared" ref="G16:Q16" si="5">G104</f>
        <v>3055.7677382253905</v>
      </c>
      <c r="H16" s="33">
        <f t="shared" si="5"/>
        <v>3055.7677382253905</v>
      </c>
      <c r="I16" s="33">
        <f t="shared" si="5"/>
        <v>3055.7677382253905</v>
      </c>
      <c r="J16" s="33">
        <f t="shared" si="5"/>
        <v>3055.7677382253905</v>
      </c>
      <c r="K16" s="33">
        <f t="shared" si="5"/>
        <v>3055.7677382253905</v>
      </c>
      <c r="L16" s="33">
        <f t="shared" si="5"/>
        <v>3055.7677382253905</v>
      </c>
      <c r="M16" s="33">
        <f t="shared" si="5"/>
        <v>3055.7677382253905</v>
      </c>
      <c r="N16" s="33">
        <f t="shared" si="5"/>
        <v>3055.7677382253905</v>
      </c>
      <c r="O16" s="33">
        <f t="shared" si="5"/>
        <v>3055.7677382253905</v>
      </c>
      <c r="P16" s="33">
        <f t="shared" si="5"/>
        <v>3055.7677382253905</v>
      </c>
      <c r="Q16" s="33">
        <f t="shared" si="5"/>
        <v>3055.7677382253905</v>
      </c>
      <c r="R16" s="25"/>
    </row>
    <row r="17" spans="1:18" x14ac:dyDescent="0.2">
      <c r="E17" s="59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5"/>
    </row>
    <row r="18" spans="1:18" x14ac:dyDescent="0.2">
      <c r="A18" s="53" t="s">
        <v>2</v>
      </c>
      <c r="B18" s="39"/>
      <c r="C18" s="39"/>
      <c r="D18" s="39"/>
      <c r="E18" s="108"/>
      <c r="F18" s="60">
        <f t="shared" ref="F18:Q18" si="6">F14-F16</f>
        <v>-2518</v>
      </c>
      <c r="G18" s="61">
        <f t="shared" si="6"/>
        <v>-6038.9677382253894</v>
      </c>
      <c r="H18" s="61">
        <f t="shared" si="6"/>
        <v>-4454.0877382253866</v>
      </c>
      <c r="I18" s="61">
        <f t="shared" si="6"/>
        <v>-2710.7197382253844</v>
      </c>
      <c r="J18" s="57">
        <f t="shared" si="6"/>
        <v>-793.01493822538123</v>
      </c>
      <c r="K18" s="57">
        <f t="shared" si="6"/>
        <v>1316.4603417746212</v>
      </c>
      <c r="L18" s="61">
        <f t="shared" si="6"/>
        <v>3636.8831497746241</v>
      </c>
      <c r="M18" s="61">
        <f t="shared" si="6"/>
        <v>6189.3482385746274</v>
      </c>
      <c r="N18" s="61">
        <f t="shared" si="6"/>
        <v>8997.0598362546334</v>
      </c>
      <c r="O18" s="61">
        <f t="shared" si="6"/>
        <v>12085.542593702638</v>
      </c>
      <c r="P18" s="61">
        <f t="shared" si="6"/>
        <v>15482.873626895445</v>
      </c>
      <c r="Q18" s="62">
        <f t="shared" si="6"/>
        <v>19219.937763407535</v>
      </c>
      <c r="R18" s="25"/>
    </row>
    <row r="19" spans="1:18" x14ac:dyDescent="0.2">
      <c r="E19" s="59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5"/>
    </row>
    <row r="20" spans="1:18" x14ac:dyDescent="0.2">
      <c r="A20" s="2" t="s">
        <v>3</v>
      </c>
      <c r="E20" s="130"/>
      <c r="F20" s="19"/>
      <c r="G20" s="1">
        <f t="shared" ref="G20:Q20" si="7">$B$22*(G14-G109)</f>
        <v>-2325.0025792167753</v>
      </c>
      <c r="H20" s="1">
        <f t="shared" si="7"/>
        <v>-2773.6473005118719</v>
      </c>
      <c r="I20" s="1">
        <f t="shared" si="7"/>
        <v>-1878.9212104606838</v>
      </c>
      <c r="J20" s="1">
        <f t="shared" si="7"/>
        <v>-940.60486399383058</v>
      </c>
      <c r="K20" s="1">
        <f t="shared" si="7"/>
        <v>52.719588005553796</v>
      </c>
      <c r="L20" s="1">
        <f t="shared" si="7"/>
        <v>1110.7882501759036</v>
      </c>
      <c r="M20" s="1">
        <f t="shared" si="7"/>
        <v>2171.1343675922121</v>
      </c>
      <c r="N20" s="1">
        <f t="shared" si="7"/>
        <v>3252.1033326990141</v>
      </c>
      <c r="O20" s="1">
        <f t="shared" si="7"/>
        <v>4438.816253158062</v>
      </c>
      <c r="P20" s="1">
        <f t="shared" si="7"/>
        <v>5749.1416420957266</v>
      </c>
      <c r="Q20" s="1">
        <f t="shared" si="7"/>
        <v>7185.558393494448</v>
      </c>
      <c r="R20" s="25"/>
    </row>
    <row r="21" spans="1:18" ht="15" x14ac:dyDescent="0.35">
      <c r="A21" s="2" t="s">
        <v>4</v>
      </c>
      <c r="E21" s="105"/>
      <c r="F21" s="18"/>
      <c r="G21" s="3">
        <f t="shared" ref="G21:Q21" si="8">G22-G20</f>
        <v>0</v>
      </c>
      <c r="H21" s="3">
        <f t="shared" si="8"/>
        <v>1058.8235212950981</v>
      </c>
      <c r="I21" s="3">
        <f t="shared" si="8"/>
        <v>835.29411124391072</v>
      </c>
      <c r="J21" s="3">
        <f t="shared" si="8"/>
        <v>635.29411277705879</v>
      </c>
      <c r="K21" s="3">
        <f t="shared" si="8"/>
        <v>454.11764357767532</v>
      </c>
      <c r="L21" s="3">
        <f t="shared" si="8"/>
        <v>289.41176248732677</v>
      </c>
      <c r="M21" s="3">
        <f t="shared" si="8"/>
        <v>211.76470425901971</v>
      </c>
      <c r="N21" s="3">
        <f t="shared" si="8"/>
        <v>211.76470425901971</v>
      </c>
      <c r="O21" s="3">
        <f t="shared" si="8"/>
        <v>214.11764541745379</v>
      </c>
      <c r="P21" s="3">
        <f t="shared" si="8"/>
        <v>211.76470425901971</v>
      </c>
      <c r="Q21" s="3">
        <f t="shared" si="8"/>
        <v>214.11764541745379</v>
      </c>
      <c r="R21" s="25"/>
    </row>
    <row r="22" spans="1:18" x14ac:dyDescent="0.2">
      <c r="A22" s="4" t="s">
        <v>0</v>
      </c>
      <c r="B22" s="170">
        <f>Assumptions!D19</f>
        <v>0.38500000000000001</v>
      </c>
      <c r="E22" s="130"/>
      <c r="F22" s="19">
        <v>0</v>
      </c>
      <c r="G22" s="1">
        <f t="shared" ref="G22:Q22" si="9">$B$22*G18</f>
        <v>-2325.0025792167748</v>
      </c>
      <c r="H22" s="1">
        <f t="shared" si="9"/>
        <v>-1714.8237792167738</v>
      </c>
      <c r="I22" s="1">
        <f t="shared" si="9"/>
        <v>-1043.6270992167731</v>
      </c>
      <c r="J22" s="1">
        <f t="shared" si="9"/>
        <v>-305.31075121677179</v>
      </c>
      <c r="K22" s="1">
        <f t="shared" si="9"/>
        <v>506.83723158322914</v>
      </c>
      <c r="L22" s="1">
        <f t="shared" si="9"/>
        <v>1400.2000126632304</v>
      </c>
      <c r="M22" s="1">
        <f t="shared" si="9"/>
        <v>2382.8990718512318</v>
      </c>
      <c r="N22" s="1">
        <f t="shared" si="9"/>
        <v>3463.8680369580338</v>
      </c>
      <c r="O22" s="1">
        <f t="shared" si="9"/>
        <v>4652.9338985755157</v>
      </c>
      <c r="P22" s="1">
        <f t="shared" si="9"/>
        <v>5960.9063463547463</v>
      </c>
      <c r="Q22" s="1">
        <f t="shared" si="9"/>
        <v>7399.6760389119017</v>
      </c>
      <c r="R22" s="25"/>
    </row>
    <row r="23" spans="1:18" x14ac:dyDescent="0.2">
      <c r="A23" s="1"/>
      <c r="B23" s="24"/>
      <c r="E23" s="59"/>
      <c r="F23" s="19"/>
      <c r="G23" s="1"/>
      <c r="H23" s="1"/>
      <c r="I23" s="1"/>
      <c r="J23" s="13"/>
      <c r="K23" s="13"/>
      <c r="L23" s="1"/>
      <c r="M23" s="1"/>
      <c r="N23" s="1"/>
      <c r="O23" s="1"/>
      <c r="P23" s="1"/>
      <c r="Q23" s="1"/>
      <c r="R23" s="25"/>
    </row>
    <row r="24" spans="1:18" x14ac:dyDescent="0.2">
      <c r="A24" s="81" t="s">
        <v>16</v>
      </c>
      <c r="B24" s="179"/>
      <c r="C24" s="39"/>
      <c r="D24" s="39"/>
      <c r="E24" s="131"/>
      <c r="F24" s="60">
        <f t="shared" ref="F24:Q24" si="10">F18-F22</f>
        <v>-2518</v>
      </c>
      <c r="G24" s="61">
        <f t="shared" si="10"/>
        <v>-3713.9651590086146</v>
      </c>
      <c r="H24" s="61">
        <f t="shared" si="10"/>
        <v>-2739.2639590086128</v>
      </c>
      <c r="I24" s="61">
        <f t="shared" si="10"/>
        <v>-1667.0926390086113</v>
      </c>
      <c r="J24" s="57">
        <f t="shared" si="10"/>
        <v>-487.70418700860944</v>
      </c>
      <c r="K24" s="57">
        <f t="shared" si="10"/>
        <v>809.62311019139202</v>
      </c>
      <c r="L24" s="61">
        <f t="shared" si="10"/>
        <v>2236.683137111394</v>
      </c>
      <c r="M24" s="61">
        <f t="shared" si="10"/>
        <v>3806.4491667233956</v>
      </c>
      <c r="N24" s="61">
        <f t="shared" si="10"/>
        <v>5533.1917992965991</v>
      </c>
      <c r="O24" s="61">
        <f t="shared" si="10"/>
        <v>7432.6086951271218</v>
      </c>
      <c r="P24" s="61">
        <f t="shared" si="10"/>
        <v>9521.967280540699</v>
      </c>
      <c r="Q24" s="62">
        <f t="shared" si="10"/>
        <v>11820.261724495635</v>
      </c>
      <c r="R24" s="172" t="s">
        <v>1</v>
      </c>
    </row>
    <row r="25" spans="1:18" x14ac:dyDescent="0.2">
      <c r="A25" s="2"/>
      <c r="B25" s="24"/>
      <c r="E25" s="59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0" t="s">
        <v>70</v>
      </c>
    </row>
    <row r="26" spans="1:18" x14ac:dyDescent="0.2">
      <c r="A26" s="2" t="s">
        <v>15</v>
      </c>
      <c r="B26" s="24"/>
      <c r="E26" s="59"/>
      <c r="F26" s="19">
        <f t="shared" ref="F26:Q26" si="11">F24+F21+F16</f>
        <v>-2518</v>
      </c>
      <c r="G26" s="1">
        <f t="shared" si="11"/>
        <v>-658.19742078322406</v>
      </c>
      <c r="H26" s="1">
        <f t="shared" si="11"/>
        <v>1375.3273005118758</v>
      </c>
      <c r="I26" s="1">
        <f t="shared" si="11"/>
        <v>2223.9692104606902</v>
      </c>
      <c r="J26" s="13">
        <f t="shared" si="11"/>
        <v>3203.3576639938401</v>
      </c>
      <c r="K26" s="13">
        <f t="shared" si="11"/>
        <v>4319.5084919944584</v>
      </c>
      <c r="L26" s="1">
        <f t="shared" si="11"/>
        <v>5581.8626378241115</v>
      </c>
      <c r="M26" s="1">
        <f t="shared" si="11"/>
        <v>7073.9816092078054</v>
      </c>
      <c r="N26" s="1">
        <f t="shared" si="11"/>
        <v>8800.7242417810085</v>
      </c>
      <c r="O26" s="1">
        <f t="shared" si="11"/>
        <v>10702.494078769967</v>
      </c>
      <c r="P26" s="1">
        <f t="shared" si="11"/>
        <v>12789.49972302511</v>
      </c>
      <c r="Q26" s="1">
        <f t="shared" si="11"/>
        <v>15090.147108138477</v>
      </c>
      <c r="R26" s="20" t="s">
        <v>71</v>
      </c>
    </row>
    <row r="27" spans="1:18" x14ac:dyDescent="0.2">
      <c r="A27" s="2" t="s">
        <v>23</v>
      </c>
      <c r="B27" s="171">
        <f>Assumptions!C41</f>
        <v>1</v>
      </c>
      <c r="E27" s="59"/>
      <c r="F27" s="19">
        <f>F95*$B$27</f>
        <v>0</v>
      </c>
      <c r="G27" s="13">
        <f>$B$27*G95</f>
        <v>0</v>
      </c>
      <c r="H27" s="13">
        <f t="shared" ref="H27:Q27" si="12">$B$27*H95</f>
        <v>0</v>
      </c>
      <c r="I27" s="13">
        <f t="shared" si="12"/>
        <v>0</v>
      </c>
      <c r="J27" s="13">
        <f t="shared" si="12"/>
        <v>0</v>
      </c>
      <c r="K27" s="13">
        <f t="shared" si="12"/>
        <v>0</v>
      </c>
      <c r="L27" s="13">
        <f t="shared" si="12"/>
        <v>0</v>
      </c>
      <c r="M27" s="13">
        <f t="shared" si="12"/>
        <v>0</v>
      </c>
      <c r="N27" s="13">
        <f t="shared" si="12"/>
        <v>0</v>
      </c>
      <c r="O27" s="13">
        <f t="shared" si="12"/>
        <v>0</v>
      </c>
      <c r="P27" s="13">
        <f t="shared" si="12"/>
        <v>0</v>
      </c>
      <c r="Q27" s="13">
        <f t="shared" si="12"/>
        <v>0</v>
      </c>
      <c r="R27" s="122">
        <f>Assumptions!E40</f>
        <v>4</v>
      </c>
    </row>
    <row r="28" spans="1:18" x14ac:dyDescent="0.2">
      <c r="A28" s="115" t="s">
        <v>17</v>
      </c>
      <c r="B28" s="39"/>
      <c r="C28" s="39"/>
      <c r="D28" s="39"/>
      <c r="E28" s="108"/>
      <c r="F28" s="60">
        <f t="shared" ref="F28:Q28" si="13">F26-F27</f>
        <v>-2518</v>
      </c>
      <c r="G28" s="57">
        <f t="shared" si="13"/>
        <v>-658.19742078322406</v>
      </c>
      <c r="H28" s="57">
        <f t="shared" si="13"/>
        <v>1375.3273005118758</v>
      </c>
      <c r="I28" s="57">
        <f t="shared" si="13"/>
        <v>2223.9692104606902</v>
      </c>
      <c r="J28" s="57">
        <f t="shared" si="13"/>
        <v>3203.3576639938401</v>
      </c>
      <c r="K28" s="57">
        <f t="shared" si="13"/>
        <v>4319.5084919944584</v>
      </c>
      <c r="L28" s="57">
        <f t="shared" si="13"/>
        <v>5581.8626378241115</v>
      </c>
      <c r="M28" s="57">
        <f t="shared" si="13"/>
        <v>7073.9816092078054</v>
      </c>
      <c r="N28" s="57">
        <f t="shared" si="13"/>
        <v>8800.7242417810085</v>
      </c>
      <c r="O28" s="57">
        <f t="shared" si="13"/>
        <v>10702.494078769967</v>
      </c>
      <c r="P28" s="57">
        <f t="shared" si="13"/>
        <v>12789.49972302511</v>
      </c>
      <c r="Q28" s="57">
        <f t="shared" si="13"/>
        <v>15090.147108138477</v>
      </c>
      <c r="R28" s="58">
        <f>Q14*R27</f>
        <v>89102.8220065317</v>
      </c>
    </row>
    <row r="29" spans="1:18" x14ac:dyDescent="0.2">
      <c r="A29" s="4"/>
      <c r="E29" s="59"/>
      <c r="F29" s="1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3.5" thickBot="1" x14ac:dyDescent="0.25">
      <c r="R30" s="13"/>
    </row>
    <row r="31" spans="1:18" ht="15" x14ac:dyDescent="0.35">
      <c r="F31"/>
      <c r="G31" s="279" t="s">
        <v>12</v>
      </c>
      <c r="H31" s="280" t="str">
        <f>(Assumptions!D12-1&amp;" EBITDA")</f>
        <v>2000 EBITDA</v>
      </c>
      <c r="I31" s="280" t="s">
        <v>72</v>
      </c>
      <c r="J31" s="281"/>
      <c r="K31" s="401" t="s">
        <v>13</v>
      </c>
      <c r="L31" s="401"/>
      <c r="M31" s="402"/>
      <c r="P31" s="1"/>
      <c r="Q31" s="1"/>
      <c r="R31" s="1"/>
    </row>
    <row r="32" spans="1:18" ht="15" x14ac:dyDescent="0.35">
      <c r="F32"/>
      <c r="G32" s="282" t="s">
        <v>14</v>
      </c>
      <c r="H32" s="283" t="s">
        <v>24</v>
      </c>
      <c r="I32" s="283" t="s">
        <v>73</v>
      </c>
      <c r="J32" s="284"/>
      <c r="K32" s="285">
        <f>MethDRate-0.025</f>
        <v>7.5000000000000011E-2</v>
      </c>
      <c r="L32" s="285">
        <f>Assumptions!H43</f>
        <v>0.1</v>
      </c>
      <c r="M32" s="286">
        <f>MethDRate+0.025</f>
        <v>0.125</v>
      </c>
      <c r="P32" s="1"/>
      <c r="Q32" s="1"/>
      <c r="R32" s="1"/>
    </row>
    <row r="33" spans="1:18" x14ac:dyDescent="0.2">
      <c r="F33" s="9" t="s">
        <v>22</v>
      </c>
      <c r="G33" s="287"/>
      <c r="H33" s="288"/>
      <c r="I33" s="288"/>
      <c r="J33" s="277"/>
      <c r="K33" s="277"/>
      <c r="L33" s="277"/>
      <c r="M33" s="289"/>
      <c r="P33" s="1"/>
      <c r="Q33" s="1"/>
      <c r="R33" s="1"/>
    </row>
    <row r="34" spans="1:18" ht="13.5" thickBot="1" x14ac:dyDescent="0.25">
      <c r="F34">
        <f>IF(ABS(G34-L34)&lt;0.05,0,1)</f>
        <v>0</v>
      </c>
      <c r="G34" s="359">
        <v>61115.354764507814</v>
      </c>
      <c r="H34" s="360">
        <f>G34/F14</f>
        <v>-24.271387912830743</v>
      </c>
      <c r="I34" s="361" t="str">
        <f>Assumptions!D40</f>
        <v>ETS</v>
      </c>
      <c r="J34" s="362"/>
      <c r="K34" s="363">
        <f>NPV(K32,$G$28:$R$28)</f>
        <v>76599.462797041997</v>
      </c>
      <c r="L34" s="364">
        <f>NPV(L32,$G$28:$R$28)</f>
        <v>61115.392564171074</v>
      </c>
      <c r="M34" s="292">
        <f>NPV(M32,$G$28:$R$28)</f>
        <v>49202.476161441766</v>
      </c>
      <c r="P34" s="1"/>
      <c r="Q34" s="1"/>
      <c r="R34" s="1"/>
    </row>
    <row r="35" spans="1:18" x14ac:dyDescent="0.2">
      <c r="F35"/>
      <c r="G35" s="13"/>
      <c r="H35" s="278"/>
      <c r="I35" s="278"/>
      <c r="J35" s="13"/>
      <c r="K35" s="100"/>
      <c r="L35" s="100"/>
      <c r="M35" s="100"/>
      <c r="P35" s="1"/>
      <c r="Q35" s="1"/>
      <c r="R35" s="1"/>
    </row>
    <row r="36" spans="1:18" x14ac:dyDescent="0.2">
      <c r="F36" s="13"/>
      <c r="G36" s="1"/>
      <c r="H36" s="1"/>
      <c r="I36" s="1"/>
      <c r="J36" s="1"/>
      <c r="K36" s="1"/>
      <c r="L36" s="1"/>
      <c r="N36" s="1"/>
      <c r="O36" s="1"/>
      <c r="P36" s="1"/>
      <c r="Q36" s="1"/>
    </row>
    <row r="37" spans="1:18" x14ac:dyDescent="0.2">
      <c r="E37" s="13"/>
      <c r="F37" s="13"/>
      <c r="G37" s="13"/>
      <c r="I37" s="25"/>
      <c r="J37" s="25"/>
      <c r="K37" s="25"/>
      <c r="L37" s="25"/>
      <c r="M37" s="25"/>
      <c r="N37" s="25"/>
      <c r="O37" s="25"/>
      <c r="P37" s="25"/>
      <c r="Q37" s="25"/>
    </row>
    <row r="38" spans="1:18" x14ac:dyDescent="0.2">
      <c r="E38" s="13"/>
      <c r="F38" s="13"/>
      <c r="G38" s="13"/>
      <c r="H38" s="13"/>
      <c r="I38" s="25"/>
      <c r="J38" s="25"/>
      <c r="K38" s="25"/>
      <c r="L38" s="25"/>
      <c r="M38" s="25"/>
      <c r="N38" s="25"/>
      <c r="O38" s="25"/>
      <c r="P38" s="25"/>
      <c r="Q38" s="25"/>
    </row>
    <row r="39" spans="1:18" ht="13.5" thickBot="1" x14ac:dyDescent="0.25">
      <c r="A39" s="7" t="s">
        <v>75</v>
      </c>
    </row>
    <row r="40" spans="1:18" ht="13.5" thickBot="1" x14ac:dyDescent="0.25">
      <c r="B40" s="21" t="s">
        <v>69</v>
      </c>
      <c r="C40" s="116" t="s">
        <v>47</v>
      </c>
      <c r="F40" s="113">
        <f>G40-1</f>
        <v>2000</v>
      </c>
      <c r="G40" s="7">
        <f>Assumptions!D12</f>
        <v>2001</v>
      </c>
      <c r="H40" s="7">
        <f t="shared" ref="H40:Q40" si="14">G40+1</f>
        <v>2002</v>
      </c>
      <c r="I40" s="7">
        <f t="shared" si="14"/>
        <v>2003</v>
      </c>
      <c r="J40" s="7">
        <f t="shared" si="14"/>
        <v>2004</v>
      </c>
      <c r="K40" s="7">
        <f t="shared" si="14"/>
        <v>2005</v>
      </c>
      <c r="L40" s="7">
        <f t="shared" si="14"/>
        <v>2006</v>
      </c>
      <c r="M40" s="7">
        <f t="shared" si="14"/>
        <v>2007</v>
      </c>
      <c r="N40" s="7">
        <f t="shared" si="14"/>
        <v>2008</v>
      </c>
      <c r="O40" s="7">
        <f t="shared" si="14"/>
        <v>2009</v>
      </c>
      <c r="P40" s="7">
        <f t="shared" si="14"/>
        <v>2010</v>
      </c>
      <c r="Q40" s="7">
        <f t="shared" si="14"/>
        <v>2011</v>
      </c>
    </row>
    <row r="41" spans="1:18" ht="13.5" thickBot="1" x14ac:dyDescent="0.25">
      <c r="A41" s="106" t="str">
        <f>A2</f>
        <v xml:space="preserve">  Asset 2-Cash Flow Analysis</v>
      </c>
      <c r="B41" s="176">
        <f>Assumptions!C41</f>
        <v>1</v>
      </c>
      <c r="C41" s="177">
        <v>2</v>
      </c>
      <c r="D41" s="39"/>
      <c r="E41" s="92"/>
      <c r="F41" s="60">
        <f>F53*$B$41</f>
        <v>14408</v>
      </c>
      <c r="G41" s="61">
        <f t="shared" ref="G41:Q41" si="15">CHOOSE($C$41,G53,G56,G59)*$B$41+G42</f>
        <v>15848.800000000001</v>
      </c>
      <c r="H41" s="61">
        <f t="shared" si="15"/>
        <v>17433.680000000004</v>
      </c>
      <c r="I41" s="61">
        <f t="shared" si="15"/>
        <v>19177.048000000006</v>
      </c>
      <c r="J41" s="61">
        <f t="shared" si="15"/>
        <v>21094.752800000009</v>
      </c>
      <c r="K41" s="61">
        <f t="shared" si="15"/>
        <v>23204.228080000012</v>
      </c>
      <c r="L41" s="61">
        <f t="shared" si="15"/>
        <v>25524.650888000015</v>
      </c>
      <c r="M41" s="61">
        <f t="shared" si="15"/>
        <v>28077.115976800018</v>
      </c>
      <c r="N41" s="61">
        <f t="shared" si="15"/>
        <v>30884.827574480023</v>
      </c>
      <c r="O41" s="61">
        <f t="shared" si="15"/>
        <v>33973.310331928027</v>
      </c>
      <c r="P41" s="61">
        <f t="shared" si="15"/>
        <v>37370.641365120835</v>
      </c>
      <c r="Q41" s="62">
        <f t="shared" si="15"/>
        <v>41107.705501632925</v>
      </c>
    </row>
    <row r="42" spans="1:18" x14ac:dyDescent="0.2">
      <c r="C42" s="50"/>
      <c r="F42" s="128" t="s">
        <v>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8" x14ac:dyDescent="0.2">
      <c r="C43" s="117"/>
      <c r="D43" s="110"/>
      <c r="F43" s="1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x14ac:dyDescent="0.2">
      <c r="A44" t="str">
        <f>Assumptions!B50</f>
        <v>1. Base Case</v>
      </c>
      <c r="C44" s="117">
        <v>1</v>
      </c>
      <c r="F44" s="17"/>
    </row>
    <row r="45" spans="1:18" x14ac:dyDescent="0.2">
      <c r="A45" t="s">
        <v>160</v>
      </c>
      <c r="C45" s="117"/>
      <c r="D45" s="129"/>
      <c r="F45" s="19">
        <v>43272</v>
      </c>
      <c r="G45" s="1">
        <v>41958</v>
      </c>
      <c r="H45" s="27">
        <f t="shared" ref="H45:Q45" si="16">G45</f>
        <v>41958</v>
      </c>
      <c r="I45" s="27">
        <f t="shared" si="16"/>
        <v>41958</v>
      </c>
      <c r="J45" s="27">
        <f t="shared" si="16"/>
        <v>41958</v>
      </c>
      <c r="K45" s="27">
        <f t="shared" si="16"/>
        <v>41958</v>
      </c>
      <c r="L45" s="27">
        <f t="shared" si="16"/>
        <v>41958</v>
      </c>
      <c r="M45" s="27">
        <f t="shared" si="16"/>
        <v>41958</v>
      </c>
      <c r="N45" s="27">
        <f t="shared" si="16"/>
        <v>41958</v>
      </c>
      <c r="O45" s="27">
        <f t="shared" si="16"/>
        <v>41958</v>
      </c>
      <c r="P45" s="27">
        <f t="shared" si="16"/>
        <v>41958</v>
      </c>
      <c r="Q45" s="27">
        <f t="shared" si="16"/>
        <v>41958</v>
      </c>
    </row>
    <row r="46" spans="1:18" x14ac:dyDescent="0.2">
      <c r="A46" t="s">
        <v>98</v>
      </c>
      <c r="C46" s="117"/>
      <c r="D46" s="129"/>
      <c r="F46" s="19">
        <v>75</v>
      </c>
      <c r="G46" s="1">
        <v>0</v>
      </c>
      <c r="H46" s="27">
        <f t="shared" ref="H46:Q46" si="17">G46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  <c r="L46" s="27">
        <f t="shared" si="17"/>
        <v>0</v>
      </c>
      <c r="M46" s="27">
        <f t="shared" si="17"/>
        <v>0</v>
      </c>
      <c r="N46" s="27">
        <f t="shared" si="17"/>
        <v>0</v>
      </c>
      <c r="O46" s="27">
        <f t="shared" si="17"/>
        <v>0</v>
      </c>
      <c r="P46" s="27">
        <f t="shared" si="17"/>
        <v>0</v>
      </c>
      <c r="Q46" s="27">
        <f t="shared" si="17"/>
        <v>0</v>
      </c>
    </row>
    <row r="47" spans="1:18" x14ac:dyDescent="0.2">
      <c r="A47" t="s">
        <v>99</v>
      </c>
      <c r="C47" s="117"/>
      <c r="D47" s="33"/>
      <c r="E47" s="59"/>
      <c r="F47" s="22">
        <v>0</v>
      </c>
      <c r="G47" s="33">
        <v>0</v>
      </c>
      <c r="H47" s="33">
        <f t="shared" ref="H47:Q47" si="18">G47</f>
        <v>0</v>
      </c>
      <c r="I47" s="33">
        <f t="shared" si="18"/>
        <v>0</v>
      </c>
      <c r="J47" s="33">
        <f t="shared" si="18"/>
        <v>0</v>
      </c>
      <c r="K47" s="33">
        <f t="shared" si="18"/>
        <v>0</v>
      </c>
      <c r="L47" s="33">
        <f t="shared" si="18"/>
        <v>0</v>
      </c>
      <c r="M47" s="33">
        <f t="shared" si="18"/>
        <v>0</v>
      </c>
      <c r="N47" s="33">
        <f t="shared" si="18"/>
        <v>0</v>
      </c>
      <c r="O47" s="33">
        <f t="shared" si="18"/>
        <v>0</v>
      </c>
      <c r="P47" s="33">
        <f t="shared" si="18"/>
        <v>0</v>
      </c>
      <c r="Q47" s="33">
        <f t="shared" si="18"/>
        <v>0</v>
      </c>
    </row>
    <row r="48" spans="1:18" x14ac:dyDescent="0.2">
      <c r="A48" s="45" t="s">
        <v>100</v>
      </c>
      <c r="C48" s="117"/>
      <c r="F48" s="19"/>
      <c r="G48" s="1"/>
      <c r="H48" s="33"/>
      <c r="I48" s="27"/>
      <c r="J48" s="27"/>
      <c r="K48" s="27"/>
      <c r="L48" s="27"/>
      <c r="M48" s="27"/>
      <c r="N48" s="27"/>
      <c r="O48" s="27"/>
      <c r="P48" s="27"/>
      <c r="Q48" s="27"/>
    </row>
    <row r="49" spans="1:17" x14ac:dyDescent="0.2">
      <c r="A49" t="s">
        <v>104</v>
      </c>
      <c r="C49" s="117"/>
      <c r="D49" s="129"/>
      <c r="F49" s="19">
        <v>-688</v>
      </c>
      <c r="G49" s="1">
        <v>0</v>
      </c>
      <c r="H49" s="33">
        <f t="shared" ref="H49:Q49" si="19">G49</f>
        <v>0</v>
      </c>
      <c r="I49" s="33">
        <f t="shared" si="19"/>
        <v>0</v>
      </c>
      <c r="J49" s="33">
        <f t="shared" si="19"/>
        <v>0</v>
      </c>
      <c r="K49" s="33">
        <f t="shared" si="19"/>
        <v>0</v>
      </c>
      <c r="L49" s="33">
        <f t="shared" si="19"/>
        <v>0</v>
      </c>
      <c r="M49" s="33">
        <f t="shared" si="19"/>
        <v>0</v>
      </c>
      <c r="N49" s="33">
        <f t="shared" si="19"/>
        <v>0</v>
      </c>
      <c r="O49" s="33">
        <f t="shared" si="19"/>
        <v>0</v>
      </c>
      <c r="P49" s="33">
        <f t="shared" si="19"/>
        <v>0</v>
      </c>
      <c r="Q49" s="33">
        <f t="shared" si="19"/>
        <v>0</v>
      </c>
    </row>
    <row r="50" spans="1:17" x14ac:dyDescent="0.2">
      <c r="A50" t="s">
        <v>102</v>
      </c>
      <c r="C50" s="117"/>
      <c r="D50" s="129"/>
      <c r="F50" s="19">
        <v>-29754</v>
      </c>
      <c r="G50" s="1">
        <v>-34363</v>
      </c>
      <c r="H50" s="33">
        <f t="shared" ref="H50:Q50" si="20">G50</f>
        <v>-34363</v>
      </c>
      <c r="I50" s="33">
        <f t="shared" si="20"/>
        <v>-34363</v>
      </c>
      <c r="J50" s="33">
        <f t="shared" si="20"/>
        <v>-34363</v>
      </c>
      <c r="K50" s="33">
        <f t="shared" si="20"/>
        <v>-34363</v>
      </c>
      <c r="L50" s="33">
        <f t="shared" si="20"/>
        <v>-34363</v>
      </c>
      <c r="M50" s="33">
        <f t="shared" si="20"/>
        <v>-34363</v>
      </c>
      <c r="N50" s="33">
        <f t="shared" si="20"/>
        <v>-34363</v>
      </c>
      <c r="O50" s="33">
        <f t="shared" si="20"/>
        <v>-34363</v>
      </c>
      <c r="P50" s="33">
        <f t="shared" si="20"/>
        <v>-34363</v>
      </c>
      <c r="Q50" s="33">
        <f t="shared" si="20"/>
        <v>-34363</v>
      </c>
    </row>
    <row r="51" spans="1:17" x14ac:dyDescent="0.2">
      <c r="A51" t="s">
        <v>103</v>
      </c>
      <c r="C51" s="117"/>
      <c r="D51" s="129"/>
      <c r="F51" s="19">
        <v>1684</v>
      </c>
      <c r="G51" s="1">
        <v>0</v>
      </c>
      <c r="H51" s="33">
        <f t="shared" ref="H51:Q51" si="21">G51</f>
        <v>0</v>
      </c>
      <c r="I51" s="33">
        <f t="shared" si="21"/>
        <v>0</v>
      </c>
      <c r="J51" s="33">
        <f t="shared" si="21"/>
        <v>0</v>
      </c>
      <c r="K51" s="33">
        <f t="shared" si="21"/>
        <v>0</v>
      </c>
      <c r="L51" s="33">
        <f t="shared" si="21"/>
        <v>0</v>
      </c>
      <c r="M51" s="33">
        <f t="shared" si="21"/>
        <v>0</v>
      </c>
      <c r="N51" s="33">
        <f t="shared" si="21"/>
        <v>0</v>
      </c>
      <c r="O51" s="33">
        <f t="shared" si="21"/>
        <v>0</v>
      </c>
      <c r="P51" s="33">
        <f t="shared" si="21"/>
        <v>0</v>
      </c>
      <c r="Q51" s="33">
        <f t="shared" si="21"/>
        <v>0</v>
      </c>
    </row>
    <row r="52" spans="1:17" ht="15" x14ac:dyDescent="0.35">
      <c r="A52" t="s">
        <v>120</v>
      </c>
      <c r="C52" s="117"/>
      <c r="D52" s="156"/>
      <c r="E52" s="59"/>
      <c r="F52" s="18">
        <v>-181</v>
      </c>
      <c r="G52" s="6">
        <v>11</v>
      </c>
      <c r="H52" s="6">
        <f t="shared" ref="H52:Q52" si="22">G52</f>
        <v>11</v>
      </c>
      <c r="I52" s="6">
        <f t="shared" si="22"/>
        <v>11</v>
      </c>
      <c r="J52" s="6">
        <f t="shared" si="22"/>
        <v>11</v>
      </c>
      <c r="K52" s="6">
        <f t="shared" si="22"/>
        <v>11</v>
      </c>
      <c r="L52" s="6">
        <f t="shared" si="22"/>
        <v>11</v>
      </c>
      <c r="M52" s="6">
        <f t="shared" si="22"/>
        <v>11</v>
      </c>
      <c r="N52" s="6">
        <f t="shared" si="22"/>
        <v>11</v>
      </c>
      <c r="O52" s="6">
        <f t="shared" si="22"/>
        <v>11</v>
      </c>
      <c r="P52" s="6">
        <f t="shared" si="22"/>
        <v>11</v>
      </c>
      <c r="Q52" s="6">
        <f t="shared" si="22"/>
        <v>11</v>
      </c>
    </row>
    <row r="53" spans="1:17" x14ac:dyDescent="0.2">
      <c r="A53" s="76" t="s">
        <v>0</v>
      </c>
      <c r="B53" s="155">
        <v>1</v>
      </c>
      <c r="C53" s="117"/>
      <c r="D53" s="129"/>
      <c r="E53" s="104"/>
      <c r="F53" s="34">
        <f>SUM(F45:F52)*$B$53</f>
        <v>14408</v>
      </c>
      <c r="G53" s="100">
        <f t="shared" ref="G53:Q53" si="23">SUM(G45:G52)*$B$53+G54</f>
        <v>7606</v>
      </c>
      <c r="H53" s="100">
        <f t="shared" si="23"/>
        <v>7606</v>
      </c>
      <c r="I53" s="100">
        <f t="shared" si="23"/>
        <v>7606</v>
      </c>
      <c r="J53" s="100">
        <f t="shared" si="23"/>
        <v>7606</v>
      </c>
      <c r="K53" s="100">
        <f t="shared" si="23"/>
        <v>7606</v>
      </c>
      <c r="L53" s="100">
        <f t="shared" si="23"/>
        <v>7606</v>
      </c>
      <c r="M53" s="100">
        <f t="shared" si="23"/>
        <v>7606</v>
      </c>
      <c r="N53" s="100">
        <f t="shared" si="23"/>
        <v>7606</v>
      </c>
      <c r="O53" s="100">
        <f t="shared" si="23"/>
        <v>7606</v>
      </c>
      <c r="P53" s="100">
        <f t="shared" si="23"/>
        <v>7606</v>
      </c>
      <c r="Q53" s="100">
        <f t="shared" si="23"/>
        <v>7606</v>
      </c>
    </row>
    <row r="54" spans="1:17" x14ac:dyDescent="0.2">
      <c r="C54" s="117"/>
      <c r="F54" s="128" t="s">
        <v>45</v>
      </c>
      <c r="G54" s="1">
        <v>0</v>
      </c>
      <c r="H54" s="1">
        <v>0</v>
      </c>
      <c r="I54" s="1">
        <f t="shared" ref="I54:Q54" si="24">H54</f>
        <v>0</v>
      </c>
      <c r="J54" s="13">
        <f t="shared" si="24"/>
        <v>0</v>
      </c>
      <c r="K54" s="13">
        <f t="shared" si="24"/>
        <v>0</v>
      </c>
      <c r="L54" s="1">
        <f t="shared" si="24"/>
        <v>0</v>
      </c>
      <c r="M54" s="1">
        <f t="shared" si="24"/>
        <v>0</v>
      </c>
      <c r="N54" s="1">
        <f t="shared" si="24"/>
        <v>0</v>
      </c>
      <c r="O54" s="1">
        <f t="shared" si="24"/>
        <v>0</v>
      </c>
      <c r="P54" s="1">
        <f t="shared" si="24"/>
        <v>0</v>
      </c>
      <c r="Q54" s="1">
        <f t="shared" si="24"/>
        <v>0</v>
      </c>
    </row>
    <row r="55" spans="1:17" x14ac:dyDescent="0.2">
      <c r="C55" s="117"/>
      <c r="F55" s="17"/>
    </row>
    <row r="56" spans="1:17" x14ac:dyDescent="0.2">
      <c r="A56" t="str">
        <f>Assumptions!B51</f>
        <v>2. Optimistic</v>
      </c>
      <c r="B56" s="155">
        <v>1.1000000000000001</v>
      </c>
      <c r="C56" s="117">
        <v>2</v>
      </c>
      <c r="D56" s="129"/>
      <c r="F56" s="34">
        <f>F53</f>
        <v>14408</v>
      </c>
      <c r="G56" s="27">
        <f t="shared" ref="G56:Q56" si="25">F56*$B$56+G57</f>
        <v>15848.800000000001</v>
      </c>
      <c r="H56" s="27">
        <f t="shared" si="25"/>
        <v>17433.680000000004</v>
      </c>
      <c r="I56" s="27">
        <f t="shared" si="25"/>
        <v>19177.048000000006</v>
      </c>
      <c r="J56" s="27">
        <f t="shared" si="25"/>
        <v>21094.752800000009</v>
      </c>
      <c r="K56" s="27">
        <f t="shared" si="25"/>
        <v>23204.228080000012</v>
      </c>
      <c r="L56" s="27">
        <f t="shared" si="25"/>
        <v>25524.650888000015</v>
      </c>
      <c r="M56" s="27">
        <f t="shared" si="25"/>
        <v>28077.115976800018</v>
      </c>
      <c r="N56" s="27">
        <f t="shared" si="25"/>
        <v>30884.827574480023</v>
      </c>
      <c r="O56" s="27">
        <f t="shared" si="25"/>
        <v>33973.310331928027</v>
      </c>
      <c r="P56" s="27">
        <f t="shared" si="25"/>
        <v>37370.641365120835</v>
      </c>
      <c r="Q56" s="27">
        <f t="shared" si="25"/>
        <v>41107.705501632925</v>
      </c>
    </row>
    <row r="57" spans="1:17" x14ac:dyDescent="0.2">
      <c r="C57" s="117"/>
      <c r="F57" s="128" t="s">
        <v>45</v>
      </c>
      <c r="G57" s="1">
        <v>0</v>
      </c>
      <c r="H57" s="1">
        <v>0</v>
      </c>
      <c r="I57" s="1">
        <f t="shared" ref="I57:Q57" si="26">H57</f>
        <v>0</v>
      </c>
      <c r="J57" s="13">
        <f t="shared" si="26"/>
        <v>0</v>
      </c>
      <c r="K57" s="13">
        <f t="shared" si="26"/>
        <v>0</v>
      </c>
      <c r="L57" s="1">
        <f t="shared" si="26"/>
        <v>0</v>
      </c>
      <c r="M57" s="1">
        <f t="shared" si="26"/>
        <v>0</v>
      </c>
      <c r="N57" s="1">
        <f t="shared" si="26"/>
        <v>0</v>
      </c>
      <c r="O57" s="1">
        <f t="shared" si="26"/>
        <v>0</v>
      </c>
      <c r="P57" s="1">
        <f t="shared" si="26"/>
        <v>0</v>
      </c>
      <c r="Q57" s="1">
        <f t="shared" si="26"/>
        <v>0</v>
      </c>
    </row>
    <row r="58" spans="1:17" x14ac:dyDescent="0.2">
      <c r="C58" s="117"/>
      <c r="F58" s="17"/>
    </row>
    <row r="59" spans="1:17" x14ac:dyDescent="0.2">
      <c r="A59" t="str">
        <f>Assumptions!B52</f>
        <v>3. Pessimistic</v>
      </c>
      <c r="B59" s="366">
        <v>1.03</v>
      </c>
      <c r="C59" s="117">
        <v>3</v>
      </c>
      <c r="D59" s="129"/>
      <c r="F59" s="34">
        <f>F53</f>
        <v>14408</v>
      </c>
      <c r="G59" s="27">
        <f>G53</f>
        <v>7606</v>
      </c>
      <c r="H59" s="27">
        <f>H53</f>
        <v>7606</v>
      </c>
      <c r="I59" s="27">
        <f t="shared" ref="I59:Q59" si="27">H59*$B$59+I60</f>
        <v>7834.18</v>
      </c>
      <c r="J59" s="27">
        <f t="shared" si="27"/>
        <v>8069.2054000000007</v>
      </c>
      <c r="K59" s="27">
        <f t="shared" si="27"/>
        <v>8311.2815620000001</v>
      </c>
      <c r="L59" s="27">
        <f t="shared" si="27"/>
        <v>8560.6200088599999</v>
      </c>
      <c r="M59" s="27">
        <f t="shared" si="27"/>
        <v>8817.4386091258002</v>
      </c>
      <c r="N59" s="27">
        <f t="shared" si="27"/>
        <v>9081.9617673995745</v>
      </c>
      <c r="O59" s="27">
        <f t="shared" si="27"/>
        <v>9354.4206204215625</v>
      </c>
      <c r="P59" s="27">
        <f t="shared" si="27"/>
        <v>9635.0532390342105</v>
      </c>
      <c r="Q59" s="27">
        <f t="shared" si="27"/>
        <v>9924.104836205237</v>
      </c>
    </row>
    <row r="60" spans="1:17" ht="13.5" thickBot="1" x14ac:dyDescent="0.25">
      <c r="C60" s="121"/>
      <c r="F60" s="128" t="s">
        <v>45</v>
      </c>
      <c r="G60" s="1">
        <v>0</v>
      </c>
      <c r="H60" s="1">
        <v>0</v>
      </c>
      <c r="I60" s="1">
        <f t="shared" ref="I60:Q60" si="28">H60</f>
        <v>0</v>
      </c>
      <c r="J60" s="13">
        <f t="shared" si="28"/>
        <v>0</v>
      </c>
      <c r="K60" s="13">
        <f t="shared" si="28"/>
        <v>0</v>
      </c>
      <c r="L60" s="1">
        <f t="shared" si="28"/>
        <v>0</v>
      </c>
      <c r="M60" s="1">
        <f t="shared" si="28"/>
        <v>0</v>
      </c>
      <c r="N60" s="1">
        <f t="shared" si="28"/>
        <v>0</v>
      </c>
      <c r="O60" s="1">
        <f t="shared" si="28"/>
        <v>0</v>
      </c>
      <c r="P60" s="1">
        <f t="shared" si="28"/>
        <v>0</v>
      </c>
      <c r="Q60" s="1">
        <f t="shared" si="28"/>
        <v>0</v>
      </c>
    </row>
    <row r="63" spans="1:17" ht="13.5" thickBot="1" x14ac:dyDescent="0.25">
      <c r="A63" s="7" t="s">
        <v>52</v>
      </c>
    </row>
    <row r="64" spans="1:17" ht="13.5" thickBot="1" x14ac:dyDescent="0.25">
      <c r="B64" s="21" t="s">
        <v>69</v>
      </c>
      <c r="C64" s="116" t="s">
        <v>47</v>
      </c>
      <c r="F64" s="113">
        <f>G64-1</f>
        <v>2000</v>
      </c>
      <c r="G64" s="7">
        <f>Assumptions!D12</f>
        <v>2001</v>
      </c>
      <c r="H64" s="7">
        <f t="shared" ref="H64:Q64" si="29">G64+1</f>
        <v>2002</v>
      </c>
      <c r="I64" s="7">
        <f t="shared" si="29"/>
        <v>2003</v>
      </c>
      <c r="J64" s="7">
        <f t="shared" si="29"/>
        <v>2004</v>
      </c>
      <c r="K64" s="7">
        <f t="shared" si="29"/>
        <v>2005</v>
      </c>
      <c r="L64" s="7">
        <f t="shared" si="29"/>
        <v>2006</v>
      </c>
      <c r="M64" s="7">
        <f t="shared" si="29"/>
        <v>2007</v>
      </c>
      <c r="N64" s="7">
        <f t="shared" si="29"/>
        <v>2008</v>
      </c>
      <c r="O64" s="7">
        <f t="shared" si="29"/>
        <v>2009</v>
      </c>
      <c r="P64" s="7">
        <f t="shared" si="29"/>
        <v>2010</v>
      </c>
      <c r="Q64" s="7">
        <f t="shared" si="29"/>
        <v>2011</v>
      </c>
    </row>
    <row r="65" spans="1:17" ht="13.5" thickBot="1" x14ac:dyDescent="0.25">
      <c r="A65" s="106" t="str">
        <f>A2</f>
        <v xml:space="preserve">  Asset 2-Cash Flow Analysis</v>
      </c>
      <c r="B65" s="176">
        <f>Assumptions!C41</f>
        <v>1</v>
      </c>
      <c r="C65" s="178">
        <v>1</v>
      </c>
      <c r="D65" s="39"/>
      <c r="E65" s="92"/>
      <c r="F65" s="114">
        <f>F86*$B$65</f>
        <v>16926</v>
      </c>
      <c r="G65" s="61">
        <f t="shared" ref="G65:Q65" si="30">CHOOSE($C$65,G86,G89,G92)*$B$65+G66</f>
        <v>18832</v>
      </c>
      <c r="H65" s="61">
        <f t="shared" si="30"/>
        <v>18832</v>
      </c>
      <c r="I65" s="61">
        <f t="shared" si="30"/>
        <v>18832</v>
      </c>
      <c r="J65" s="61">
        <f t="shared" si="30"/>
        <v>18832</v>
      </c>
      <c r="K65" s="61">
        <f t="shared" si="30"/>
        <v>18832</v>
      </c>
      <c r="L65" s="61">
        <f t="shared" si="30"/>
        <v>18832</v>
      </c>
      <c r="M65" s="61">
        <f t="shared" si="30"/>
        <v>18832</v>
      </c>
      <c r="N65" s="61">
        <f t="shared" si="30"/>
        <v>18832</v>
      </c>
      <c r="O65" s="61">
        <f t="shared" si="30"/>
        <v>18832</v>
      </c>
      <c r="P65" s="61">
        <f t="shared" si="30"/>
        <v>18832</v>
      </c>
      <c r="Q65" s="62">
        <f t="shared" si="30"/>
        <v>18832</v>
      </c>
    </row>
    <row r="66" spans="1:17" x14ac:dyDescent="0.2">
      <c r="C66" s="118"/>
      <c r="F66" s="128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C67" s="119"/>
      <c r="D67" s="110"/>
      <c r="E67" s="111"/>
    </row>
    <row r="68" spans="1:17" x14ac:dyDescent="0.2">
      <c r="A68" t="str">
        <f>Assumptions!B56</f>
        <v>1. Base Case</v>
      </c>
      <c r="C68" s="119"/>
    </row>
    <row r="69" spans="1:17" x14ac:dyDescent="0.2">
      <c r="C69" s="119"/>
    </row>
    <row r="70" spans="1:17" x14ac:dyDescent="0.2">
      <c r="A70" s="45" t="s">
        <v>112</v>
      </c>
      <c r="C70" s="119"/>
    </row>
    <row r="71" spans="1:17" x14ac:dyDescent="0.2">
      <c r="A71" t="s">
        <v>106</v>
      </c>
      <c r="C71" s="119"/>
      <c r="D71" s="129"/>
      <c r="E71" s="133"/>
      <c r="F71" s="19">
        <v>4341</v>
      </c>
      <c r="G71" s="1">
        <v>5039</v>
      </c>
      <c r="H71" s="1">
        <f t="shared" ref="H71:Q71" si="31">G71</f>
        <v>5039</v>
      </c>
      <c r="I71" s="1">
        <f t="shared" si="31"/>
        <v>5039</v>
      </c>
      <c r="J71" s="1">
        <f t="shared" si="31"/>
        <v>5039</v>
      </c>
      <c r="K71" s="1">
        <f t="shared" si="31"/>
        <v>5039</v>
      </c>
      <c r="L71" s="1">
        <f t="shared" si="31"/>
        <v>5039</v>
      </c>
      <c r="M71" s="1">
        <f t="shared" si="31"/>
        <v>5039</v>
      </c>
      <c r="N71" s="1">
        <f t="shared" si="31"/>
        <v>5039</v>
      </c>
      <c r="O71" s="1">
        <f t="shared" si="31"/>
        <v>5039</v>
      </c>
      <c r="P71" s="1">
        <f t="shared" si="31"/>
        <v>5039</v>
      </c>
      <c r="Q71" s="1">
        <f t="shared" si="31"/>
        <v>5039</v>
      </c>
    </row>
    <row r="72" spans="1:17" x14ac:dyDescent="0.2">
      <c r="A72" t="s">
        <v>107</v>
      </c>
      <c r="C72" s="119"/>
      <c r="D72" s="129"/>
      <c r="E72" s="133"/>
      <c r="F72" s="19">
        <v>218</v>
      </c>
      <c r="G72" s="1">
        <v>322</v>
      </c>
      <c r="H72" s="1">
        <f t="shared" ref="H72:Q72" si="32">G72</f>
        <v>322</v>
      </c>
      <c r="I72" s="1">
        <f t="shared" si="32"/>
        <v>322</v>
      </c>
      <c r="J72" s="1">
        <f t="shared" si="32"/>
        <v>322</v>
      </c>
      <c r="K72" s="1">
        <f t="shared" si="32"/>
        <v>322</v>
      </c>
      <c r="L72" s="1">
        <f t="shared" si="32"/>
        <v>322</v>
      </c>
      <c r="M72" s="1">
        <f t="shared" si="32"/>
        <v>322</v>
      </c>
      <c r="N72" s="1">
        <f t="shared" si="32"/>
        <v>322</v>
      </c>
      <c r="O72" s="1">
        <f t="shared" si="32"/>
        <v>322</v>
      </c>
      <c r="P72" s="1">
        <f t="shared" si="32"/>
        <v>322</v>
      </c>
      <c r="Q72" s="1">
        <f t="shared" si="32"/>
        <v>322</v>
      </c>
    </row>
    <row r="73" spans="1:17" x14ac:dyDescent="0.2">
      <c r="A73" t="s">
        <v>121</v>
      </c>
      <c r="C73" s="119"/>
      <c r="D73" s="129"/>
      <c r="E73" s="133"/>
      <c r="F73" s="19">
        <v>209</v>
      </c>
      <c r="G73" s="1">
        <v>235</v>
      </c>
      <c r="H73" s="1">
        <f t="shared" ref="H73:Q73" si="33">G73</f>
        <v>235</v>
      </c>
      <c r="I73" s="1">
        <f t="shared" si="33"/>
        <v>235</v>
      </c>
      <c r="J73" s="1">
        <f t="shared" si="33"/>
        <v>235</v>
      </c>
      <c r="K73" s="1">
        <f t="shared" si="33"/>
        <v>235</v>
      </c>
      <c r="L73" s="1">
        <f t="shared" si="33"/>
        <v>235</v>
      </c>
      <c r="M73" s="1">
        <f t="shared" si="33"/>
        <v>235</v>
      </c>
      <c r="N73" s="1">
        <f t="shared" si="33"/>
        <v>235</v>
      </c>
      <c r="O73" s="1">
        <f t="shared" si="33"/>
        <v>235</v>
      </c>
      <c r="P73" s="1">
        <f t="shared" si="33"/>
        <v>235</v>
      </c>
      <c r="Q73" s="1">
        <f t="shared" si="33"/>
        <v>235</v>
      </c>
    </row>
    <row r="74" spans="1:17" x14ac:dyDescent="0.2">
      <c r="A74" t="s">
        <v>122</v>
      </c>
      <c r="C74" s="119"/>
      <c r="D74" s="129"/>
      <c r="E74" s="133"/>
      <c r="F74" s="19">
        <v>2532</v>
      </c>
      <c r="G74" s="1">
        <v>3012</v>
      </c>
      <c r="H74" s="1">
        <f t="shared" ref="H74:Q74" si="34">G74</f>
        <v>3012</v>
      </c>
      <c r="I74" s="1">
        <f t="shared" si="34"/>
        <v>3012</v>
      </c>
      <c r="J74" s="1">
        <f t="shared" si="34"/>
        <v>3012</v>
      </c>
      <c r="K74" s="1">
        <f t="shared" si="34"/>
        <v>3012</v>
      </c>
      <c r="L74" s="1">
        <f t="shared" si="34"/>
        <v>3012</v>
      </c>
      <c r="M74" s="1">
        <f t="shared" si="34"/>
        <v>3012</v>
      </c>
      <c r="N74" s="1">
        <f t="shared" si="34"/>
        <v>3012</v>
      </c>
      <c r="O74" s="1">
        <f t="shared" si="34"/>
        <v>3012</v>
      </c>
      <c r="P74" s="1">
        <f t="shared" si="34"/>
        <v>3012</v>
      </c>
      <c r="Q74" s="1">
        <f t="shared" si="34"/>
        <v>3012</v>
      </c>
    </row>
    <row r="75" spans="1:17" x14ac:dyDescent="0.2">
      <c r="A75" t="s">
        <v>123</v>
      </c>
      <c r="C75" s="119"/>
      <c r="D75" s="129"/>
      <c r="E75" s="133"/>
      <c r="F75" s="19">
        <v>929</v>
      </c>
      <c r="G75" s="1">
        <v>777</v>
      </c>
      <c r="H75" s="1">
        <f t="shared" ref="H75:Q75" si="35">G75</f>
        <v>777</v>
      </c>
      <c r="I75" s="1">
        <f t="shared" si="35"/>
        <v>777</v>
      </c>
      <c r="J75" s="1">
        <f t="shared" si="35"/>
        <v>777</v>
      </c>
      <c r="K75" s="1">
        <f t="shared" si="35"/>
        <v>777</v>
      </c>
      <c r="L75" s="1">
        <f t="shared" si="35"/>
        <v>777</v>
      </c>
      <c r="M75" s="1">
        <f t="shared" si="35"/>
        <v>777</v>
      </c>
      <c r="N75" s="1">
        <f t="shared" si="35"/>
        <v>777</v>
      </c>
      <c r="O75" s="1">
        <f t="shared" si="35"/>
        <v>777</v>
      </c>
      <c r="P75" s="1">
        <f t="shared" si="35"/>
        <v>777</v>
      </c>
      <c r="Q75" s="1">
        <f t="shared" si="35"/>
        <v>777</v>
      </c>
    </row>
    <row r="76" spans="1:17" x14ac:dyDescent="0.2">
      <c r="A76" t="s">
        <v>124</v>
      </c>
      <c r="C76" s="119"/>
      <c r="D76" s="129"/>
      <c r="E76" s="133"/>
      <c r="F76" s="19">
        <v>-2794</v>
      </c>
      <c r="G76" s="1">
        <v>-2629</v>
      </c>
      <c r="H76" s="1">
        <f t="shared" ref="H76:Q76" si="36">G76</f>
        <v>-2629</v>
      </c>
      <c r="I76" s="1">
        <f t="shared" si="36"/>
        <v>-2629</v>
      </c>
      <c r="J76" s="1">
        <f t="shared" si="36"/>
        <v>-2629</v>
      </c>
      <c r="K76" s="1">
        <f t="shared" si="36"/>
        <v>-2629</v>
      </c>
      <c r="L76" s="1">
        <f t="shared" si="36"/>
        <v>-2629</v>
      </c>
      <c r="M76" s="1">
        <f t="shared" si="36"/>
        <v>-2629</v>
      </c>
      <c r="N76" s="1">
        <f t="shared" si="36"/>
        <v>-2629</v>
      </c>
      <c r="O76" s="1">
        <f t="shared" si="36"/>
        <v>-2629</v>
      </c>
      <c r="P76" s="1">
        <f t="shared" si="36"/>
        <v>-2629</v>
      </c>
      <c r="Q76" s="1">
        <f t="shared" si="36"/>
        <v>-2629</v>
      </c>
    </row>
    <row r="77" spans="1:17" x14ac:dyDescent="0.2">
      <c r="A77" t="s">
        <v>109</v>
      </c>
      <c r="C77" s="119"/>
      <c r="D77" s="129"/>
      <c r="E77" s="133"/>
      <c r="F77" s="19">
        <v>96</v>
      </c>
      <c r="G77" s="1">
        <v>97</v>
      </c>
      <c r="H77" s="1">
        <f t="shared" ref="H77:Q78" si="37">G77</f>
        <v>97</v>
      </c>
      <c r="I77" s="1">
        <f t="shared" si="37"/>
        <v>97</v>
      </c>
      <c r="J77" s="1">
        <f t="shared" si="37"/>
        <v>97</v>
      </c>
      <c r="K77" s="1">
        <f t="shared" si="37"/>
        <v>97</v>
      </c>
      <c r="L77" s="1">
        <f t="shared" si="37"/>
        <v>97</v>
      </c>
      <c r="M77" s="1">
        <f t="shared" si="37"/>
        <v>97</v>
      </c>
      <c r="N77" s="1">
        <f t="shared" si="37"/>
        <v>97</v>
      </c>
      <c r="O77" s="1">
        <f t="shared" si="37"/>
        <v>97</v>
      </c>
      <c r="P77" s="1">
        <f t="shared" si="37"/>
        <v>97</v>
      </c>
      <c r="Q77" s="1">
        <f t="shared" si="37"/>
        <v>97</v>
      </c>
    </row>
    <row r="78" spans="1:17" x14ac:dyDescent="0.2">
      <c r="A78" t="s">
        <v>110</v>
      </c>
      <c r="C78" s="119"/>
      <c r="D78" s="129"/>
      <c r="E78" s="133"/>
      <c r="F78" s="19">
        <v>185</v>
      </c>
      <c r="G78" s="1">
        <v>213</v>
      </c>
      <c r="H78" s="1">
        <f t="shared" si="37"/>
        <v>213</v>
      </c>
      <c r="I78" s="1">
        <f t="shared" si="37"/>
        <v>213</v>
      </c>
      <c r="J78" s="1">
        <f t="shared" si="37"/>
        <v>213</v>
      </c>
      <c r="K78" s="1">
        <f t="shared" si="37"/>
        <v>213</v>
      </c>
      <c r="L78" s="1">
        <f t="shared" si="37"/>
        <v>213</v>
      </c>
      <c r="M78" s="1">
        <f t="shared" si="37"/>
        <v>213</v>
      </c>
      <c r="N78" s="1">
        <f t="shared" si="37"/>
        <v>213</v>
      </c>
      <c r="O78" s="1">
        <f t="shared" si="37"/>
        <v>213</v>
      </c>
      <c r="P78" s="1">
        <f t="shared" si="37"/>
        <v>213</v>
      </c>
      <c r="Q78" s="1">
        <f t="shared" si="37"/>
        <v>213</v>
      </c>
    </row>
    <row r="79" spans="1:17" x14ac:dyDescent="0.2">
      <c r="A79" t="s">
        <v>125</v>
      </c>
      <c r="C79" s="119"/>
      <c r="D79" s="129"/>
      <c r="E79" s="133"/>
      <c r="F79" s="19">
        <v>71</v>
      </c>
      <c r="G79" s="1">
        <v>74</v>
      </c>
      <c r="H79" s="1">
        <f t="shared" ref="H79:Q79" si="38">G79</f>
        <v>74</v>
      </c>
      <c r="I79" s="1">
        <f t="shared" si="38"/>
        <v>74</v>
      </c>
      <c r="J79" s="1">
        <f t="shared" si="38"/>
        <v>74</v>
      </c>
      <c r="K79" s="1">
        <f t="shared" si="38"/>
        <v>74</v>
      </c>
      <c r="L79" s="1">
        <f t="shared" si="38"/>
        <v>74</v>
      </c>
      <c r="M79" s="1">
        <f t="shared" si="38"/>
        <v>74</v>
      </c>
      <c r="N79" s="1">
        <f t="shared" si="38"/>
        <v>74</v>
      </c>
      <c r="O79" s="1">
        <f t="shared" si="38"/>
        <v>74</v>
      </c>
      <c r="P79" s="1">
        <f t="shared" si="38"/>
        <v>74</v>
      </c>
      <c r="Q79" s="1">
        <f t="shared" si="38"/>
        <v>74</v>
      </c>
    </row>
    <row r="80" spans="1:17" x14ac:dyDescent="0.2">
      <c r="A80" s="45" t="s">
        <v>113</v>
      </c>
      <c r="C80" s="119"/>
      <c r="D80" s="129"/>
      <c r="E80" s="133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t="s">
        <v>114</v>
      </c>
      <c r="C81" s="119"/>
      <c r="D81" s="129"/>
      <c r="E81" s="133"/>
      <c r="F81" s="19">
        <v>5244</v>
      </c>
      <c r="G81" s="1">
        <v>5241</v>
      </c>
      <c r="H81" s="1">
        <f t="shared" ref="H81:Q81" si="39">G81</f>
        <v>5241</v>
      </c>
      <c r="I81" s="1">
        <f t="shared" si="39"/>
        <v>5241</v>
      </c>
      <c r="J81" s="1">
        <f t="shared" si="39"/>
        <v>5241</v>
      </c>
      <c r="K81" s="1">
        <f t="shared" si="39"/>
        <v>5241</v>
      </c>
      <c r="L81" s="1">
        <f t="shared" si="39"/>
        <v>5241</v>
      </c>
      <c r="M81" s="1">
        <f t="shared" si="39"/>
        <v>5241</v>
      </c>
      <c r="N81" s="1">
        <f t="shared" si="39"/>
        <v>5241</v>
      </c>
      <c r="O81" s="1">
        <f t="shared" si="39"/>
        <v>5241</v>
      </c>
      <c r="P81" s="1">
        <f t="shared" si="39"/>
        <v>5241</v>
      </c>
      <c r="Q81" s="1">
        <f t="shared" si="39"/>
        <v>5241</v>
      </c>
    </row>
    <row r="82" spans="1:17" x14ac:dyDescent="0.2">
      <c r="A82" t="s">
        <v>115</v>
      </c>
      <c r="C82" s="119"/>
      <c r="D82" s="129"/>
      <c r="E82" s="133"/>
      <c r="F82" s="19">
        <v>3287</v>
      </c>
      <c r="G82" s="1">
        <v>3686</v>
      </c>
      <c r="H82" s="1">
        <f t="shared" ref="H82:Q82" si="40">G82</f>
        <v>3686</v>
      </c>
      <c r="I82" s="1">
        <f t="shared" si="40"/>
        <v>3686</v>
      </c>
      <c r="J82" s="1">
        <f t="shared" si="40"/>
        <v>3686</v>
      </c>
      <c r="K82" s="1">
        <f t="shared" si="40"/>
        <v>3686</v>
      </c>
      <c r="L82" s="1">
        <f t="shared" si="40"/>
        <v>3686</v>
      </c>
      <c r="M82" s="1">
        <f t="shared" si="40"/>
        <v>3686</v>
      </c>
      <c r="N82" s="1">
        <f t="shared" si="40"/>
        <v>3686</v>
      </c>
      <c r="O82" s="1">
        <f t="shared" si="40"/>
        <v>3686</v>
      </c>
      <c r="P82" s="1">
        <f t="shared" si="40"/>
        <v>3686</v>
      </c>
      <c r="Q82" s="1">
        <f t="shared" si="40"/>
        <v>3686</v>
      </c>
    </row>
    <row r="83" spans="1:17" x14ac:dyDescent="0.2">
      <c r="A83" t="s">
        <v>116</v>
      </c>
      <c r="C83" s="119"/>
      <c r="D83" s="129"/>
      <c r="E83" s="133"/>
      <c r="F83" s="19">
        <v>1577</v>
      </c>
      <c r="G83" s="1">
        <v>1795</v>
      </c>
      <c r="H83" s="1">
        <f t="shared" ref="H83:Q83" si="41">G83</f>
        <v>1795</v>
      </c>
      <c r="I83" s="1">
        <f t="shared" si="41"/>
        <v>1795</v>
      </c>
      <c r="J83" s="1">
        <f t="shared" si="41"/>
        <v>1795</v>
      </c>
      <c r="K83" s="1">
        <f t="shared" si="41"/>
        <v>1795</v>
      </c>
      <c r="L83" s="1">
        <f t="shared" si="41"/>
        <v>1795</v>
      </c>
      <c r="M83" s="1">
        <f t="shared" si="41"/>
        <v>1795</v>
      </c>
      <c r="N83" s="1">
        <f t="shared" si="41"/>
        <v>1795</v>
      </c>
      <c r="O83" s="1">
        <f t="shared" si="41"/>
        <v>1795</v>
      </c>
      <c r="P83" s="1">
        <f t="shared" si="41"/>
        <v>1795</v>
      </c>
      <c r="Q83" s="1">
        <f t="shared" si="41"/>
        <v>1795</v>
      </c>
    </row>
    <row r="84" spans="1:17" x14ac:dyDescent="0.2">
      <c r="A84" t="s">
        <v>117</v>
      </c>
      <c r="C84" s="119"/>
      <c r="D84" s="129"/>
      <c r="E84" s="133"/>
      <c r="F84" s="19">
        <v>1031</v>
      </c>
      <c r="G84" s="1">
        <v>970</v>
      </c>
      <c r="H84" s="1">
        <f t="shared" ref="H84:Q84" si="42">G84</f>
        <v>970</v>
      </c>
      <c r="I84" s="1">
        <f t="shared" si="42"/>
        <v>970</v>
      </c>
      <c r="J84" s="1">
        <f t="shared" si="42"/>
        <v>970</v>
      </c>
      <c r="K84" s="1">
        <f t="shared" si="42"/>
        <v>970</v>
      </c>
      <c r="L84" s="1">
        <f t="shared" si="42"/>
        <v>970</v>
      </c>
      <c r="M84" s="1">
        <f t="shared" si="42"/>
        <v>970</v>
      </c>
      <c r="N84" s="1">
        <f t="shared" si="42"/>
        <v>970</v>
      </c>
      <c r="O84" s="1">
        <f t="shared" si="42"/>
        <v>970</v>
      </c>
      <c r="P84" s="1">
        <f t="shared" si="42"/>
        <v>970</v>
      </c>
      <c r="Q84" s="1">
        <f t="shared" si="42"/>
        <v>970</v>
      </c>
    </row>
    <row r="85" spans="1:17" ht="15" x14ac:dyDescent="0.35">
      <c r="A85" t="s">
        <v>118</v>
      </c>
      <c r="C85" s="119"/>
      <c r="D85" s="129"/>
      <c r="E85" s="133"/>
      <c r="F85" s="18">
        <v>0</v>
      </c>
      <c r="G85" s="6">
        <v>0</v>
      </c>
      <c r="H85" s="38">
        <f t="shared" ref="H85:Q85" si="43">G85</f>
        <v>0</v>
      </c>
      <c r="I85" s="38">
        <f t="shared" si="43"/>
        <v>0</v>
      </c>
      <c r="J85" s="38">
        <f t="shared" si="43"/>
        <v>0</v>
      </c>
      <c r="K85" s="38">
        <f t="shared" si="43"/>
        <v>0</v>
      </c>
      <c r="L85" s="38">
        <f t="shared" si="43"/>
        <v>0</v>
      </c>
      <c r="M85" s="38">
        <f t="shared" si="43"/>
        <v>0</v>
      </c>
      <c r="N85" s="38">
        <f t="shared" si="43"/>
        <v>0</v>
      </c>
      <c r="O85" s="38">
        <f t="shared" si="43"/>
        <v>0</v>
      </c>
      <c r="P85" s="38">
        <f t="shared" si="43"/>
        <v>0</v>
      </c>
      <c r="Q85" s="38">
        <f t="shared" si="43"/>
        <v>0</v>
      </c>
    </row>
    <row r="86" spans="1:17" x14ac:dyDescent="0.2">
      <c r="A86" s="76" t="s">
        <v>0</v>
      </c>
      <c r="B86" s="157">
        <v>1</v>
      </c>
      <c r="C86" s="117">
        <v>1</v>
      </c>
      <c r="D86" s="129"/>
      <c r="F86" s="30">
        <f>SUM(F71:F85)</f>
        <v>16926</v>
      </c>
      <c r="G86" s="109">
        <f t="shared" ref="G86:Q86" si="44">SUM(G71:G85)*$B$86+G87</f>
        <v>18832</v>
      </c>
      <c r="H86" s="109">
        <f t="shared" si="44"/>
        <v>18832</v>
      </c>
      <c r="I86" s="109">
        <f t="shared" si="44"/>
        <v>18832</v>
      </c>
      <c r="J86" s="109">
        <f t="shared" si="44"/>
        <v>18832</v>
      </c>
      <c r="K86" s="109">
        <f t="shared" si="44"/>
        <v>18832</v>
      </c>
      <c r="L86" s="109">
        <f t="shared" si="44"/>
        <v>18832</v>
      </c>
      <c r="M86" s="109">
        <f t="shared" si="44"/>
        <v>18832</v>
      </c>
      <c r="N86" s="109">
        <f t="shared" si="44"/>
        <v>18832</v>
      </c>
      <c r="O86" s="109">
        <f t="shared" si="44"/>
        <v>18832</v>
      </c>
      <c r="P86" s="109">
        <f t="shared" si="44"/>
        <v>18832</v>
      </c>
      <c r="Q86" s="109">
        <f t="shared" si="44"/>
        <v>18832</v>
      </c>
    </row>
    <row r="87" spans="1:17" x14ac:dyDescent="0.2">
      <c r="C87" s="119"/>
      <c r="F87" s="128" t="s">
        <v>45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">
      <c r="C88" s="119"/>
      <c r="F88" s="17"/>
    </row>
    <row r="89" spans="1:17" x14ac:dyDescent="0.2">
      <c r="A89" s="8" t="str">
        <f>Assumptions!B51</f>
        <v>2. Optimistic</v>
      </c>
      <c r="B89" s="157">
        <v>1</v>
      </c>
      <c r="C89" s="117">
        <v>2</v>
      </c>
      <c r="D89" s="129"/>
      <c r="F89" s="30">
        <f>F86</f>
        <v>16926</v>
      </c>
      <c r="G89" s="27">
        <f t="shared" ref="G89:Q89" si="45">F89*$B$89+G90</f>
        <v>16926</v>
      </c>
      <c r="H89" s="27">
        <f t="shared" si="45"/>
        <v>16926</v>
      </c>
      <c r="I89" s="27">
        <f t="shared" si="45"/>
        <v>16926</v>
      </c>
      <c r="J89" s="27">
        <f t="shared" si="45"/>
        <v>16926</v>
      </c>
      <c r="K89" s="27">
        <f t="shared" si="45"/>
        <v>16926</v>
      </c>
      <c r="L89" s="27">
        <f t="shared" si="45"/>
        <v>16926</v>
      </c>
      <c r="M89" s="27">
        <f t="shared" si="45"/>
        <v>16926</v>
      </c>
      <c r="N89" s="27">
        <f t="shared" si="45"/>
        <v>16926</v>
      </c>
      <c r="O89" s="27">
        <f t="shared" si="45"/>
        <v>16926</v>
      </c>
      <c r="P89" s="27">
        <f t="shared" si="45"/>
        <v>16926</v>
      </c>
      <c r="Q89" s="27">
        <f t="shared" si="45"/>
        <v>16926</v>
      </c>
    </row>
    <row r="90" spans="1:17" x14ac:dyDescent="0.2">
      <c r="A90" s="8"/>
      <c r="C90" s="120"/>
      <c r="F90" s="128" t="s">
        <v>45</v>
      </c>
      <c r="G90" s="1">
        <v>0</v>
      </c>
      <c r="H90" s="1">
        <v>0</v>
      </c>
      <c r="I90" s="1">
        <f t="shared" ref="I90:Q90" si="46">H90</f>
        <v>0</v>
      </c>
      <c r="J90" s="13">
        <f t="shared" si="46"/>
        <v>0</v>
      </c>
      <c r="K90" s="13">
        <f t="shared" si="46"/>
        <v>0</v>
      </c>
      <c r="L90" s="1">
        <f t="shared" si="46"/>
        <v>0</v>
      </c>
      <c r="M90" s="1">
        <f t="shared" si="46"/>
        <v>0</v>
      </c>
      <c r="N90" s="1">
        <f t="shared" si="46"/>
        <v>0</v>
      </c>
      <c r="O90" s="1">
        <f t="shared" si="46"/>
        <v>0</v>
      </c>
      <c r="P90" s="1">
        <f t="shared" si="46"/>
        <v>0</v>
      </c>
      <c r="Q90" s="1">
        <f t="shared" si="46"/>
        <v>0</v>
      </c>
    </row>
    <row r="91" spans="1:17" x14ac:dyDescent="0.2">
      <c r="A91" s="8"/>
      <c r="C91" s="120"/>
      <c r="F91" s="17"/>
    </row>
    <row r="92" spans="1:17" x14ac:dyDescent="0.2">
      <c r="A92" s="8" t="str">
        <f>Assumptions!B52</f>
        <v>3. Pessimistic</v>
      </c>
      <c r="B92" s="157">
        <v>1.01</v>
      </c>
      <c r="C92" s="117">
        <v>3</v>
      </c>
      <c r="D92" s="129"/>
      <c r="F92" s="30">
        <f>F86</f>
        <v>16926</v>
      </c>
      <c r="G92" s="27">
        <f>G86</f>
        <v>18832</v>
      </c>
      <c r="H92" s="27">
        <f>H86</f>
        <v>18832</v>
      </c>
      <c r="I92" s="27">
        <f t="shared" ref="I92:Q92" si="47">H92*$B$92+I93</f>
        <v>19020.32</v>
      </c>
      <c r="J92" s="27">
        <f t="shared" si="47"/>
        <v>19210.5232</v>
      </c>
      <c r="K92" s="27">
        <f t="shared" si="47"/>
        <v>19402.628432000001</v>
      </c>
      <c r="L92" s="27">
        <f t="shared" si="47"/>
        <v>19596.654716320001</v>
      </c>
      <c r="M92" s="27">
        <f t="shared" si="47"/>
        <v>19792.621263483201</v>
      </c>
      <c r="N92" s="27">
        <f t="shared" si="47"/>
        <v>19990.547476118034</v>
      </c>
      <c r="O92" s="27">
        <f t="shared" si="47"/>
        <v>20190.452950879215</v>
      </c>
      <c r="P92" s="27">
        <f t="shared" si="47"/>
        <v>20392.357480388007</v>
      </c>
      <c r="Q92" s="27">
        <f t="shared" si="47"/>
        <v>20596.281055191888</v>
      </c>
    </row>
    <row r="93" spans="1:17" ht="13.5" thickBot="1" x14ac:dyDescent="0.25">
      <c r="C93" s="121"/>
      <c r="F93" s="128" t="s">
        <v>45</v>
      </c>
      <c r="G93" s="1">
        <v>0</v>
      </c>
      <c r="H93" s="1">
        <v>0</v>
      </c>
      <c r="I93" s="1">
        <f t="shared" ref="I93:Q93" si="48">H93</f>
        <v>0</v>
      </c>
      <c r="J93" s="13">
        <f t="shared" si="48"/>
        <v>0</v>
      </c>
      <c r="K93" s="13">
        <f t="shared" si="48"/>
        <v>0</v>
      </c>
      <c r="L93" s="1">
        <f t="shared" si="48"/>
        <v>0</v>
      </c>
      <c r="M93" s="1">
        <f t="shared" si="48"/>
        <v>0</v>
      </c>
      <c r="N93" s="1">
        <f t="shared" si="48"/>
        <v>0</v>
      </c>
      <c r="O93" s="1">
        <f t="shared" si="48"/>
        <v>0</v>
      </c>
      <c r="P93" s="1">
        <f t="shared" si="48"/>
        <v>0</v>
      </c>
      <c r="Q93" s="1">
        <f t="shared" si="48"/>
        <v>0</v>
      </c>
    </row>
    <row r="94" spans="1:17" x14ac:dyDescent="0.2">
      <c r="C94" s="40"/>
      <c r="F94" s="128"/>
      <c r="G94" s="1"/>
      <c r="H94" s="1"/>
      <c r="I94" s="1"/>
      <c r="J94" s="13"/>
      <c r="K94" s="13"/>
      <c r="L94" s="1"/>
      <c r="M94" s="1"/>
      <c r="N94" s="1"/>
      <c r="O94" s="1"/>
      <c r="P94" s="1"/>
      <c r="Q94" s="1"/>
    </row>
    <row r="95" spans="1:17" x14ac:dyDescent="0.2">
      <c r="A95" t="s">
        <v>23</v>
      </c>
      <c r="C95" s="40"/>
      <c r="F95" s="128"/>
      <c r="G95" s="1"/>
      <c r="H95" s="1"/>
      <c r="I95" s="1"/>
      <c r="J95" s="13"/>
      <c r="K95" s="13"/>
      <c r="L95" s="1"/>
      <c r="M95" s="1"/>
      <c r="N95" s="1"/>
      <c r="O95" s="1"/>
      <c r="P95" s="1"/>
      <c r="Q95" s="1"/>
    </row>
    <row r="96" spans="1:17" x14ac:dyDescent="0.2">
      <c r="A96" t="s">
        <v>162</v>
      </c>
      <c r="C96" s="40"/>
      <c r="F96" s="128"/>
      <c r="G96" s="1"/>
      <c r="H96" s="1"/>
      <c r="I96" s="1"/>
      <c r="J96" s="13"/>
      <c r="K96" s="13"/>
      <c r="L96" s="1"/>
      <c r="M96" s="1"/>
      <c r="N96" s="1"/>
      <c r="O96" s="1"/>
      <c r="P96" s="1"/>
      <c r="Q96" s="1"/>
    </row>
    <row r="97" spans="1:17" x14ac:dyDescent="0.2">
      <c r="A97" t="s">
        <v>163</v>
      </c>
      <c r="C97" s="40"/>
      <c r="F97" s="128"/>
      <c r="G97" s="1"/>
      <c r="H97" s="1"/>
      <c r="I97" s="1"/>
      <c r="J97" s="13"/>
      <c r="K97" s="13"/>
      <c r="L97" s="1"/>
      <c r="M97" s="1"/>
      <c r="N97" s="1"/>
      <c r="O97" s="1"/>
      <c r="P97" s="1"/>
      <c r="Q97" s="1"/>
    </row>
    <row r="98" spans="1:17" x14ac:dyDescent="0.2">
      <c r="A98" s="9" t="s">
        <v>0</v>
      </c>
      <c r="F98" s="30">
        <f>SUM(F96:F97)</f>
        <v>0</v>
      </c>
      <c r="G98" s="109">
        <f t="shared" ref="G98:Q98" si="49">SUM(G96:G97)</f>
        <v>0</v>
      </c>
      <c r="H98" s="109">
        <f t="shared" si="49"/>
        <v>0</v>
      </c>
      <c r="I98" s="109">
        <f t="shared" si="49"/>
        <v>0</v>
      </c>
      <c r="J98" s="109">
        <f t="shared" si="49"/>
        <v>0</v>
      </c>
      <c r="K98" s="109">
        <f t="shared" si="49"/>
        <v>0</v>
      </c>
      <c r="L98" s="109">
        <f t="shared" si="49"/>
        <v>0</v>
      </c>
      <c r="M98" s="109">
        <f t="shared" si="49"/>
        <v>0</v>
      </c>
      <c r="N98" s="109">
        <f t="shared" si="49"/>
        <v>0</v>
      </c>
      <c r="O98" s="109">
        <f t="shared" si="49"/>
        <v>0</v>
      </c>
      <c r="P98" s="109">
        <f t="shared" si="49"/>
        <v>0</v>
      </c>
      <c r="Q98" s="109">
        <f t="shared" si="49"/>
        <v>0</v>
      </c>
    </row>
    <row r="99" spans="1:17" x14ac:dyDescent="0.2">
      <c r="A99" s="9"/>
      <c r="F99" s="17"/>
    </row>
    <row r="100" spans="1:17" x14ac:dyDescent="0.2">
      <c r="A100" s="7" t="s">
        <v>90</v>
      </c>
      <c r="F100" s="17"/>
    </row>
    <row r="101" spans="1:17" x14ac:dyDescent="0.2">
      <c r="A101" s="96" t="s">
        <v>44</v>
      </c>
      <c r="B101" s="24">
        <f>Assumptions!D20</f>
        <v>20</v>
      </c>
      <c r="C101" s="383">
        <f>MethPurPrice</f>
        <v>61115.354764507814</v>
      </c>
      <c r="D101" s="13"/>
      <c r="E101" s="59"/>
      <c r="F101" s="19"/>
      <c r="G101" s="102">
        <f>1/B101</f>
        <v>0.05</v>
      </c>
      <c r="H101" s="79">
        <f t="shared" ref="H101:Q101" si="50">G101</f>
        <v>0.05</v>
      </c>
      <c r="I101" s="79">
        <f t="shared" si="50"/>
        <v>0.05</v>
      </c>
      <c r="J101" s="79">
        <f t="shared" si="50"/>
        <v>0.05</v>
      </c>
      <c r="K101" s="79">
        <f t="shared" si="50"/>
        <v>0.05</v>
      </c>
      <c r="L101" s="79">
        <f t="shared" si="50"/>
        <v>0.05</v>
      </c>
      <c r="M101" s="79">
        <f t="shared" si="50"/>
        <v>0.05</v>
      </c>
      <c r="N101" s="79">
        <f t="shared" si="50"/>
        <v>0.05</v>
      </c>
      <c r="O101" s="79">
        <f t="shared" si="50"/>
        <v>0.05</v>
      </c>
      <c r="P101" s="79">
        <f t="shared" si="50"/>
        <v>0.05</v>
      </c>
      <c r="Q101" s="80">
        <f t="shared" si="50"/>
        <v>0.05</v>
      </c>
    </row>
    <row r="102" spans="1:17" x14ac:dyDescent="0.2">
      <c r="A102" s="2" t="s">
        <v>10</v>
      </c>
      <c r="C102" s="103"/>
      <c r="D102" s="103"/>
      <c r="E102" s="59"/>
      <c r="F102" s="19"/>
      <c r="G102" s="33">
        <f>C101/B101</f>
        <v>3055.7677382253905</v>
      </c>
      <c r="H102" s="33">
        <f t="shared" ref="H102:Q102" si="51">+G102</f>
        <v>3055.7677382253905</v>
      </c>
      <c r="I102" s="33">
        <f t="shared" si="51"/>
        <v>3055.7677382253905</v>
      </c>
      <c r="J102" s="33">
        <f t="shared" si="51"/>
        <v>3055.7677382253905</v>
      </c>
      <c r="K102" s="33">
        <f t="shared" si="51"/>
        <v>3055.7677382253905</v>
      </c>
      <c r="L102" s="33">
        <f t="shared" si="51"/>
        <v>3055.7677382253905</v>
      </c>
      <c r="M102" s="33">
        <f t="shared" si="51"/>
        <v>3055.7677382253905</v>
      </c>
      <c r="N102" s="33">
        <f t="shared" si="51"/>
        <v>3055.7677382253905</v>
      </c>
      <c r="O102" s="33">
        <f t="shared" si="51"/>
        <v>3055.7677382253905</v>
      </c>
      <c r="P102" s="33">
        <f t="shared" si="51"/>
        <v>3055.7677382253905</v>
      </c>
      <c r="Q102" s="33">
        <f t="shared" si="51"/>
        <v>3055.7677382253905</v>
      </c>
    </row>
    <row r="103" spans="1:17" ht="15" x14ac:dyDescent="0.35">
      <c r="A103" s="2" t="s">
        <v>11</v>
      </c>
      <c r="E103" s="59"/>
      <c r="F103" s="19"/>
      <c r="G103" s="6">
        <f>($G$27*G101)</f>
        <v>0</v>
      </c>
      <c r="H103" s="6">
        <f>($G$27*H101)+($H$27*G101)</f>
        <v>0</v>
      </c>
      <c r="I103" s="6">
        <f>($G$27*I101)+($H$27*H101)+($I$27*G101)</f>
        <v>0</v>
      </c>
      <c r="J103" s="6">
        <f>($G$27*J101)+($H$27*I101)+($I$27*H101)+($J$27*G101)</f>
        <v>0</v>
      </c>
      <c r="K103" s="6">
        <f>($G$27*K101)+($H$27*J101)+($I$27*I101)+($J$27*H101)+($K$27*G101)</f>
        <v>0</v>
      </c>
      <c r="L103" s="6">
        <f>($G$27*L101)+($H$27*K101)+($I$27*J101)+($J$27*I101)+($K$27*H101)+($L$27*G101)</f>
        <v>0</v>
      </c>
      <c r="M103" s="6">
        <f>($G$27*M101)+($H$27*L101)+($I$27*K101)+($J$27*J101)+($K$27*I101)+($L$27*H101)+($M$27*G101)</f>
        <v>0</v>
      </c>
      <c r="N103" s="6">
        <f>($G$27*N101)+($H$27*M101)+($I$27*L101)+($J$27*K101)+($K$27*J101)+($L$27*I101)+($M$27*H101)+($N$27*G101)</f>
        <v>0</v>
      </c>
      <c r="O103" s="6">
        <f>($G$27*O101)+($H$27*N101)+($I$27*M101)+($J$27*L101)+($K$27*K101)+($L$27*J101)+($M$27*I101)+($N$27*H101)+($O$27*G101)</f>
        <v>0</v>
      </c>
      <c r="P103" s="6">
        <f>($G$27*P101)+($H$27*O101)+($I$27*N101)+($J$27*M101)+($K$27*L101)+($L$27*K101)+($M$27*J101)+($N$27*I101)+($O$27*H101)+($P$27*G101)</f>
        <v>0</v>
      </c>
      <c r="Q103" s="6">
        <f>($G$27*Q101)+($H$27*P101)+($I$27*O101)+($J$27*N101)+($K$27*M101)+($L$27*L101)+($M$27*K101)+($N$27*J101)+($O$27*I101)+($P$27*H101)+($Q$27*G101)</f>
        <v>0</v>
      </c>
    </row>
    <row r="104" spans="1:17" x14ac:dyDescent="0.2">
      <c r="A104" s="9" t="s">
        <v>0</v>
      </c>
      <c r="E104" s="59"/>
      <c r="F104" s="19"/>
      <c r="G104" s="1">
        <f t="shared" ref="G104:Q104" si="52">SUM(G102:G103)</f>
        <v>3055.7677382253905</v>
      </c>
      <c r="H104" s="1">
        <f t="shared" si="52"/>
        <v>3055.7677382253905</v>
      </c>
      <c r="I104" s="1">
        <f t="shared" si="52"/>
        <v>3055.7677382253905</v>
      </c>
      <c r="J104" s="13">
        <f t="shared" si="52"/>
        <v>3055.7677382253905</v>
      </c>
      <c r="K104" s="13">
        <f t="shared" si="52"/>
        <v>3055.7677382253905</v>
      </c>
      <c r="L104" s="1">
        <f t="shared" si="52"/>
        <v>3055.7677382253905</v>
      </c>
      <c r="M104" s="1">
        <f t="shared" si="52"/>
        <v>3055.7677382253905</v>
      </c>
      <c r="N104" s="1">
        <f t="shared" si="52"/>
        <v>3055.7677382253905</v>
      </c>
      <c r="O104" s="1">
        <f t="shared" si="52"/>
        <v>3055.7677382253905</v>
      </c>
      <c r="P104" s="1">
        <f t="shared" si="52"/>
        <v>3055.7677382253905</v>
      </c>
      <c r="Q104" s="1">
        <f t="shared" si="52"/>
        <v>3055.7677382253905</v>
      </c>
    </row>
    <row r="105" spans="1:17" x14ac:dyDescent="0.2">
      <c r="A105" s="1"/>
      <c r="E105" s="59"/>
      <c r="F105" s="19"/>
      <c r="G105" s="1"/>
      <c r="H105" s="1"/>
      <c r="I105" s="1"/>
      <c r="J105" s="13"/>
      <c r="K105" s="13"/>
      <c r="L105" s="1"/>
      <c r="M105" s="1"/>
      <c r="N105" s="1"/>
      <c r="O105" s="1"/>
      <c r="P105" s="1"/>
      <c r="Q105" s="1"/>
    </row>
    <row r="106" spans="1:17" x14ac:dyDescent="0.2">
      <c r="A106" s="99" t="s">
        <v>9</v>
      </c>
      <c r="E106" s="59"/>
      <c r="F106" s="19"/>
      <c r="G106" s="71">
        <v>0.05</v>
      </c>
      <c r="H106" s="72">
        <v>9.5000000000000001E-2</v>
      </c>
      <c r="I106" s="72">
        <v>8.5500000000000007E-2</v>
      </c>
      <c r="J106" s="72">
        <v>7.6999999999999999E-2</v>
      </c>
      <c r="K106" s="72">
        <v>6.93E-2</v>
      </c>
      <c r="L106" s="72">
        <v>6.2300000000000001E-2</v>
      </c>
      <c r="M106" s="72">
        <v>5.8999999999999997E-2</v>
      </c>
      <c r="N106" s="72">
        <v>5.8999999999999997E-2</v>
      </c>
      <c r="O106" s="72">
        <v>5.91E-2</v>
      </c>
      <c r="P106" s="72">
        <v>5.8999999999999997E-2</v>
      </c>
      <c r="Q106" s="73">
        <v>5.91E-2</v>
      </c>
    </row>
    <row r="107" spans="1:17" x14ac:dyDescent="0.2">
      <c r="A107" s="2" t="s">
        <v>10</v>
      </c>
      <c r="B107" s="15"/>
      <c r="E107" s="59"/>
      <c r="F107" s="19"/>
      <c r="G107" s="1">
        <f t="shared" ref="G107:Q107" si="53">G106*$C$101</f>
        <v>3055.767738225391</v>
      </c>
      <c r="H107" s="1">
        <f t="shared" si="53"/>
        <v>5805.9587026282425</v>
      </c>
      <c r="I107" s="1">
        <f t="shared" si="53"/>
        <v>5225.3628323654184</v>
      </c>
      <c r="J107" s="1">
        <f t="shared" si="53"/>
        <v>4705.8823168671015</v>
      </c>
      <c r="K107" s="1">
        <f t="shared" si="53"/>
        <v>4235.2940851803914</v>
      </c>
      <c r="L107" s="1">
        <f t="shared" si="53"/>
        <v>3807.4866018288367</v>
      </c>
      <c r="M107" s="1">
        <f t="shared" si="53"/>
        <v>3605.805931105961</v>
      </c>
      <c r="N107" s="1">
        <f t="shared" si="53"/>
        <v>3605.805931105961</v>
      </c>
      <c r="O107" s="1">
        <f t="shared" si="53"/>
        <v>3611.9174665824116</v>
      </c>
      <c r="P107" s="1">
        <f t="shared" si="53"/>
        <v>3605.805931105961</v>
      </c>
      <c r="Q107" s="1">
        <f t="shared" si="53"/>
        <v>3611.9174665824116</v>
      </c>
    </row>
    <row r="108" spans="1:17" ht="15" x14ac:dyDescent="0.35">
      <c r="A108" s="2" t="s">
        <v>11</v>
      </c>
      <c r="B108" s="16"/>
      <c r="E108" s="130"/>
      <c r="F108" s="19"/>
      <c r="G108" s="6">
        <f>($G$27*G$106)</f>
        <v>0</v>
      </c>
      <c r="H108" s="6">
        <f>($G$27*H106)+($H$27*G106)</f>
        <v>0</v>
      </c>
      <c r="I108" s="6">
        <f>($G$27*I106)+($H$27*H106)+($I$27*G106)</f>
        <v>0</v>
      </c>
      <c r="J108" s="6">
        <f>($G$27*J106)+($H$27*I106)+($I$27*H106)+($J$27*G106)</f>
        <v>0</v>
      </c>
      <c r="K108" s="6">
        <f>($G$27*K106)+($H$27*J106)+($I$27*I106)+($J$27*H106)+($K$27*G106)</f>
        <v>0</v>
      </c>
      <c r="L108" s="6">
        <f>($G$27*L106)+($H$27*K106)+($I$27*J106)+($J$27*I106)+($K$27*H106)+($L$27*G106)</f>
        <v>0</v>
      </c>
      <c r="M108" s="6">
        <f>($G$27*M106)+($H$27*L106)+($I$27*K106)+($J$27*J106)+($K$27*I106)+($L$27*H106)+($M$27*G106)</f>
        <v>0</v>
      </c>
      <c r="N108" s="6">
        <f>($G$27*N106)+($H$27*M106)+($I$27*L106)+($J$27*K106)+($K$27*J106)+($L$27*I106)+($M$27*H106)+($N$27*G106)</f>
        <v>0</v>
      </c>
      <c r="O108" s="6">
        <f>($G$27*O106)+($H$27*N106)+($I$27*M106)+($J$27*L106)+($K$27*K106)+($L$27*J106)+($M$27*I106)+($N$27*H106)+($O$27*G106)</f>
        <v>0</v>
      </c>
      <c r="P108" s="6">
        <f>($G$27*P106)+($H$27*O106)+($I$27*N106)+($J$27*M106)+($K$27*L106)+($L$27*K106)+($M$27*J106)+($N$27*I106)+($O$27*H106)+($P$27*G106)</f>
        <v>0</v>
      </c>
      <c r="Q108" s="6">
        <f>($G$27*Q106)+($H$27*P106)+($I$27*O106)+($J$27*N106)+($K$27*M106)+($L$27*L106)+($M$27*K106)+($N$27*J106)+($O$27*I106)+($P$27*H106)+($Q$27*G106)</f>
        <v>0</v>
      </c>
    </row>
    <row r="109" spans="1:17" x14ac:dyDescent="0.2">
      <c r="A109" s="9" t="s">
        <v>0</v>
      </c>
      <c r="E109" s="59"/>
      <c r="F109" s="19"/>
      <c r="G109" s="1">
        <f t="shared" ref="G109:Q109" si="54">SUM(G107:G108)</f>
        <v>3055.767738225391</v>
      </c>
      <c r="H109" s="1">
        <f t="shared" si="54"/>
        <v>5805.9587026282425</v>
      </c>
      <c r="I109" s="1">
        <f t="shared" si="54"/>
        <v>5225.3628323654184</v>
      </c>
      <c r="J109" s="13">
        <f t="shared" si="54"/>
        <v>4705.8823168671015</v>
      </c>
      <c r="K109" s="13">
        <f t="shared" si="54"/>
        <v>4235.2940851803914</v>
      </c>
      <c r="L109" s="1">
        <f t="shared" si="54"/>
        <v>3807.4866018288367</v>
      </c>
      <c r="M109" s="1">
        <f t="shared" si="54"/>
        <v>3605.805931105961</v>
      </c>
      <c r="N109" s="1">
        <f t="shared" si="54"/>
        <v>3605.805931105961</v>
      </c>
      <c r="O109" s="1">
        <f t="shared" si="54"/>
        <v>3611.9174665824116</v>
      </c>
      <c r="P109" s="1">
        <f t="shared" si="54"/>
        <v>3605.805931105961</v>
      </c>
      <c r="Q109" s="1">
        <f t="shared" si="54"/>
        <v>3611.9174665824116</v>
      </c>
    </row>
  </sheetData>
  <mergeCells count="1">
    <mergeCell ref="K31:M31"/>
  </mergeCells>
  <phoneticPr fontId="0" type="noConversion"/>
  <conditionalFormatting sqref="D89 D92 D59 D56 C9:D9 D12:D13 D49:D53 D45:D46 D71:D86">
    <cfRule type="cellIs" dxfId="1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7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/>
  <dimension ref="A1:R113"/>
  <sheetViews>
    <sheetView zoomScale="75" zoomScaleNormal="75" workbookViewId="0">
      <selection activeCell="F14" sqref="F14"/>
    </sheetView>
  </sheetViews>
  <sheetFormatPr defaultRowHeight="12.75" x14ac:dyDescent="0.2"/>
  <cols>
    <col min="1" max="1" width="28.140625" customWidth="1"/>
    <col min="2" max="2" width="14" bestFit="1" customWidth="1"/>
    <col min="3" max="3" width="12.85546875" customWidth="1"/>
    <col min="4" max="4" width="11.85546875" customWidth="1"/>
    <col min="5" max="5" width="9.140625" style="25"/>
    <col min="6" max="6" width="13" style="25" bestFit="1" customWidth="1"/>
    <col min="7" max="7" width="12.28515625" customWidth="1"/>
    <col min="8" max="9" width="14.140625" bestFit="1" customWidth="1"/>
    <col min="10" max="10" width="12.285156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8" ht="18.75" thickBot="1" x14ac:dyDescent="0.3">
      <c r="A1" s="385" t="str">
        <f>Assumptions!D5</f>
        <v>PG&amp;E Gas Transmission</v>
      </c>
      <c r="B1" s="40"/>
      <c r="E1" s="82"/>
    </row>
    <row r="2" spans="1:18" ht="15.75" x14ac:dyDescent="0.25">
      <c r="A2" s="388" t="s">
        <v>199</v>
      </c>
      <c r="B2" s="275"/>
      <c r="E2" s="59"/>
      <c r="F2" s="329" t="s">
        <v>212</v>
      </c>
      <c r="G2" s="294"/>
      <c r="H2" s="76"/>
      <c r="I2" s="76"/>
      <c r="R2" s="25"/>
    </row>
    <row r="3" spans="1:18" ht="13.5" thickBot="1" x14ac:dyDescent="0.25">
      <c r="A3" s="276"/>
      <c r="B3" s="275"/>
      <c r="E3" s="59"/>
      <c r="F3" s="297"/>
      <c r="G3" s="299"/>
      <c r="H3" s="76"/>
      <c r="I3" s="76"/>
      <c r="R3" s="25"/>
    </row>
    <row r="4" spans="1:18" x14ac:dyDescent="0.2">
      <c r="A4" s="276"/>
      <c r="B4" s="275"/>
      <c r="E4" s="59"/>
      <c r="G4" s="76"/>
      <c r="H4" s="76"/>
      <c r="I4" s="76"/>
      <c r="R4" s="25"/>
    </row>
    <row r="5" spans="1:18" x14ac:dyDescent="0.2">
      <c r="E5" s="107"/>
      <c r="F5" s="37">
        <f>G5-1</f>
        <v>2000</v>
      </c>
      <c r="G5" s="36">
        <f>Assumptions!$D$12</f>
        <v>2001</v>
      </c>
      <c r="H5" s="36">
        <f t="shared" ref="H5:Q5" si="0">G5+1</f>
        <v>2002</v>
      </c>
      <c r="I5" s="36">
        <f t="shared" si="0"/>
        <v>2003</v>
      </c>
      <c r="J5" s="36">
        <f t="shared" si="0"/>
        <v>2004</v>
      </c>
      <c r="K5" s="36">
        <f t="shared" si="0"/>
        <v>2005</v>
      </c>
      <c r="L5" s="36">
        <f t="shared" si="0"/>
        <v>2006</v>
      </c>
      <c r="M5" s="36">
        <f t="shared" si="0"/>
        <v>2007</v>
      </c>
      <c r="N5" s="36">
        <f t="shared" si="0"/>
        <v>2008</v>
      </c>
      <c r="O5" s="36">
        <f t="shared" si="0"/>
        <v>2009</v>
      </c>
      <c r="P5" s="36">
        <f t="shared" si="0"/>
        <v>2010</v>
      </c>
      <c r="Q5" s="36">
        <f t="shared" si="0"/>
        <v>2011</v>
      </c>
      <c r="R5" s="25"/>
    </row>
    <row r="6" spans="1:18" x14ac:dyDescent="0.2">
      <c r="A6" s="10" t="s">
        <v>91</v>
      </c>
      <c r="E6" s="59"/>
      <c r="F6" s="19"/>
      <c r="G6" s="1"/>
      <c r="H6" s="1"/>
      <c r="I6" s="1"/>
      <c r="J6" s="13"/>
      <c r="K6" s="13"/>
      <c r="L6" s="1"/>
      <c r="M6" s="1"/>
      <c r="N6" s="1"/>
      <c r="O6" s="1"/>
      <c r="P6" s="1"/>
      <c r="Q6" s="1"/>
      <c r="R6" s="25"/>
    </row>
    <row r="7" spans="1:18" x14ac:dyDescent="0.2">
      <c r="E7" s="59"/>
      <c r="F7" s="19"/>
      <c r="H7" s="1"/>
      <c r="I7" s="1"/>
      <c r="J7" s="13"/>
      <c r="K7" s="13"/>
      <c r="L7" s="1"/>
      <c r="M7" s="1"/>
      <c r="N7" s="1"/>
      <c r="O7" s="1"/>
      <c r="P7" s="1"/>
      <c r="Q7" s="1"/>
      <c r="R7" s="25"/>
    </row>
    <row r="8" spans="1:18" x14ac:dyDescent="0.2">
      <c r="D8" s="110"/>
      <c r="E8" s="59"/>
      <c r="F8" s="19"/>
      <c r="G8" s="86" t="str">
        <f>IF(C41=1,A44,IF(C41=2,A57,A60))</f>
        <v>1. Base Case</v>
      </c>
      <c r="H8" s="1"/>
      <c r="I8" s="1"/>
      <c r="J8" s="13"/>
      <c r="K8" s="13"/>
      <c r="L8" s="1"/>
      <c r="M8" s="1"/>
      <c r="N8" s="1"/>
      <c r="O8" s="1"/>
      <c r="P8" s="1"/>
      <c r="Q8" s="1"/>
      <c r="R8" s="25"/>
    </row>
    <row r="9" spans="1:18" x14ac:dyDescent="0.2">
      <c r="A9" s="123" t="s">
        <v>65</v>
      </c>
      <c r="B9" s="135"/>
      <c r="C9" s="127"/>
      <c r="D9" s="127"/>
      <c r="E9" s="104"/>
      <c r="F9" s="34">
        <f t="shared" ref="F9:Q9" si="1">F41</f>
        <v>10783</v>
      </c>
      <c r="G9" s="100">
        <f t="shared" si="1"/>
        <v>12458</v>
      </c>
      <c r="H9" s="100">
        <f t="shared" si="1"/>
        <v>12458</v>
      </c>
      <c r="I9" s="100">
        <f t="shared" si="1"/>
        <v>12458</v>
      </c>
      <c r="J9" s="100">
        <f t="shared" si="1"/>
        <v>12458</v>
      </c>
      <c r="K9" s="100">
        <f t="shared" si="1"/>
        <v>12458</v>
      </c>
      <c r="L9" s="100">
        <f t="shared" si="1"/>
        <v>12458</v>
      </c>
      <c r="M9" s="100">
        <f t="shared" si="1"/>
        <v>12458</v>
      </c>
      <c r="N9" s="100">
        <f t="shared" si="1"/>
        <v>12458</v>
      </c>
      <c r="O9" s="100">
        <f t="shared" si="1"/>
        <v>12458</v>
      </c>
      <c r="P9" s="100">
        <f t="shared" si="1"/>
        <v>12458</v>
      </c>
      <c r="Q9" s="100">
        <f t="shared" si="1"/>
        <v>12458</v>
      </c>
      <c r="R9" s="25"/>
    </row>
    <row r="10" spans="1:18" x14ac:dyDescent="0.2">
      <c r="E10" s="59"/>
      <c r="F10" s="128"/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25"/>
    </row>
    <row r="11" spans="1:18" x14ac:dyDescent="0.2">
      <c r="D11" s="110"/>
      <c r="E11" s="111"/>
      <c r="F11" s="19"/>
      <c r="G11" s="86" t="str">
        <f>IF(C66=1,A69,IF(C66=2,A93,A96))</f>
        <v>1. Base Case</v>
      </c>
      <c r="H11" s="13"/>
      <c r="I11" s="13"/>
      <c r="J11" s="13"/>
      <c r="K11" s="13"/>
      <c r="L11" s="1"/>
      <c r="M11" s="1"/>
      <c r="N11" s="1"/>
      <c r="O11" s="1"/>
      <c r="P11" s="1"/>
      <c r="Q11" s="1"/>
      <c r="R11" s="25"/>
    </row>
    <row r="12" spans="1:18" x14ac:dyDescent="0.2">
      <c r="A12" s="40" t="s">
        <v>6</v>
      </c>
      <c r="B12" s="134"/>
      <c r="C12" s="40"/>
      <c r="D12" s="127"/>
      <c r="E12" s="124"/>
      <c r="F12" s="34">
        <f t="shared" ref="F12:Q12" si="2">F66</f>
        <v>4122</v>
      </c>
      <c r="G12" s="100">
        <f t="shared" si="2"/>
        <v>4294</v>
      </c>
      <c r="H12" s="100">
        <f t="shared" si="2"/>
        <v>4294</v>
      </c>
      <c r="I12" s="100">
        <f t="shared" si="2"/>
        <v>4294</v>
      </c>
      <c r="J12" s="100">
        <f t="shared" si="2"/>
        <v>4294</v>
      </c>
      <c r="K12" s="100">
        <f t="shared" si="2"/>
        <v>4294</v>
      </c>
      <c r="L12" s="100">
        <f t="shared" si="2"/>
        <v>4294</v>
      </c>
      <c r="M12" s="100">
        <f t="shared" si="2"/>
        <v>4294</v>
      </c>
      <c r="N12" s="100">
        <f t="shared" si="2"/>
        <v>4294</v>
      </c>
      <c r="O12" s="100">
        <f t="shared" si="2"/>
        <v>4294</v>
      </c>
      <c r="P12" s="100">
        <f t="shared" si="2"/>
        <v>4294</v>
      </c>
      <c r="Q12" s="100">
        <f t="shared" si="2"/>
        <v>4294</v>
      </c>
      <c r="R12" s="25"/>
    </row>
    <row r="13" spans="1:18" x14ac:dyDescent="0.2">
      <c r="A13" s="8" t="s">
        <v>82</v>
      </c>
      <c r="B13" s="8"/>
      <c r="C13" s="8"/>
      <c r="D13" s="137"/>
      <c r="E13" s="138"/>
      <c r="F13" s="139">
        <f t="shared" ref="F13:Q13" si="3">F9/F12</f>
        <v>2.6159631246967492</v>
      </c>
      <c r="G13" s="140">
        <f t="shared" si="3"/>
        <v>2.9012575687005122</v>
      </c>
      <c r="H13" s="140">
        <f t="shared" si="3"/>
        <v>2.9012575687005122</v>
      </c>
      <c r="I13" s="140">
        <f t="shared" si="3"/>
        <v>2.9012575687005122</v>
      </c>
      <c r="J13" s="140">
        <f t="shared" si="3"/>
        <v>2.9012575687005122</v>
      </c>
      <c r="K13" s="140">
        <f t="shared" si="3"/>
        <v>2.9012575687005122</v>
      </c>
      <c r="L13" s="140">
        <f t="shared" si="3"/>
        <v>2.9012575687005122</v>
      </c>
      <c r="M13" s="140">
        <f t="shared" si="3"/>
        <v>2.9012575687005122</v>
      </c>
      <c r="N13" s="140">
        <f t="shared" si="3"/>
        <v>2.9012575687005122</v>
      </c>
      <c r="O13" s="140">
        <f t="shared" si="3"/>
        <v>2.9012575687005122</v>
      </c>
      <c r="P13" s="140">
        <f t="shared" si="3"/>
        <v>2.9012575687005122</v>
      </c>
      <c r="Q13" s="140">
        <f t="shared" si="3"/>
        <v>2.9012575687005122</v>
      </c>
      <c r="R13" s="25"/>
    </row>
    <row r="14" spans="1:18" x14ac:dyDescent="0.2">
      <c r="A14" s="53" t="s">
        <v>1</v>
      </c>
      <c r="B14" s="39"/>
      <c r="C14" s="39"/>
      <c r="D14" s="39"/>
      <c r="E14" s="108"/>
      <c r="F14" s="60">
        <f t="shared" ref="F14:Q14" si="4">(F9-F12)</f>
        <v>6661</v>
      </c>
      <c r="G14" s="57">
        <f t="shared" si="4"/>
        <v>8164</v>
      </c>
      <c r="H14" s="57">
        <f t="shared" si="4"/>
        <v>8164</v>
      </c>
      <c r="I14" s="57">
        <f t="shared" si="4"/>
        <v>8164</v>
      </c>
      <c r="J14" s="57">
        <f t="shared" si="4"/>
        <v>8164</v>
      </c>
      <c r="K14" s="57">
        <f t="shared" si="4"/>
        <v>8164</v>
      </c>
      <c r="L14" s="57">
        <f t="shared" si="4"/>
        <v>8164</v>
      </c>
      <c r="M14" s="57">
        <f t="shared" si="4"/>
        <v>8164</v>
      </c>
      <c r="N14" s="57">
        <f t="shared" si="4"/>
        <v>8164</v>
      </c>
      <c r="O14" s="57">
        <f t="shared" si="4"/>
        <v>8164</v>
      </c>
      <c r="P14" s="57">
        <f t="shared" si="4"/>
        <v>8164</v>
      </c>
      <c r="Q14" s="58">
        <f t="shared" si="4"/>
        <v>8164</v>
      </c>
      <c r="R14" s="25"/>
    </row>
    <row r="15" spans="1:18" x14ac:dyDescent="0.2">
      <c r="E15" s="59"/>
      <c r="F15" s="19"/>
      <c r="G15" s="1"/>
      <c r="H15" s="1"/>
      <c r="I15" s="1"/>
      <c r="J15" s="13"/>
      <c r="K15" s="13"/>
      <c r="L15" s="1"/>
      <c r="M15" s="1"/>
      <c r="N15" s="1"/>
      <c r="O15" s="1"/>
      <c r="P15" s="1"/>
      <c r="Q15" s="1"/>
      <c r="R15" s="25"/>
    </row>
    <row r="16" spans="1:18" x14ac:dyDescent="0.2">
      <c r="A16" t="s">
        <v>7</v>
      </c>
      <c r="B16" s="16"/>
      <c r="E16" s="59"/>
      <c r="F16" s="19">
        <v>0</v>
      </c>
      <c r="G16" s="33">
        <f t="shared" ref="G16:Q16" si="5">G108</f>
        <v>3380.7441400929902</v>
      </c>
      <c r="H16" s="33">
        <f t="shared" si="5"/>
        <v>3380.7441400929902</v>
      </c>
      <c r="I16" s="33">
        <f t="shared" si="5"/>
        <v>3380.7441400929902</v>
      </c>
      <c r="J16" s="33">
        <f t="shared" si="5"/>
        <v>3380.7441400929902</v>
      </c>
      <c r="K16" s="33">
        <f t="shared" si="5"/>
        <v>3380.7441400929902</v>
      </c>
      <c r="L16" s="33">
        <f t="shared" si="5"/>
        <v>3380.7441400929902</v>
      </c>
      <c r="M16" s="33">
        <f t="shared" si="5"/>
        <v>3380.7441400929902</v>
      </c>
      <c r="N16" s="33">
        <f t="shared" si="5"/>
        <v>3380.7441400929902</v>
      </c>
      <c r="O16" s="33">
        <f t="shared" si="5"/>
        <v>3380.7441400929902</v>
      </c>
      <c r="P16" s="33">
        <f t="shared" si="5"/>
        <v>3380.7441400929902</v>
      </c>
      <c r="Q16" s="33">
        <f t="shared" si="5"/>
        <v>3380.7441400929902</v>
      </c>
      <c r="R16" s="25"/>
    </row>
    <row r="17" spans="1:18" x14ac:dyDescent="0.2">
      <c r="E17" s="59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5"/>
    </row>
    <row r="18" spans="1:18" x14ac:dyDescent="0.2">
      <c r="A18" s="53" t="s">
        <v>2</v>
      </c>
      <c r="B18" s="39"/>
      <c r="C18" s="39"/>
      <c r="D18" s="39"/>
      <c r="E18" s="108"/>
      <c r="F18" s="60">
        <f t="shared" ref="F18:Q18" si="6">F14-F16</f>
        <v>6661</v>
      </c>
      <c r="G18" s="61">
        <f t="shared" si="6"/>
        <v>4783.2558599070098</v>
      </c>
      <c r="H18" s="61">
        <f t="shared" si="6"/>
        <v>4783.2558599070098</v>
      </c>
      <c r="I18" s="61">
        <f t="shared" si="6"/>
        <v>4783.2558599070098</v>
      </c>
      <c r="J18" s="57">
        <f t="shared" si="6"/>
        <v>4783.2558599070098</v>
      </c>
      <c r="K18" s="57">
        <f t="shared" si="6"/>
        <v>4783.2558599070098</v>
      </c>
      <c r="L18" s="61">
        <f t="shared" si="6"/>
        <v>4783.2558599070098</v>
      </c>
      <c r="M18" s="61">
        <f t="shared" si="6"/>
        <v>4783.2558599070098</v>
      </c>
      <c r="N18" s="61">
        <f t="shared" si="6"/>
        <v>4783.2558599070098</v>
      </c>
      <c r="O18" s="61">
        <f t="shared" si="6"/>
        <v>4783.2558599070098</v>
      </c>
      <c r="P18" s="61">
        <f t="shared" si="6"/>
        <v>4783.2558599070098</v>
      </c>
      <c r="Q18" s="62">
        <f t="shared" si="6"/>
        <v>4783.2558599070098</v>
      </c>
      <c r="R18" s="25"/>
    </row>
    <row r="19" spans="1:18" x14ac:dyDescent="0.2">
      <c r="E19" s="59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5"/>
    </row>
    <row r="20" spans="1:18" x14ac:dyDescent="0.2">
      <c r="A20" s="2" t="s">
        <v>3</v>
      </c>
      <c r="E20" s="130"/>
      <c r="F20" s="19"/>
      <c r="G20" s="1">
        <f t="shared" ref="G20:Q20" si="7">$B$22*(G14-G113)</f>
        <v>1841.5535060641989</v>
      </c>
      <c r="H20" s="1">
        <f t="shared" si="7"/>
        <v>670.1256615219778</v>
      </c>
      <c r="I20" s="1">
        <f t="shared" si="7"/>
        <v>917.42709536977998</v>
      </c>
      <c r="J20" s="1">
        <f t="shared" si="7"/>
        <v>1138.6967993388662</v>
      </c>
      <c r="K20" s="1">
        <f t="shared" si="7"/>
        <v>1339.1411194049797</v>
      </c>
      <c r="L20" s="1">
        <f t="shared" si="7"/>
        <v>1521.3632285559918</v>
      </c>
      <c r="M20" s="1">
        <f t="shared" si="7"/>
        <v>1607.2679371557547</v>
      </c>
      <c r="N20" s="1">
        <f t="shared" si="7"/>
        <v>1607.2679371557547</v>
      </c>
      <c r="O20" s="1">
        <f t="shared" si="7"/>
        <v>1604.6647641678828</v>
      </c>
      <c r="P20" s="1">
        <f t="shared" si="7"/>
        <v>1607.2679371557547</v>
      </c>
      <c r="Q20" s="1">
        <f t="shared" si="7"/>
        <v>1604.6647641678828</v>
      </c>
      <c r="R20" s="25"/>
    </row>
    <row r="21" spans="1:18" ht="15" x14ac:dyDescent="0.35">
      <c r="A21" s="2" t="s">
        <v>4</v>
      </c>
      <c r="E21" s="105"/>
      <c r="F21" s="18"/>
      <c r="G21" s="3">
        <f t="shared" ref="G21:Q21" si="8">G22-G20</f>
        <v>0</v>
      </c>
      <c r="H21" s="3">
        <f t="shared" si="8"/>
        <v>1171.427844542221</v>
      </c>
      <c r="I21" s="3">
        <f t="shared" si="8"/>
        <v>924.12641069441895</v>
      </c>
      <c r="J21" s="3">
        <f t="shared" si="8"/>
        <v>702.85670672533274</v>
      </c>
      <c r="K21" s="3">
        <f t="shared" si="8"/>
        <v>502.41238665921924</v>
      </c>
      <c r="L21" s="3">
        <f t="shared" si="8"/>
        <v>320.19027750820715</v>
      </c>
      <c r="M21" s="3">
        <f t="shared" si="8"/>
        <v>234.28556890844425</v>
      </c>
      <c r="N21" s="3">
        <f t="shared" si="8"/>
        <v>234.28556890844425</v>
      </c>
      <c r="O21" s="3">
        <f t="shared" si="8"/>
        <v>236.88874189631611</v>
      </c>
      <c r="P21" s="3">
        <f t="shared" si="8"/>
        <v>234.28556890844425</v>
      </c>
      <c r="Q21" s="3">
        <f t="shared" si="8"/>
        <v>236.88874189631611</v>
      </c>
      <c r="R21" s="25"/>
    </row>
    <row r="22" spans="1:18" x14ac:dyDescent="0.2">
      <c r="A22" s="4" t="s">
        <v>0</v>
      </c>
      <c r="B22" s="170">
        <f>Assumptions!D19</f>
        <v>0.38500000000000001</v>
      </c>
      <c r="E22" s="130"/>
      <c r="F22" s="19">
        <v>0</v>
      </c>
      <c r="G22" s="1">
        <f t="shared" ref="G22:Q22" si="9">$B$22*G18</f>
        <v>1841.5535060641989</v>
      </c>
      <c r="H22" s="1">
        <f t="shared" si="9"/>
        <v>1841.5535060641989</v>
      </c>
      <c r="I22" s="1">
        <f t="shared" si="9"/>
        <v>1841.5535060641989</v>
      </c>
      <c r="J22" s="1">
        <f t="shared" si="9"/>
        <v>1841.5535060641989</v>
      </c>
      <c r="K22" s="1">
        <f t="shared" si="9"/>
        <v>1841.5535060641989</v>
      </c>
      <c r="L22" s="1">
        <f t="shared" si="9"/>
        <v>1841.5535060641989</v>
      </c>
      <c r="M22" s="1">
        <f t="shared" si="9"/>
        <v>1841.5535060641989</v>
      </c>
      <c r="N22" s="1">
        <f t="shared" si="9"/>
        <v>1841.5535060641989</v>
      </c>
      <c r="O22" s="1">
        <f t="shared" si="9"/>
        <v>1841.5535060641989</v>
      </c>
      <c r="P22" s="1">
        <f t="shared" si="9"/>
        <v>1841.5535060641989</v>
      </c>
      <c r="Q22" s="1">
        <f t="shared" si="9"/>
        <v>1841.5535060641989</v>
      </c>
      <c r="R22" s="25"/>
    </row>
    <row r="23" spans="1:18" x14ac:dyDescent="0.2">
      <c r="A23" s="1"/>
      <c r="B23" s="24"/>
      <c r="E23" s="59"/>
      <c r="F23" s="19"/>
      <c r="G23" s="1"/>
      <c r="H23" s="1"/>
      <c r="I23" s="1"/>
      <c r="J23" s="13"/>
      <c r="K23" s="13"/>
      <c r="L23" s="1"/>
      <c r="M23" s="1"/>
      <c r="N23" s="1"/>
      <c r="O23" s="1"/>
      <c r="P23" s="1"/>
      <c r="Q23" s="1"/>
      <c r="R23" s="25"/>
    </row>
    <row r="24" spans="1:18" x14ac:dyDescent="0.2">
      <c r="A24" s="81" t="s">
        <v>16</v>
      </c>
      <c r="B24" s="179"/>
      <c r="C24" s="39"/>
      <c r="D24" s="39"/>
      <c r="E24" s="131"/>
      <c r="F24" s="60">
        <f t="shared" ref="F24:Q24" si="10">F18-F22</f>
        <v>6661</v>
      </c>
      <c r="G24" s="61">
        <f t="shared" si="10"/>
        <v>2941.7023538428111</v>
      </c>
      <c r="H24" s="61">
        <f t="shared" si="10"/>
        <v>2941.7023538428111</v>
      </c>
      <c r="I24" s="61">
        <f t="shared" si="10"/>
        <v>2941.7023538428111</v>
      </c>
      <c r="J24" s="57">
        <f t="shared" si="10"/>
        <v>2941.7023538428111</v>
      </c>
      <c r="K24" s="57">
        <f t="shared" si="10"/>
        <v>2941.7023538428111</v>
      </c>
      <c r="L24" s="61">
        <f t="shared" si="10"/>
        <v>2941.7023538428111</v>
      </c>
      <c r="M24" s="61">
        <f t="shared" si="10"/>
        <v>2941.7023538428111</v>
      </c>
      <c r="N24" s="61">
        <f t="shared" si="10"/>
        <v>2941.7023538428111</v>
      </c>
      <c r="O24" s="61">
        <f t="shared" si="10"/>
        <v>2941.7023538428111</v>
      </c>
      <c r="P24" s="61">
        <f t="shared" si="10"/>
        <v>2941.7023538428111</v>
      </c>
      <c r="Q24" s="62">
        <f t="shared" si="10"/>
        <v>2941.7023538428111</v>
      </c>
      <c r="R24" s="20" t="s">
        <v>1</v>
      </c>
    </row>
    <row r="25" spans="1:18" x14ac:dyDescent="0.2">
      <c r="A25" s="2"/>
      <c r="B25" s="24"/>
      <c r="E25" s="59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0" t="s">
        <v>70</v>
      </c>
    </row>
    <row r="26" spans="1:18" x14ac:dyDescent="0.2">
      <c r="A26" s="2" t="s">
        <v>15</v>
      </c>
      <c r="B26" s="24"/>
      <c r="E26" s="59"/>
      <c r="F26" s="19">
        <f t="shared" ref="F26:Q26" si="11">F24+F21+F16</f>
        <v>6661</v>
      </c>
      <c r="G26" s="1">
        <f t="shared" si="11"/>
        <v>6322.4464939358013</v>
      </c>
      <c r="H26" s="1">
        <f t="shared" si="11"/>
        <v>7493.8743384780219</v>
      </c>
      <c r="I26" s="1">
        <f t="shared" si="11"/>
        <v>7246.5729046302204</v>
      </c>
      <c r="J26" s="13">
        <f t="shared" si="11"/>
        <v>7025.3032006611338</v>
      </c>
      <c r="K26" s="13">
        <f t="shared" si="11"/>
        <v>6824.8588805950203</v>
      </c>
      <c r="L26" s="1">
        <f t="shared" si="11"/>
        <v>6642.6367714440084</v>
      </c>
      <c r="M26" s="1">
        <f t="shared" si="11"/>
        <v>6556.7320628442458</v>
      </c>
      <c r="N26" s="1">
        <f t="shared" si="11"/>
        <v>6556.7320628442458</v>
      </c>
      <c r="O26" s="1">
        <f t="shared" si="11"/>
        <v>6559.3352358321172</v>
      </c>
      <c r="P26" s="1">
        <f t="shared" si="11"/>
        <v>6556.7320628442458</v>
      </c>
      <c r="Q26" s="1">
        <f t="shared" si="11"/>
        <v>6559.3352358321172</v>
      </c>
      <c r="R26" s="20" t="s">
        <v>71</v>
      </c>
    </row>
    <row r="27" spans="1:18" x14ac:dyDescent="0.2">
      <c r="A27" s="2" t="s">
        <v>23</v>
      </c>
      <c r="B27" s="171">
        <f>Assumptions!C38</f>
        <v>1</v>
      </c>
      <c r="E27" s="59"/>
      <c r="F27" s="19">
        <f>F102</f>
        <v>0</v>
      </c>
      <c r="G27" s="13">
        <f>G102</f>
        <v>0</v>
      </c>
      <c r="H27" s="13">
        <f t="shared" ref="H27:Q27" si="12">H102</f>
        <v>0</v>
      </c>
      <c r="I27" s="13">
        <f t="shared" si="12"/>
        <v>0</v>
      </c>
      <c r="J27" s="13">
        <f t="shared" si="12"/>
        <v>0</v>
      </c>
      <c r="K27" s="13">
        <f t="shared" si="12"/>
        <v>0</v>
      </c>
      <c r="L27" s="13">
        <f t="shared" si="12"/>
        <v>0</v>
      </c>
      <c r="M27" s="13">
        <f t="shared" si="12"/>
        <v>0</v>
      </c>
      <c r="N27" s="13">
        <f t="shared" si="12"/>
        <v>0</v>
      </c>
      <c r="O27" s="13">
        <f t="shared" si="12"/>
        <v>0</v>
      </c>
      <c r="P27" s="13">
        <f t="shared" si="12"/>
        <v>0</v>
      </c>
      <c r="Q27" s="13">
        <f t="shared" si="12"/>
        <v>0</v>
      </c>
      <c r="R27" s="175">
        <f>Assumptions!E43</f>
        <v>9</v>
      </c>
    </row>
    <row r="28" spans="1:18" x14ac:dyDescent="0.2">
      <c r="A28" s="115" t="s">
        <v>17</v>
      </c>
      <c r="B28" s="39"/>
      <c r="C28" s="39"/>
      <c r="D28" s="39"/>
      <c r="E28" s="108"/>
      <c r="F28" s="60">
        <f t="shared" ref="F28:Q28" si="13">F26-F27</f>
        <v>6661</v>
      </c>
      <c r="G28" s="57">
        <f t="shared" si="13"/>
        <v>6322.4464939358013</v>
      </c>
      <c r="H28" s="57">
        <f t="shared" si="13"/>
        <v>7493.8743384780219</v>
      </c>
      <c r="I28" s="57">
        <f t="shared" si="13"/>
        <v>7246.5729046302204</v>
      </c>
      <c r="J28" s="57">
        <f t="shared" si="13"/>
        <v>7025.3032006611338</v>
      </c>
      <c r="K28" s="57">
        <f t="shared" si="13"/>
        <v>6824.8588805950203</v>
      </c>
      <c r="L28" s="57">
        <f t="shared" si="13"/>
        <v>6642.6367714440084</v>
      </c>
      <c r="M28" s="57">
        <f t="shared" si="13"/>
        <v>6556.7320628442458</v>
      </c>
      <c r="N28" s="57">
        <f t="shared" si="13"/>
        <v>6556.7320628442458</v>
      </c>
      <c r="O28" s="57">
        <f t="shared" si="13"/>
        <v>6559.3352358321172</v>
      </c>
      <c r="P28" s="57">
        <f t="shared" si="13"/>
        <v>6556.7320628442458</v>
      </c>
      <c r="Q28" s="57">
        <f t="shared" si="13"/>
        <v>6559.3352358321172</v>
      </c>
      <c r="R28" s="58">
        <f>Q14*R27</f>
        <v>73476</v>
      </c>
    </row>
    <row r="29" spans="1:18" x14ac:dyDescent="0.2">
      <c r="A29" s="4"/>
      <c r="E29" s="59"/>
      <c r="F29" s="1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3.5" thickBot="1" x14ac:dyDescent="0.25">
      <c r="R30" s="13"/>
    </row>
    <row r="31" spans="1:18" ht="15" x14ac:dyDescent="0.35">
      <c r="F31"/>
      <c r="G31" s="279" t="s">
        <v>12</v>
      </c>
      <c r="H31" s="280" t="str">
        <f>(Assumptions!D12-1&amp;" EBITDA")</f>
        <v>2000 EBITDA</v>
      </c>
      <c r="I31" s="280" t="s">
        <v>72</v>
      </c>
      <c r="J31" s="281"/>
      <c r="K31" s="401" t="s">
        <v>13</v>
      </c>
      <c r="L31" s="401"/>
      <c r="M31" s="402"/>
      <c r="P31" s="1"/>
      <c r="Q31" s="1"/>
      <c r="R31" s="1"/>
    </row>
    <row r="32" spans="1:18" ht="15" x14ac:dyDescent="0.35">
      <c r="F32"/>
      <c r="G32" s="282" t="s">
        <v>14</v>
      </c>
      <c r="H32" s="283" t="s">
        <v>24</v>
      </c>
      <c r="I32" s="283" t="s">
        <v>73</v>
      </c>
      <c r="J32" s="284"/>
      <c r="K32" s="285">
        <f>OBLDRate-0.025</f>
        <v>7.5000000000000011E-2</v>
      </c>
      <c r="L32" s="285">
        <f>Assumptions!H43</f>
        <v>0.1</v>
      </c>
      <c r="M32" s="286">
        <f>OBLDRate+0.025</f>
        <v>0.125</v>
      </c>
      <c r="P32" s="1"/>
      <c r="Q32" s="1"/>
      <c r="R32" s="1"/>
    </row>
    <row r="33" spans="1:18" x14ac:dyDescent="0.2">
      <c r="F33" s="9" t="s">
        <v>22</v>
      </c>
      <c r="G33" s="287"/>
      <c r="H33" s="288"/>
      <c r="I33" s="288"/>
      <c r="J33" s="277"/>
      <c r="K33" s="277"/>
      <c r="L33" s="277"/>
      <c r="M33" s="289"/>
      <c r="P33" s="1"/>
      <c r="Q33" s="1"/>
      <c r="R33" s="1"/>
    </row>
    <row r="34" spans="1:18" ht="13.5" thickBot="1" x14ac:dyDescent="0.25">
      <c r="F34">
        <f>IF(ABS(G34-L34)&lt;0.05,0,1)</f>
        <v>0</v>
      </c>
      <c r="G34" s="359">
        <v>67614.8828018598</v>
      </c>
      <c r="H34" s="360">
        <f>G34/F14</f>
        <v>10.150860651833028</v>
      </c>
      <c r="I34" s="361" t="str">
        <f>Assumptions!D40</f>
        <v>ETS</v>
      </c>
      <c r="J34" s="362"/>
      <c r="K34" s="363">
        <f>NPV(K32,$G$28:$R$28)</f>
        <v>80558.600451838487</v>
      </c>
      <c r="L34" s="364">
        <f>NPV(L32,$G$28:$R$28)</f>
        <v>67614.924621790502</v>
      </c>
      <c r="M34" s="358">
        <f>NPV(M32,$G$28:$R$28)</f>
        <v>57475.523108855989</v>
      </c>
      <c r="P34" s="1"/>
      <c r="Q34" s="1"/>
      <c r="R34" s="1"/>
    </row>
    <row r="35" spans="1:18" x14ac:dyDescent="0.2">
      <c r="F35"/>
      <c r="G35" s="13"/>
      <c r="H35" s="278"/>
      <c r="I35" s="278"/>
      <c r="J35" s="13"/>
      <c r="K35" s="100"/>
      <c r="L35" s="100"/>
      <c r="M35" s="100"/>
      <c r="P35" s="1"/>
      <c r="Q35" s="1"/>
      <c r="R35" s="1"/>
    </row>
    <row r="36" spans="1:18" x14ac:dyDescent="0.2">
      <c r="F36" s="13"/>
      <c r="G36" s="1"/>
      <c r="H36" s="1"/>
      <c r="I36" s="1"/>
      <c r="J36" s="1"/>
      <c r="K36" s="1"/>
      <c r="L36" s="1"/>
      <c r="N36" s="1"/>
      <c r="O36" s="1"/>
      <c r="P36" s="1"/>
      <c r="Q36" s="1"/>
    </row>
    <row r="37" spans="1:18" x14ac:dyDescent="0.2">
      <c r="E37" s="13"/>
      <c r="F37" s="13"/>
      <c r="G37" s="13"/>
      <c r="I37" s="25"/>
      <c r="J37" s="25"/>
      <c r="K37" s="25"/>
      <c r="L37" s="25"/>
      <c r="M37" s="25"/>
      <c r="N37" s="25"/>
      <c r="O37" s="25"/>
      <c r="P37" s="25"/>
      <c r="Q37" s="25"/>
    </row>
    <row r="38" spans="1:18" x14ac:dyDescent="0.2">
      <c r="E38" s="13"/>
      <c r="F38" s="13"/>
      <c r="G38" s="13"/>
      <c r="H38" s="13"/>
      <c r="I38" s="25"/>
      <c r="J38" s="25"/>
      <c r="K38" s="25"/>
      <c r="L38" s="25"/>
      <c r="M38" s="25"/>
      <c r="N38" s="25"/>
      <c r="O38" s="25"/>
      <c r="P38" s="25"/>
      <c r="Q38" s="25"/>
    </row>
    <row r="39" spans="1:18" ht="13.5" thickBot="1" x14ac:dyDescent="0.25">
      <c r="A39" s="7" t="s">
        <v>75</v>
      </c>
    </row>
    <row r="40" spans="1:18" ht="13.5" thickBot="1" x14ac:dyDescent="0.25">
      <c r="B40" s="21" t="s">
        <v>69</v>
      </c>
      <c r="C40" s="116" t="s">
        <v>47</v>
      </c>
      <c r="F40" s="113">
        <f>G40-1</f>
        <v>2000</v>
      </c>
      <c r="G40" s="7">
        <f>Assumptions!D12</f>
        <v>2001</v>
      </c>
      <c r="H40" s="7">
        <f t="shared" ref="H40:Q40" si="14">G40+1</f>
        <v>2002</v>
      </c>
      <c r="I40" s="7">
        <f t="shared" si="14"/>
        <v>2003</v>
      </c>
      <c r="J40" s="7">
        <f t="shared" si="14"/>
        <v>2004</v>
      </c>
      <c r="K40" s="7">
        <f t="shared" si="14"/>
        <v>2005</v>
      </c>
      <c r="L40" s="7">
        <f t="shared" si="14"/>
        <v>2006</v>
      </c>
      <c r="M40" s="7">
        <f t="shared" si="14"/>
        <v>2007</v>
      </c>
      <c r="N40" s="7">
        <f t="shared" si="14"/>
        <v>2008</v>
      </c>
      <c r="O40" s="7">
        <f t="shared" si="14"/>
        <v>2009</v>
      </c>
      <c r="P40" s="7">
        <f t="shared" si="14"/>
        <v>2010</v>
      </c>
      <c r="Q40" s="7">
        <f t="shared" si="14"/>
        <v>2011</v>
      </c>
    </row>
    <row r="41" spans="1:18" ht="13.5" thickBot="1" x14ac:dyDescent="0.25">
      <c r="A41" s="106" t="str">
        <f>A2</f>
        <v xml:space="preserve">  Asset 3- Cash Flow Analysis</v>
      </c>
      <c r="B41" s="176">
        <f>Assumptions!C38</f>
        <v>1</v>
      </c>
      <c r="C41" s="177">
        <v>1</v>
      </c>
      <c r="D41" s="39"/>
      <c r="E41" s="92"/>
      <c r="F41" s="60">
        <f>F54*$B$41</f>
        <v>10783</v>
      </c>
      <c r="G41" s="61">
        <f t="shared" ref="G41:Q41" si="15">CHOOSE($C$41,G54,G57,G60)*$B$41+G42</f>
        <v>12458</v>
      </c>
      <c r="H41" s="61">
        <f t="shared" si="15"/>
        <v>12458</v>
      </c>
      <c r="I41" s="61">
        <f t="shared" si="15"/>
        <v>12458</v>
      </c>
      <c r="J41" s="61">
        <f t="shared" si="15"/>
        <v>12458</v>
      </c>
      <c r="K41" s="61">
        <f t="shared" si="15"/>
        <v>12458</v>
      </c>
      <c r="L41" s="61">
        <f t="shared" si="15"/>
        <v>12458</v>
      </c>
      <c r="M41" s="61">
        <f t="shared" si="15"/>
        <v>12458</v>
      </c>
      <c r="N41" s="61">
        <f t="shared" si="15"/>
        <v>12458</v>
      </c>
      <c r="O41" s="61">
        <f t="shared" si="15"/>
        <v>12458</v>
      </c>
      <c r="P41" s="61">
        <f t="shared" si="15"/>
        <v>12458</v>
      </c>
      <c r="Q41" s="62">
        <f t="shared" si="15"/>
        <v>12458</v>
      </c>
    </row>
    <row r="42" spans="1:18" x14ac:dyDescent="0.2">
      <c r="C42" s="50"/>
      <c r="F42" s="128" t="s">
        <v>45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8" x14ac:dyDescent="0.2">
      <c r="C43" s="117"/>
      <c r="D43" s="110"/>
      <c r="F43" s="13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x14ac:dyDescent="0.2">
      <c r="A44" s="8" t="str">
        <f>Assumptions!B50</f>
        <v>1. Base Case</v>
      </c>
      <c r="C44" s="117">
        <v>1</v>
      </c>
    </row>
    <row r="45" spans="1:18" x14ac:dyDescent="0.2">
      <c r="A45" t="s">
        <v>161</v>
      </c>
      <c r="C45" s="117"/>
      <c r="D45" s="129"/>
      <c r="F45" s="19">
        <v>0</v>
      </c>
      <c r="G45" s="1">
        <v>0</v>
      </c>
      <c r="H45" s="27">
        <f t="shared" ref="H45:Q45" si="16">G45</f>
        <v>0</v>
      </c>
      <c r="I45" s="27">
        <f t="shared" si="16"/>
        <v>0</v>
      </c>
      <c r="J45" s="27">
        <f t="shared" si="16"/>
        <v>0</v>
      </c>
      <c r="K45" s="27">
        <f t="shared" si="16"/>
        <v>0</v>
      </c>
      <c r="L45" s="27">
        <f t="shared" si="16"/>
        <v>0</v>
      </c>
      <c r="M45" s="27">
        <f t="shared" si="16"/>
        <v>0</v>
      </c>
      <c r="N45" s="27">
        <f t="shared" si="16"/>
        <v>0</v>
      </c>
      <c r="O45" s="27">
        <f t="shared" si="16"/>
        <v>0</v>
      </c>
      <c r="P45" s="27">
        <f t="shared" si="16"/>
        <v>0</v>
      </c>
      <c r="Q45" s="27">
        <f t="shared" si="16"/>
        <v>0</v>
      </c>
    </row>
    <row r="46" spans="1:18" x14ac:dyDescent="0.2">
      <c r="A46" t="s">
        <v>126</v>
      </c>
      <c r="C46" s="117"/>
      <c r="D46" s="129"/>
      <c r="F46" s="19">
        <v>0</v>
      </c>
      <c r="G46" s="1">
        <v>0</v>
      </c>
      <c r="H46" s="27">
        <f t="shared" ref="H46:Q46" si="17">G46</f>
        <v>0</v>
      </c>
      <c r="I46" s="27">
        <f t="shared" si="17"/>
        <v>0</v>
      </c>
      <c r="J46" s="27">
        <f t="shared" si="17"/>
        <v>0</v>
      </c>
      <c r="K46" s="27">
        <f t="shared" si="17"/>
        <v>0</v>
      </c>
      <c r="L46" s="27">
        <f t="shared" si="17"/>
        <v>0</v>
      </c>
      <c r="M46" s="27">
        <f t="shared" si="17"/>
        <v>0</v>
      </c>
      <c r="N46" s="27">
        <f t="shared" si="17"/>
        <v>0</v>
      </c>
      <c r="O46" s="27">
        <f t="shared" si="17"/>
        <v>0</v>
      </c>
      <c r="P46" s="27">
        <f t="shared" si="17"/>
        <v>0</v>
      </c>
      <c r="Q46" s="27">
        <f t="shared" si="17"/>
        <v>0</v>
      </c>
    </row>
    <row r="47" spans="1:18" x14ac:dyDescent="0.2">
      <c r="A47" t="s">
        <v>127</v>
      </c>
      <c r="C47" s="117"/>
      <c r="D47" s="129"/>
      <c r="F47" s="19">
        <v>10923</v>
      </c>
      <c r="G47" s="1">
        <v>12388</v>
      </c>
      <c r="H47" s="27">
        <f t="shared" ref="H47:Q47" si="18">G47</f>
        <v>12388</v>
      </c>
      <c r="I47" s="27">
        <f t="shared" si="18"/>
        <v>12388</v>
      </c>
      <c r="J47" s="27">
        <f t="shared" si="18"/>
        <v>12388</v>
      </c>
      <c r="K47" s="27">
        <f t="shared" si="18"/>
        <v>12388</v>
      </c>
      <c r="L47" s="27">
        <f t="shared" si="18"/>
        <v>12388</v>
      </c>
      <c r="M47" s="27">
        <f t="shared" si="18"/>
        <v>12388</v>
      </c>
      <c r="N47" s="27">
        <f t="shared" si="18"/>
        <v>12388</v>
      </c>
      <c r="O47" s="27">
        <f t="shared" si="18"/>
        <v>12388</v>
      </c>
      <c r="P47" s="27">
        <f t="shared" si="18"/>
        <v>12388</v>
      </c>
      <c r="Q47" s="27">
        <f t="shared" si="18"/>
        <v>12388</v>
      </c>
    </row>
    <row r="48" spans="1:18" x14ac:dyDescent="0.2">
      <c r="A48" t="s">
        <v>128</v>
      </c>
      <c r="C48" s="117"/>
      <c r="D48" s="129"/>
      <c r="F48" s="19">
        <v>0</v>
      </c>
      <c r="G48" s="1">
        <v>0</v>
      </c>
      <c r="H48" s="27">
        <f>G48</f>
        <v>0</v>
      </c>
      <c r="I48" s="27">
        <f t="shared" ref="I48:Q48" si="19">H48</f>
        <v>0</v>
      </c>
      <c r="J48" s="27">
        <f t="shared" si="19"/>
        <v>0</v>
      </c>
      <c r="K48" s="27">
        <f t="shared" si="19"/>
        <v>0</v>
      </c>
      <c r="L48" s="27">
        <f t="shared" si="19"/>
        <v>0</v>
      </c>
      <c r="M48" s="27">
        <f t="shared" si="19"/>
        <v>0</v>
      </c>
      <c r="N48" s="27">
        <f t="shared" si="19"/>
        <v>0</v>
      </c>
      <c r="O48" s="27">
        <f t="shared" si="19"/>
        <v>0</v>
      </c>
      <c r="P48" s="27">
        <f t="shared" si="19"/>
        <v>0</v>
      </c>
      <c r="Q48" s="27">
        <f t="shared" si="19"/>
        <v>0</v>
      </c>
    </row>
    <row r="49" spans="1:17" x14ac:dyDescent="0.2">
      <c r="A49" t="s">
        <v>99</v>
      </c>
      <c r="C49" s="117"/>
      <c r="D49" s="129"/>
      <c r="E49" s="59"/>
      <c r="F49" s="22">
        <v>0</v>
      </c>
      <c r="G49" s="33">
        <v>70</v>
      </c>
      <c r="H49" s="27">
        <f>G49</f>
        <v>70</v>
      </c>
      <c r="I49" s="33">
        <f t="shared" ref="I49:Q49" si="20">H49</f>
        <v>70</v>
      </c>
      <c r="J49" s="33">
        <f t="shared" si="20"/>
        <v>70</v>
      </c>
      <c r="K49" s="33">
        <f t="shared" si="20"/>
        <v>70</v>
      </c>
      <c r="L49" s="33">
        <f t="shared" si="20"/>
        <v>70</v>
      </c>
      <c r="M49" s="33">
        <f t="shared" si="20"/>
        <v>70</v>
      </c>
      <c r="N49" s="33">
        <f t="shared" si="20"/>
        <v>70</v>
      </c>
      <c r="O49" s="33">
        <f t="shared" si="20"/>
        <v>70</v>
      </c>
      <c r="P49" s="33">
        <f t="shared" si="20"/>
        <v>70</v>
      </c>
      <c r="Q49" s="33">
        <f t="shared" si="20"/>
        <v>70</v>
      </c>
    </row>
    <row r="50" spans="1:17" x14ac:dyDescent="0.2">
      <c r="A50" s="45" t="s">
        <v>100</v>
      </c>
      <c r="C50" s="117"/>
      <c r="D50" s="129"/>
      <c r="F50" s="19"/>
      <c r="G50" s="1"/>
      <c r="H50" s="33"/>
      <c r="I50" s="27"/>
      <c r="J50" s="27"/>
      <c r="K50" s="27"/>
      <c r="L50" s="27"/>
      <c r="M50" s="27"/>
      <c r="N50" s="27"/>
      <c r="O50" s="27"/>
      <c r="P50" s="27"/>
      <c r="Q50" s="27"/>
    </row>
    <row r="51" spans="1:17" x14ac:dyDescent="0.2">
      <c r="A51" t="s">
        <v>101</v>
      </c>
      <c r="C51" s="117"/>
      <c r="D51" s="129"/>
      <c r="F51" s="19">
        <v>0</v>
      </c>
      <c r="G51" s="1">
        <v>0</v>
      </c>
      <c r="H51" s="33">
        <f t="shared" ref="H51:Q51" si="21">G51</f>
        <v>0</v>
      </c>
      <c r="I51" s="33">
        <f t="shared" si="21"/>
        <v>0</v>
      </c>
      <c r="J51" s="33">
        <f t="shared" si="21"/>
        <v>0</v>
      </c>
      <c r="K51" s="33">
        <f t="shared" si="21"/>
        <v>0</v>
      </c>
      <c r="L51" s="33">
        <f t="shared" si="21"/>
        <v>0</v>
      </c>
      <c r="M51" s="33">
        <f t="shared" si="21"/>
        <v>0</v>
      </c>
      <c r="N51" s="33">
        <f t="shared" si="21"/>
        <v>0</v>
      </c>
      <c r="O51" s="33">
        <f t="shared" si="21"/>
        <v>0</v>
      </c>
      <c r="P51" s="33">
        <f t="shared" si="21"/>
        <v>0</v>
      </c>
      <c r="Q51" s="33">
        <f t="shared" si="21"/>
        <v>0</v>
      </c>
    </row>
    <row r="52" spans="1:17" x14ac:dyDescent="0.2">
      <c r="A52" t="s">
        <v>119</v>
      </c>
      <c r="C52" s="117"/>
      <c r="D52" s="129"/>
      <c r="F52" s="19">
        <v>0</v>
      </c>
      <c r="G52" s="1">
        <v>0</v>
      </c>
      <c r="H52" s="33">
        <f t="shared" ref="H52:Q52" si="22">G52</f>
        <v>0</v>
      </c>
      <c r="I52" s="33">
        <f t="shared" si="22"/>
        <v>0</v>
      </c>
      <c r="J52" s="33">
        <f t="shared" si="22"/>
        <v>0</v>
      </c>
      <c r="K52" s="33">
        <f t="shared" si="22"/>
        <v>0</v>
      </c>
      <c r="L52" s="33">
        <f t="shared" si="22"/>
        <v>0</v>
      </c>
      <c r="M52" s="33">
        <f t="shared" si="22"/>
        <v>0</v>
      </c>
      <c r="N52" s="33">
        <f t="shared" si="22"/>
        <v>0</v>
      </c>
      <c r="O52" s="33">
        <f t="shared" si="22"/>
        <v>0</v>
      </c>
      <c r="P52" s="33">
        <f t="shared" si="22"/>
        <v>0</v>
      </c>
      <c r="Q52" s="33">
        <f t="shared" si="22"/>
        <v>0</v>
      </c>
    </row>
    <row r="53" spans="1:17" ht="15" x14ac:dyDescent="0.35">
      <c r="A53" t="s">
        <v>99</v>
      </c>
      <c r="C53" s="117"/>
      <c r="D53" s="156"/>
      <c r="E53" s="59"/>
      <c r="F53" s="18">
        <v>-140</v>
      </c>
      <c r="G53" s="6">
        <v>0</v>
      </c>
      <c r="H53" s="6">
        <f t="shared" ref="H53:Q53" si="23">G53</f>
        <v>0</v>
      </c>
      <c r="I53" s="6">
        <f t="shared" si="23"/>
        <v>0</v>
      </c>
      <c r="J53" s="6">
        <f t="shared" si="23"/>
        <v>0</v>
      </c>
      <c r="K53" s="6">
        <f t="shared" si="23"/>
        <v>0</v>
      </c>
      <c r="L53" s="6">
        <f t="shared" si="23"/>
        <v>0</v>
      </c>
      <c r="M53" s="6">
        <f t="shared" si="23"/>
        <v>0</v>
      </c>
      <c r="N53" s="6">
        <f t="shared" si="23"/>
        <v>0</v>
      </c>
      <c r="O53" s="6">
        <f t="shared" si="23"/>
        <v>0</v>
      </c>
      <c r="P53" s="6">
        <f t="shared" si="23"/>
        <v>0</v>
      </c>
      <c r="Q53" s="6">
        <f t="shared" si="23"/>
        <v>0</v>
      </c>
    </row>
    <row r="54" spans="1:17" x14ac:dyDescent="0.2">
      <c r="A54" s="76" t="s">
        <v>0</v>
      </c>
      <c r="B54" s="155">
        <v>1</v>
      </c>
      <c r="C54" s="117"/>
      <c r="D54" s="129"/>
      <c r="E54" s="104"/>
      <c r="F54" s="34">
        <f>SUM(F45:F53)*$B$54</f>
        <v>10783</v>
      </c>
      <c r="G54" s="100">
        <f t="shared" ref="G54:Q54" si="24">SUM(G45:G53)*$B$54+G55</f>
        <v>12458</v>
      </c>
      <c r="H54" s="100">
        <f t="shared" si="24"/>
        <v>12458</v>
      </c>
      <c r="I54" s="100">
        <f t="shared" si="24"/>
        <v>12458</v>
      </c>
      <c r="J54" s="100">
        <f t="shared" si="24"/>
        <v>12458</v>
      </c>
      <c r="K54" s="100">
        <f t="shared" si="24"/>
        <v>12458</v>
      </c>
      <c r="L54" s="100">
        <f t="shared" si="24"/>
        <v>12458</v>
      </c>
      <c r="M54" s="100">
        <f t="shared" si="24"/>
        <v>12458</v>
      </c>
      <c r="N54" s="100">
        <f t="shared" si="24"/>
        <v>12458</v>
      </c>
      <c r="O54" s="100">
        <f t="shared" si="24"/>
        <v>12458</v>
      </c>
      <c r="P54" s="100">
        <f t="shared" si="24"/>
        <v>12458</v>
      </c>
      <c r="Q54" s="100">
        <f t="shared" si="24"/>
        <v>12458</v>
      </c>
    </row>
    <row r="55" spans="1:17" x14ac:dyDescent="0.2">
      <c r="C55" s="117"/>
      <c r="F55" s="128" t="s">
        <v>45</v>
      </c>
      <c r="G55" s="1">
        <v>0</v>
      </c>
      <c r="H55" s="1">
        <v>0</v>
      </c>
      <c r="I55" s="1">
        <f t="shared" ref="I55:Q55" si="25">H55</f>
        <v>0</v>
      </c>
      <c r="J55" s="13">
        <f t="shared" si="25"/>
        <v>0</v>
      </c>
      <c r="K55" s="13">
        <f t="shared" si="25"/>
        <v>0</v>
      </c>
      <c r="L55" s="1">
        <f t="shared" si="25"/>
        <v>0</v>
      </c>
      <c r="M55" s="1">
        <f t="shared" si="25"/>
        <v>0</v>
      </c>
      <c r="N55" s="1">
        <f t="shared" si="25"/>
        <v>0</v>
      </c>
      <c r="O55" s="1">
        <f t="shared" si="25"/>
        <v>0</v>
      </c>
      <c r="P55" s="1">
        <f t="shared" si="25"/>
        <v>0</v>
      </c>
      <c r="Q55" s="1">
        <f t="shared" si="25"/>
        <v>0</v>
      </c>
    </row>
    <row r="56" spans="1:17" x14ac:dyDescent="0.2">
      <c r="C56" s="117"/>
    </row>
    <row r="57" spans="1:17" x14ac:dyDescent="0.2">
      <c r="A57" s="8" t="str">
        <f>Assumptions!B51</f>
        <v>2. Optimistic</v>
      </c>
      <c r="B57" s="155">
        <v>1</v>
      </c>
      <c r="C57" s="117">
        <v>2</v>
      </c>
      <c r="D57" s="129"/>
      <c r="F57" s="34">
        <f>F54</f>
        <v>10783</v>
      </c>
      <c r="G57" s="27">
        <f t="shared" ref="G57:Q57" si="26">F57*$B$57+G58</f>
        <v>10783</v>
      </c>
      <c r="H57" s="27">
        <f t="shared" si="26"/>
        <v>10783</v>
      </c>
      <c r="I57" s="27">
        <f t="shared" si="26"/>
        <v>10783</v>
      </c>
      <c r="J57" s="27">
        <f t="shared" si="26"/>
        <v>10783</v>
      </c>
      <c r="K57" s="27">
        <f t="shared" si="26"/>
        <v>10783</v>
      </c>
      <c r="L57" s="27">
        <f t="shared" si="26"/>
        <v>10783</v>
      </c>
      <c r="M57" s="27">
        <f t="shared" si="26"/>
        <v>10783</v>
      </c>
      <c r="N57" s="27">
        <f t="shared" si="26"/>
        <v>10783</v>
      </c>
      <c r="O57" s="27">
        <f t="shared" si="26"/>
        <v>10783</v>
      </c>
      <c r="P57" s="27">
        <f t="shared" si="26"/>
        <v>10783</v>
      </c>
      <c r="Q57" s="27">
        <f t="shared" si="26"/>
        <v>10783</v>
      </c>
    </row>
    <row r="58" spans="1:17" x14ac:dyDescent="0.2">
      <c r="A58" s="8"/>
      <c r="C58" s="117"/>
      <c r="F58" s="128" t="s">
        <v>45</v>
      </c>
      <c r="G58" s="1">
        <v>0</v>
      </c>
      <c r="H58" s="1">
        <v>0</v>
      </c>
      <c r="I58" s="1">
        <f t="shared" ref="I58:Q58" si="27">H58</f>
        <v>0</v>
      </c>
      <c r="J58" s="13">
        <f t="shared" si="27"/>
        <v>0</v>
      </c>
      <c r="K58" s="13">
        <f t="shared" si="27"/>
        <v>0</v>
      </c>
      <c r="L58" s="1">
        <f t="shared" si="27"/>
        <v>0</v>
      </c>
      <c r="M58" s="1">
        <f t="shared" si="27"/>
        <v>0</v>
      </c>
      <c r="N58" s="1">
        <f t="shared" si="27"/>
        <v>0</v>
      </c>
      <c r="O58" s="1">
        <f t="shared" si="27"/>
        <v>0</v>
      </c>
      <c r="P58" s="1">
        <f t="shared" si="27"/>
        <v>0</v>
      </c>
      <c r="Q58" s="1">
        <f t="shared" si="27"/>
        <v>0</v>
      </c>
    </row>
    <row r="59" spans="1:17" x14ac:dyDescent="0.2">
      <c r="A59" s="8"/>
      <c r="C59" s="117"/>
    </row>
    <row r="60" spans="1:17" x14ac:dyDescent="0.2">
      <c r="A60" s="8" t="str">
        <f>Assumptions!B52</f>
        <v>3. Pessimistic</v>
      </c>
      <c r="B60" s="155">
        <v>1.02</v>
      </c>
      <c r="C60" s="117">
        <v>3</v>
      </c>
      <c r="D60" s="129"/>
      <c r="F60" s="34">
        <f>F54</f>
        <v>10783</v>
      </c>
      <c r="G60" s="27">
        <f>G54</f>
        <v>12458</v>
      </c>
      <c r="H60" s="27">
        <f>H54</f>
        <v>12458</v>
      </c>
      <c r="I60" s="27">
        <f t="shared" ref="I60:Q60" si="28">H60*$B$60+I61</f>
        <v>12707.16</v>
      </c>
      <c r="J60" s="27">
        <f t="shared" si="28"/>
        <v>12961.3032</v>
      </c>
      <c r="K60" s="27">
        <f t="shared" si="28"/>
        <v>13220.529264000001</v>
      </c>
      <c r="L60" s="27">
        <f t="shared" si="28"/>
        <v>13484.939849280001</v>
      </c>
      <c r="M60" s="27">
        <f t="shared" si="28"/>
        <v>13754.638646265601</v>
      </c>
      <c r="N60" s="27">
        <f t="shared" si="28"/>
        <v>14029.731419190914</v>
      </c>
      <c r="O60" s="27">
        <f t="shared" si="28"/>
        <v>14310.326047574732</v>
      </c>
      <c r="P60" s="27">
        <f t="shared" si="28"/>
        <v>14596.532568526227</v>
      </c>
      <c r="Q60" s="27">
        <f t="shared" si="28"/>
        <v>14888.463219896752</v>
      </c>
    </row>
    <row r="61" spans="1:17" ht="13.5" thickBot="1" x14ac:dyDescent="0.25">
      <c r="C61" s="121"/>
      <c r="F61" s="128" t="s">
        <v>45</v>
      </c>
      <c r="G61" s="1">
        <v>0</v>
      </c>
      <c r="H61" s="1">
        <v>0</v>
      </c>
      <c r="I61" s="1">
        <f t="shared" ref="I61:Q61" si="29">H61</f>
        <v>0</v>
      </c>
      <c r="J61" s="13">
        <f t="shared" si="29"/>
        <v>0</v>
      </c>
      <c r="K61" s="13">
        <f t="shared" si="29"/>
        <v>0</v>
      </c>
      <c r="L61" s="1">
        <f t="shared" si="29"/>
        <v>0</v>
      </c>
      <c r="M61" s="1">
        <f t="shared" si="29"/>
        <v>0</v>
      </c>
      <c r="N61" s="1">
        <f t="shared" si="29"/>
        <v>0</v>
      </c>
      <c r="O61" s="1">
        <f t="shared" si="29"/>
        <v>0</v>
      </c>
      <c r="P61" s="1">
        <f t="shared" si="29"/>
        <v>0</v>
      </c>
      <c r="Q61" s="1">
        <f t="shared" si="29"/>
        <v>0</v>
      </c>
    </row>
    <row r="64" spans="1:17" ht="13.5" thickBot="1" x14ac:dyDescent="0.25">
      <c r="A64" s="7" t="s">
        <v>52</v>
      </c>
    </row>
    <row r="65" spans="1:17" ht="13.5" thickBot="1" x14ac:dyDescent="0.25">
      <c r="B65" s="21" t="s">
        <v>69</v>
      </c>
      <c r="C65" s="116" t="s">
        <v>47</v>
      </c>
      <c r="F65" s="113">
        <f>G65-1</f>
        <v>2000</v>
      </c>
      <c r="G65" s="7">
        <f>Assumptions!D12</f>
        <v>2001</v>
      </c>
      <c r="H65" s="7">
        <f t="shared" ref="H65:Q65" si="30">G65+1</f>
        <v>2002</v>
      </c>
      <c r="I65" s="7">
        <f t="shared" si="30"/>
        <v>2003</v>
      </c>
      <c r="J65" s="7">
        <f t="shared" si="30"/>
        <v>2004</v>
      </c>
      <c r="K65" s="7">
        <f t="shared" si="30"/>
        <v>2005</v>
      </c>
      <c r="L65" s="7">
        <f t="shared" si="30"/>
        <v>2006</v>
      </c>
      <c r="M65" s="7">
        <f t="shared" si="30"/>
        <v>2007</v>
      </c>
      <c r="N65" s="7">
        <f t="shared" si="30"/>
        <v>2008</v>
      </c>
      <c r="O65" s="7">
        <f t="shared" si="30"/>
        <v>2009</v>
      </c>
      <c r="P65" s="7">
        <f t="shared" si="30"/>
        <v>2010</v>
      </c>
      <c r="Q65" s="7">
        <f t="shared" si="30"/>
        <v>2011</v>
      </c>
    </row>
    <row r="66" spans="1:17" ht="13.5" thickBot="1" x14ac:dyDescent="0.25">
      <c r="A66" s="106" t="str">
        <f>A2</f>
        <v xml:space="preserve">  Asset 3- Cash Flow Analysis</v>
      </c>
      <c r="B66" s="176">
        <f>Assumptions!C38</f>
        <v>1</v>
      </c>
      <c r="C66" s="178">
        <v>1</v>
      </c>
      <c r="D66" s="39"/>
      <c r="E66" s="92"/>
      <c r="F66" s="114">
        <f>F90*$B$66</f>
        <v>4122</v>
      </c>
      <c r="G66" s="61">
        <f t="shared" ref="G66:Q66" si="31">CHOOSE($C$66,G90,G93,G96)*$B$66+G67</f>
        <v>4294</v>
      </c>
      <c r="H66" s="61">
        <f t="shared" si="31"/>
        <v>4294</v>
      </c>
      <c r="I66" s="61">
        <f t="shared" si="31"/>
        <v>4294</v>
      </c>
      <c r="J66" s="61">
        <f t="shared" si="31"/>
        <v>4294</v>
      </c>
      <c r="K66" s="61">
        <f t="shared" si="31"/>
        <v>4294</v>
      </c>
      <c r="L66" s="61">
        <f t="shared" si="31"/>
        <v>4294</v>
      </c>
      <c r="M66" s="61">
        <f t="shared" si="31"/>
        <v>4294</v>
      </c>
      <c r="N66" s="61">
        <f t="shared" si="31"/>
        <v>4294</v>
      </c>
      <c r="O66" s="61">
        <f t="shared" si="31"/>
        <v>4294</v>
      </c>
      <c r="P66" s="61">
        <f t="shared" si="31"/>
        <v>4294</v>
      </c>
      <c r="Q66" s="62">
        <f t="shared" si="31"/>
        <v>4294</v>
      </c>
    </row>
    <row r="67" spans="1:17" x14ac:dyDescent="0.2">
      <c r="C67" s="118"/>
      <c r="F67" s="128" t="s">
        <v>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">
      <c r="C68" s="119"/>
      <c r="D68" s="110"/>
      <c r="E68" s="111"/>
    </row>
    <row r="69" spans="1:17" x14ac:dyDescent="0.2">
      <c r="A69" s="8" t="str">
        <f>Assumptions!B56</f>
        <v>1. Base Case</v>
      </c>
      <c r="C69" s="119"/>
    </row>
    <row r="70" spans="1:17" x14ac:dyDescent="0.2">
      <c r="C70" s="119"/>
    </row>
    <row r="71" spans="1:17" x14ac:dyDescent="0.2">
      <c r="A71" s="45" t="s">
        <v>112</v>
      </c>
      <c r="C71" s="119"/>
    </row>
    <row r="72" spans="1:17" x14ac:dyDescent="0.2">
      <c r="A72" t="s">
        <v>106</v>
      </c>
      <c r="C72" s="119"/>
      <c r="D72" s="129"/>
      <c r="E72" s="133"/>
      <c r="F72" s="19">
        <v>1199</v>
      </c>
      <c r="G72" s="1">
        <v>1270</v>
      </c>
      <c r="H72" s="1">
        <f>G72</f>
        <v>1270</v>
      </c>
      <c r="I72" s="1">
        <f t="shared" ref="I72:Q72" si="32">H72</f>
        <v>1270</v>
      </c>
      <c r="J72" s="1">
        <f t="shared" si="32"/>
        <v>1270</v>
      </c>
      <c r="K72" s="1">
        <f t="shared" si="32"/>
        <v>1270</v>
      </c>
      <c r="L72" s="1">
        <f t="shared" si="32"/>
        <v>1270</v>
      </c>
      <c r="M72" s="1">
        <f t="shared" si="32"/>
        <v>1270</v>
      </c>
      <c r="N72" s="1">
        <f t="shared" si="32"/>
        <v>1270</v>
      </c>
      <c r="O72" s="1">
        <f t="shared" si="32"/>
        <v>1270</v>
      </c>
      <c r="P72" s="1">
        <f t="shared" si="32"/>
        <v>1270</v>
      </c>
      <c r="Q72" s="1">
        <f t="shared" si="32"/>
        <v>1270</v>
      </c>
    </row>
    <row r="73" spans="1:17" x14ac:dyDescent="0.2">
      <c r="A73" t="s">
        <v>107</v>
      </c>
      <c r="C73" s="119"/>
      <c r="D73" s="129"/>
      <c r="E73" s="133"/>
      <c r="F73" s="19">
        <v>34</v>
      </c>
      <c r="G73" s="1">
        <v>40</v>
      </c>
      <c r="H73" s="1">
        <f t="shared" ref="H73:Q73" si="33">G73</f>
        <v>40</v>
      </c>
      <c r="I73" s="1">
        <f t="shared" si="33"/>
        <v>40</v>
      </c>
      <c r="J73" s="1">
        <f t="shared" si="33"/>
        <v>40</v>
      </c>
      <c r="K73" s="1">
        <f t="shared" si="33"/>
        <v>40</v>
      </c>
      <c r="L73" s="1">
        <f t="shared" si="33"/>
        <v>40</v>
      </c>
      <c r="M73" s="1">
        <f t="shared" si="33"/>
        <v>40</v>
      </c>
      <c r="N73" s="1">
        <f t="shared" si="33"/>
        <v>40</v>
      </c>
      <c r="O73" s="1">
        <f t="shared" si="33"/>
        <v>40</v>
      </c>
      <c r="P73" s="1">
        <f t="shared" si="33"/>
        <v>40</v>
      </c>
      <c r="Q73" s="1">
        <f t="shared" si="33"/>
        <v>40</v>
      </c>
    </row>
    <row r="74" spans="1:17" x14ac:dyDescent="0.2">
      <c r="A74" t="s">
        <v>108</v>
      </c>
      <c r="C74" s="119"/>
      <c r="D74" s="129"/>
      <c r="E74" s="133"/>
      <c r="F74" s="19">
        <v>15</v>
      </c>
      <c r="G74" s="1">
        <v>10</v>
      </c>
      <c r="H74" s="1">
        <f t="shared" ref="H74:Q74" si="34">G74</f>
        <v>10</v>
      </c>
      <c r="I74" s="1">
        <f t="shared" si="34"/>
        <v>10</v>
      </c>
      <c r="J74" s="1">
        <f t="shared" si="34"/>
        <v>10</v>
      </c>
      <c r="K74" s="1">
        <f t="shared" si="34"/>
        <v>10</v>
      </c>
      <c r="L74" s="1">
        <f t="shared" si="34"/>
        <v>10</v>
      </c>
      <c r="M74" s="1">
        <f t="shared" si="34"/>
        <v>10</v>
      </c>
      <c r="N74" s="1">
        <f t="shared" si="34"/>
        <v>10</v>
      </c>
      <c r="O74" s="1">
        <f t="shared" si="34"/>
        <v>10</v>
      </c>
      <c r="P74" s="1">
        <f t="shared" si="34"/>
        <v>10</v>
      </c>
      <c r="Q74" s="1">
        <f t="shared" si="34"/>
        <v>10</v>
      </c>
    </row>
    <row r="75" spans="1:17" x14ac:dyDescent="0.2">
      <c r="A75" t="s">
        <v>122</v>
      </c>
      <c r="C75" s="119"/>
      <c r="D75" s="129"/>
      <c r="E75" s="133"/>
      <c r="F75" s="19">
        <v>0</v>
      </c>
      <c r="G75" s="1">
        <v>0</v>
      </c>
      <c r="H75" s="1">
        <f t="shared" ref="H75:Q75" si="35">G75</f>
        <v>0</v>
      </c>
      <c r="I75" s="1">
        <f t="shared" si="35"/>
        <v>0</v>
      </c>
      <c r="J75" s="1">
        <f t="shared" si="35"/>
        <v>0</v>
      </c>
      <c r="K75" s="1">
        <f t="shared" si="35"/>
        <v>0</v>
      </c>
      <c r="L75" s="1">
        <f t="shared" si="35"/>
        <v>0</v>
      </c>
      <c r="M75" s="1">
        <f t="shared" si="35"/>
        <v>0</v>
      </c>
      <c r="N75" s="1">
        <f t="shared" si="35"/>
        <v>0</v>
      </c>
      <c r="O75" s="1">
        <f t="shared" si="35"/>
        <v>0</v>
      </c>
      <c r="P75" s="1">
        <f t="shared" si="35"/>
        <v>0</v>
      </c>
      <c r="Q75" s="1">
        <f t="shared" si="35"/>
        <v>0</v>
      </c>
    </row>
    <row r="76" spans="1:17" x14ac:dyDescent="0.2">
      <c r="A76" t="s">
        <v>123</v>
      </c>
      <c r="C76" s="119"/>
      <c r="D76" s="129"/>
      <c r="E76" s="133"/>
      <c r="F76" s="19">
        <v>0</v>
      </c>
      <c r="G76" s="1">
        <v>0</v>
      </c>
      <c r="H76" s="1">
        <f t="shared" ref="H76:Q76" si="36">G76</f>
        <v>0</v>
      </c>
      <c r="I76" s="1">
        <f t="shared" si="36"/>
        <v>0</v>
      </c>
      <c r="J76" s="1">
        <f t="shared" si="36"/>
        <v>0</v>
      </c>
      <c r="K76" s="1">
        <f t="shared" si="36"/>
        <v>0</v>
      </c>
      <c r="L76" s="1">
        <f t="shared" si="36"/>
        <v>0</v>
      </c>
      <c r="M76" s="1">
        <f t="shared" si="36"/>
        <v>0</v>
      </c>
      <c r="N76" s="1">
        <f t="shared" si="36"/>
        <v>0</v>
      </c>
      <c r="O76" s="1">
        <f t="shared" si="36"/>
        <v>0</v>
      </c>
      <c r="P76" s="1">
        <f t="shared" si="36"/>
        <v>0</v>
      </c>
      <c r="Q76" s="1">
        <f t="shared" si="36"/>
        <v>0</v>
      </c>
    </row>
    <row r="77" spans="1:17" x14ac:dyDescent="0.2">
      <c r="A77" t="s">
        <v>124</v>
      </c>
      <c r="C77" s="119"/>
      <c r="D77" s="129"/>
      <c r="E77" s="133"/>
      <c r="F77" s="19">
        <v>0</v>
      </c>
      <c r="G77" s="1">
        <v>0</v>
      </c>
      <c r="H77" s="1">
        <f t="shared" ref="H77:Q77" si="37">G77</f>
        <v>0</v>
      </c>
      <c r="I77" s="1">
        <f t="shared" si="37"/>
        <v>0</v>
      </c>
      <c r="J77" s="1">
        <f t="shared" si="37"/>
        <v>0</v>
      </c>
      <c r="K77" s="1">
        <f t="shared" si="37"/>
        <v>0</v>
      </c>
      <c r="L77" s="1">
        <f t="shared" si="37"/>
        <v>0</v>
      </c>
      <c r="M77" s="1">
        <f t="shared" si="37"/>
        <v>0</v>
      </c>
      <c r="N77" s="1">
        <f t="shared" si="37"/>
        <v>0</v>
      </c>
      <c r="O77" s="1">
        <f t="shared" si="37"/>
        <v>0</v>
      </c>
      <c r="P77" s="1">
        <f t="shared" si="37"/>
        <v>0</v>
      </c>
      <c r="Q77" s="1">
        <f t="shared" si="37"/>
        <v>0</v>
      </c>
    </row>
    <row r="78" spans="1:17" x14ac:dyDescent="0.2">
      <c r="A78" t="s">
        <v>109</v>
      </c>
      <c r="C78" s="119"/>
      <c r="D78" s="129"/>
      <c r="E78" s="133"/>
      <c r="F78" s="19">
        <v>0</v>
      </c>
      <c r="G78" s="1">
        <v>0</v>
      </c>
      <c r="H78" s="1">
        <f t="shared" ref="H78:Q78" si="38">G78</f>
        <v>0</v>
      </c>
      <c r="I78" s="1">
        <f t="shared" si="38"/>
        <v>0</v>
      </c>
      <c r="J78" s="1">
        <f t="shared" si="38"/>
        <v>0</v>
      </c>
      <c r="K78" s="1">
        <f t="shared" si="38"/>
        <v>0</v>
      </c>
      <c r="L78" s="1">
        <f t="shared" si="38"/>
        <v>0</v>
      </c>
      <c r="M78" s="1">
        <f t="shared" si="38"/>
        <v>0</v>
      </c>
      <c r="N78" s="1">
        <f t="shared" si="38"/>
        <v>0</v>
      </c>
      <c r="O78" s="1">
        <f t="shared" si="38"/>
        <v>0</v>
      </c>
      <c r="P78" s="1">
        <f t="shared" si="38"/>
        <v>0</v>
      </c>
      <c r="Q78" s="1">
        <f t="shared" si="38"/>
        <v>0</v>
      </c>
    </row>
    <row r="79" spans="1:17" x14ac:dyDescent="0.2">
      <c r="A79" t="s">
        <v>110</v>
      </c>
      <c r="C79" s="119"/>
      <c r="D79" s="129"/>
      <c r="E79" s="133"/>
      <c r="F79" s="19">
        <v>0</v>
      </c>
      <c r="G79" s="1">
        <v>0</v>
      </c>
      <c r="H79" s="1">
        <f t="shared" ref="H79:Q79" si="39">G79</f>
        <v>0</v>
      </c>
      <c r="I79" s="1">
        <f t="shared" si="39"/>
        <v>0</v>
      </c>
      <c r="J79" s="1">
        <f t="shared" si="39"/>
        <v>0</v>
      </c>
      <c r="K79" s="1">
        <f t="shared" si="39"/>
        <v>0</v>
      </c>
      <c r="L79" s="1">
        <f t="shared" si="39"/>
        <v>0</v>
      </c>
      <c r="M79" s="1">
        <f t="shared" si="39"/>
        <v>0</v>
      </c>
      <c r="N79" s="1">
        <f t="shared" si="39"/>
        <v>0</v>
      </c>
      <c r="O79" s="1">
        <f t="shared" si="39"/>
        <v>0</v>
      </c>
      <c r="P79" s="1">
        <f t="shared" si="39"/>
        <v>0</v>
      </c>
      <c r="Q79" s="1">
        <f t="shared" si="39"/>
        <v>0</v>
      </c>
    </row>
    <row r="80" spans="1:17" x14ac:dyDescent="0.2">
      <c r="A80" t="s">
        <v>129</v>
      </c>
      <c r="C80" s="119"/>
      <c r="D80" s="129"/>
      <c r="E80" s="133"/>
      <c r="F80" s="19">
        <v>0</v>
      </c>
      <c r="G80" s="1">
        <v>0</v>
      </c>
      <c r="H80" s="1">
        <f t="shared" ref="H80:Q80" si="40">G80</f>
        <v>0</v>
      </c>
      <c r="I80" s="1">
        <f t="shared" si="40"/>
        <v>0</v>
      </c>
      <c r="J80" s="1">
        <f t="shared" si="40"/>
        <v>0</v>
      </c>
      <c r="K80" s="1">
        <f t="shared" si="40"/>
        <v>0</v>
      </c>
      <c r="L80" s="1">
        <f t="shared" si="40"/>
        <v>0</v>
      </c>
      <c r="M80" s="1">
        <f t="shared" si="40"/>
        <v>0</v>
      </c>
      <c r="N80" s="1">
        <f t="shared" si="40"/>
        <v>0</v>
      </c>
      <c r="O80" s="1">
        <f t="shared" si="40"/>
        <v>0</v>
      </c>
      <c r="P80" s="1">
        <f t="shared" si="40"/>
        <v>0</v>
      </c>
      <c r="Q80" s="1">
        <f t="shared" si="40"/>
        <v>0</v>
      </c>
    </row>
    <row r="81" spans="1:17" x14ac:dyDescent="0.2">
      <c r="A81" t="s">
        <v>125</v>
      </c>
      <c r="C81" s="119"/>
      <c r="D81" s="129"/>
      <c r="E81" s="133"/>
      <c r="F81" s="19">
        <v>0</v>
      </c>
      <c r="G81" s="1">
        <v>0</v>
      </c>
      <c r="H81" s="1">
        <f t="shared" ref="H81:Q81" si="41">G81</f>
        <v>0</v>
      </c>
      <c r="I81" s="1">
        <f t="shared" si="41"/>
        <v>0</v>
      </c>
      <c r="J81" s="1">
        <f t="shared" si="41"/>
        <v>0</v>
      </c>
      <c r="K81" s="1">
        <f t="shared" si="41"/>
        <v>0</v>
      </c>
      <c r="L81" s="1">
        <f t="shared" si="41"/>
        <v>0</v>
      </c>
      <c r="M81" s="1">
        <f t="shared" si="41"/>
        <v>0</v>
      </c>
      <c r="N81" s="1">
        <f t="shared" si="41"/>
        <v>0</v>
      </c>
      <c r="O81" s="1">
        <f t="shared" si="41"/>
        <v>0</v>
      </c>
      <c r="P81" s="1">
        <f t="shared" si="41"/>
        <v>0</v>
      </c>
      <c r="Q81" s="1">
        <f t="shared" si="41"/>
        <v>0</v>
      </c>
    </row>
    <row r="82" spans="1:17" x14ac:dyDescent="0.2">
      <c r="A82" t="s">
        <v>111</v>
      </c>
      <c r="C82" s="119"/>
      <c r="D82" s="129"/>
      <c r="E82" s="133"/>
      <c r="F82" s="19">
        <v>0</v>
      </c>
      <c r="G82" s="1">
        <v>0</v>
      </c>
      <c r="H82" s="1">
        <f t="shared" ref="H82:Q82" si="42">G82</f>
        <v>0</v>
      </c>
      <c r="I82" s="1">
        <f t="shared" si="42"/>
        <v>0</v>
      </c>
      <c r="J82" s="1">
        <f t="shared" si="42"/>
        <v>0</v>
      </c>
      <c r="K82" s="1">
        <f t="shared" si="42"/>
        <v>0</v>
      </c>
      <c r="L82" s="1">
        <f t="shared" si="42"/>
        <v>0</v>
      </c>
      <c r="M82" s="1">
        <f t="shared" si="42"/>
        <v>0</v>
      </c>
      <c r="N82" s="1">
        <f t="shared" si="42"/>
        <v>0</v>
      </c>
      <c r="O82" s="1">
        <f t="shared" si="42"/>
        <v>0</v>
      </c>
      <c r="P82" s="1">
        <f t="shared" si="42"/>
        <v>0</v>
      </c>
      <c r="Q82" s="1">
        <f t="shared" si="42"/>
        <v>0</v>
      </c>
    </row>
    <row r="83" spans="1:17" x14ac:dyDescent="0.2">
      <c r="A83" t="s">
        <v>99</v>
      </c>
      <c r="C83" s="119"/>
      <c r="D83" s="129"/>
      <c r="E83" s="133"/>
      <c r="F83" s="19">
        <v>0</v>
      </c>
      <c r="G83" s="1">
        <v>0</v>
      </c>
      <c r="H83" s="1">
        <f t="shared" ref="H83:Q83" si="43">G83</f>
        <v>0</v>
      </c>
      <c r="I83" s="1">
        <f t="shared" si="43"/>
        <v>0</v>
      </c>
      <c r="J83" s="1">
        <f t="shared" si="43"/>
        <v>0</v>
      </c>
      <c r="K83" s="1">
        <f t="shared" si="43"/>
        <v>0</v>
      </c>
      <c r="L83" s="1">
        <f t="shared" si="43"/>
        <v>0</v>
      </c>
      <c r="M83" s="1">
        <f t="shared" si="43"/>
        <v>0</v>
      </c>
      <c r="N83" s="1">
        <f t="shared" si="43"/>
        <v>0</v>
      </c>
      <c r="O83" s="1">
        <f t="shared" si="43"/>
        <v>0</v>
      </c>
      <c r="P83" s="1">
        <f t="shared" si="43"/>
        <v>0</v>
      </c>
      <c r="Q83" s="1">
        <f t="shared" si="43"/>
        <v>0</v>
      </c>
    </row>
    <row r="84" spans="1:17" x14ac:dyDescent="0.2">
      <c r="A84" s="45" t="s">
        <v>113</v>
      </c>
      <c r="C84" s="119"/>
      <c r="D84" s="129"/>
      <c r="E84" s="133"/>
      <c r="F84" s="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t="s">
        <v>114</v>
      </c>
      <c r="C85" s="119"/>
      <c r="D85" s="129"/>
      <c r="E85" s="133"/>
      <c r="F85" s="19">
        <v>2574</v>
      </c>
      <c r="G85" s="1">
        <v>2574</v>
      </c>
      <c r="H85" s="1">
        <f>G85</f>
        <v>2574</v>
      </c>
      <c r="I85" s="1">
        <f t="shared" ref="I85:Q85" si="44">H85</f>
        <v>2574</v>
      </c>
      <c r="J85" s="1">
        <f t="shared" si="44"/>
        <v>2574</v>
      </c>
      <c r="K85" s="1">
        <f t="shared" si="44"/>
        <v>2574</v>
      </c>
      <c r="L85" s="1">
        <f t="shared" si="44"/>
        <v>2574</v>
      </c>
      <c r="M85" s="1">
        <f t="shared" si="44"/>
        <v>2574</v>
      </c>
      <c r="N85" s="1">
        <f t="shared" si="44"/>
        <v>2574</v>
      </c>
      <c r="O85" s="1">
        <f t="shared" si="44"/>
        <v>2574</v>
      </c>
      <c r="P85" s="1">
        <f t="shared" si="44"/>
        <v>2574</v>
      </c>
      <c r="Q85" s="1">
        <f t="shared" si="44"/>
        <v>2574</v>
      </c>
    </row>
    <row r="86" spans="1:17" x14ac:dyDescent="0.2">
      <c r="A86" t="s">
        <v>130</v>
      </c>
      <c r="C86" s="119"/>
      <c r="D86" s="129"/>
      <c r="E86" s="133"/>
      <c r="F86" s="19">
        <v>0</v>
      </c>
      <c r="G86" s="1">
        <v>0</v>
      </c>
      <c r="H86" s="1">
        <f t="shared" ref="H86:Q86" si="45">G86</f>
        <v>0</v>
      </c>
      <c r="I86" s="1">
        <f t="shared" si="45"/>
        <v>0</v>
      </c>
      <c r="J86" s="1">
        <f t="shared" si="45"/>
        <v>0</v>
      </c>
      <c r="K86" s="1">
        <f t="shared" si="45"/>
        <v>0</v>
      </c>
      <c r="L86" s="1">
        <f t="shared" si="45"/>
        <v>0</v>
      </c>
      <c r="M86" s="1">
        <f t="shared" si="45"/>
        <v>0</v>
      </c>
      <c r="N86" s="1">
        <f t="shared" si="45"/>
        <v>0</v>
      </c>
      <c r="O86" s="1">
        <f t="shared" si="45"/>
        <v>0</v>
      </c>
      <c r="P86" s="1">
        <f t="shared" si="45"/>
        <v>0</v>
      </c>
      <c r="Q86" s="1">
        <f t="shared" si="45"/>
        <v>0</v>
      </c>
    </row>
    <row r="87" spans="1:17" x14ac:dyDescent="0.2">
      <c r="A87" t="s">
        <v>117</v>
      </c>
      <c r="C87" s="119"/>
      <c r="D87" s="129"/>
      <c r="E87" s="133"/>
      <c r="F87" s="19">
        <v>300</v>
      </c>
      <c r="G87" s="1">
        <v>400</v>
      </c>
      <c r="H87" s="1">
        <f t="shared" ref="H87:Q87" si="46">G87</f>
        <v>400</v>
      </c>
      <c r="I87" s="1">
        <f t="shared" si="46"/>
        <v>400</v>
      </c>
      <c r="J87" s="1">
        <f t="shared" si="46"/>
        <v>400</v>
      </c>
      <c r="K87" s="1">
        <f t="shared" si="46"/>
        <v>400</v>
      </c>
      <c r="L87" s="1">
        <f t="shared" si="46"/>
        <v>400</v>
      </c>
      <c r="M87" s="1">
        <f t="shared" si="46"/>
        <v>400</v>
      </c>
      <c r="N87" s="1">
        <f t="shared" si="46"/>
        <v>400</v>
      </c>
      <c r="O87" s="1">
        <f t="shared" si="46"/>
        <v>400</v>
      </c>
      <c r="P87" s="1">
        <f t="shared" si="46"/>
        <v>400</v>
      </c>
      <c r="Q87" s="1">
        <f t="shared" si="46"/>
        <v>400</v>
      </c>
    </row>
    <row r="88" spans="1:17" x14ac:dyDescent="0.2">
      <c r="A88" t="s">
        <v>131</v>
      </c>
      <c r="C88" s="119"/>
      <c r="D88" s="129"/>
      <c r="E88" s="133"/>
      <c r="F88" s="19">
        <v>0</v>
      </c>
      <c r="G88" s="1">
        <v>0</v>
      </c>
      <c r="H88" s="1">
        <f t="shared" ref="H88:Q88" si="47">G88</f>
        <v>0</v>
      </c>
      <c r="I88" s="1">
        <f t="shared" si="47"/>
        <v>0</v>
      </c>
      <c r="J88" s="1">
        <f t="shared" si="47"/>
        <v>0</v>
      </c>
      <c r="K88" s="1">
        <f t="shared" si="47"/>
        <v>0</v>
      </c>
      <c r="L88" s="1">
        <f t="shared" si="47"/>
        <v>0</v>
      </c>
      <c r="M88" s="1">
        <f t="shared" si="47"/>
        <v>0</v>
      </c>
      <c r="N88" s="1">
        <f t="shared" si="47"/>
        <v>0</v>
      </c>
      <c r="O88" s="1">
        <f t="shared" si="47"/>
        <v>0</v>
      </c>
      <c r="P88" s="1">
        <f t="shared" si="47"/>
        <v>0</v>
      </c>
      <c r="Q88" s="1">
        <f t="shared" si="47"/>
        <v>0</v>
      </c>
    </row>
    <row r="89" spans="1:17" ht="15" x14ac:dyDescent="0.35">
      <c r="A89" t="s">
        <v>118</v>
      </c>
      <c r="C89" s="119"/>
      <c r="D89" s="129"/>
      <c r="E89" s="158"/>
      <c r="F89" s="18">
        <v>0</v>
      </c>
      <c r="G89" s="6">
        <v>0</v>
      </c>
      <c r="H89" s="38">
        <f>G89</f>
        <v>0</v>
      </c>
      <c r="I89" s="38">
        <f t="shared" ref="I89:Q89" si="48">H89</f>
        <v>0</v>
      </c>
      <c r="J89" s="38">
        <f t="shared" si="48"/>
        <v>0</v>
      </c>
      <c r="K89" s="38">
        <f t="shared" si="48"/>
        <v>0</v>
      </c>
      <c r="L89" s="38">
        <f t="shared" si="48"/>
        <v>0</v>
      </c>
      <c r="M89" s="38">
        <f t="shared" si="48"/>
        <v>0</v>
      </c>
      <c r="N89" s="38">
        <f t="shared" si="48"/>
        <v>0</v>
      </c>
      <c r="O89" s="38">
        <f t="shared" si="48"/>
        <v>0</v>
      </c>
      <c r="P89" s="38">
        <f t="shared" si="48"/>
        <v>0</v>
      </c>
      <c r="Q89" s="38">
        <f t="shared" si="48"/>
        <v>0</v>
      </c>
    </row>
    <row r="90" spans="1:17" x14ac:dyDescent="0.2">
      <c r="A90" s="76" t="s">
        <v>0</v>
      </c>
      <c r="B90" s="157">
        <v>1</v>
      </c>
      <c r="C90" s="117">
        <v>1</v>
      </c>
      <c r="D90" s="129"/>
      <c r="E90" s="133"/>
      <c r="F90" s="30">
        <f>SUM(F72:F89)</f>
        <v>4122</v>
      </c>
      <c r="G90" s="109">
        <f t="shared" ref="G90:Q90" si="49">SUM(G72:G89)*$B$90+G91</f>
        <v>4294</v>
      </c>
      <c r="H90" s="109">
        <f t="shared" si="49"/>
        <v>4294</v>
      </c>
      <c r="I90" s="109">
        <f t="shared" si="49"/>
        <v>4294</v>
      </c>
      <c r="J90" s="109">
        <f t="shared" si="49"/>
        <v>4294</v>
      </c>
      <c r="K90" s="109">
        <f t="shared" si="49"/>
        <v>4294</v>
      </c>
      <c r="L90" s="109">
        <f t="shared" si="49"/>
        <v>4294</v>
      </c>
      <c r="M90" s="109">
        <f t="shared" si="49"/>
        <v>4294</v>
      </c>
      <c r="N90" s="109">
        <f t="shared" si="49"/>
        <v>4294</v>
      </c>
      <c r="O90" s="109">
        <f t="shared" si="49"/>
        <v>4294</v>
      </c>
      <c r="P90" s="109">
        <f t="shared" si="49"/>
        <v>4294</v>
      </c>
      <c r="Q90" s="109">
        <f t="shared" si="49"/>
        <v>4294</v>
      </c>
    </row>
    <row r="91" spans="1:17" x14ac:dyDescent="0.2">
      <c r="C91" s="119"/>
      <c r="F91" s="128" t="s">
        <v>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">
      <c r="C92" s="119"/>
    </row>
    <row r="93" spans="1:17" x14ac:dyDescent="0.2">
      <c r="A93" s="8" t="str">
        <f>Assumptions!B57</f>
        <v>2. Optimistic</v>
      </c>
      <c r="B93" s="157">
        <v>1</v>
      </c>
      <c r="C93" s="117">
        <v>2</v>
      </c>
      <c r="D93" s="129"/>
      <c r="F93" s="30">
        <f>F90</f>
        <v>4122</v>
      </c>
      <c r="G93" s="27">
        <f t="shared" ref="G93:Q93" si="50">F93*$B$93+G94</f>
        <v>4122</v>
      </c>
      <c r="H93" s="27">
        <f t="shared" si="50"/>
        <v>4122</v>
      </c>
      <c r="I93" s="27">
        <f t="shared" si="50"/>
        <v>4122</v>
      </c>
      <c r="J93" s="27">
        <f t="shared" si="50"/>
        <v>4122</v>
      </c>
      <c r="K93" s="27">
        <f t="shared" si="50"/>
        <v>4122</v>
      </c>
      <c r="L93" s="27">
        <f t="shared" si="50"/>
        <v>4122</v>
      </c>
      <c r="M93" s="27">
        <f t="shared" si="50"/>
        <v>4122</v>
      </c>
      <c r="N93" s="27">
        <f t="shared" si="50"/>
        <v>4122</v>
      </c>
      <c r="O93" s="27">
        <f t="shared" si="50"/>
        <v>4122</v>
      </c>
      <c r="P93" s="27">
        <f t="shared" si="50"/>
        <v>4122</v>
      </c>
      <c r="Q93" s="27">
        <f t="shared" si="50"/>
        <v>4122</v>
      </c>
    </row>
    <row r="94" spans="1:17" x14ac:dyDescent="0.2">
      <c r="A94" s="8"/>
      <c r="C94" s="120"/>
      <c r="F94" s="128" t="s">
        <v>45</v>
      </c>
      <c r="G94" s="1">
        <v>0</v>
      </c>
      <c r="H94" s="1">
        <v>0</v>
      </c>
      <c r="I94" s="1">
        <f t="shared" ref="I94:Q94" si="51">H94</f>
        <v>0</v>
      </c>
      <c r="J94" s="13">
        <f t="shared" si="51"/>
        <v>0</v>
      </c>
      <c r="K94" s="13">
        <f t="shared" si="51"/>
        <v>0</v>
      </c>
      <c r="L94" s="1">
        <f t="shared" si="51"/>
        <v>0</v>
      </c>
      <c r="M94" s="1">
        <f t="shared" si="51"/>
        <v>0</v>
      </c>
      <c r="N94" s="1">
        <f t="shared" si="51"/>
        <v>0</v>
      </c>
      <c r="O94" s="1">
        <f t="shared" si="51"/>
        <v>0</v>
      </c>
      <c r="P94" s="1">
        <f t="shared" si="51"/>
        <v>0</v>
      </c>
      <c r="Q94" s="1">
        <f t="shared" si="51"/>
        <v>0</v>
      </c>
    </row>
    <row r="95" spans="1:17" x14ac:dyDescent="0.2">
      <c r="A95" s="8"/>
      <c r="C95" s="120"/>
    </row>
    <row r="96" spans="1:17" x14ac:dyDescent="0.2">
      <c r="A96" s="8" t="str">
        <f>Assumptions!B58</f>
        <v>3. Pessimistic</v>
      </c>
      <c r="B96" s="157">
        <v>1.01</v>
      </c>
      <c r="C96" s="117">
        <v>3</v>
      </c>
      <c r="D96" s="129"/>
      <c r="F96" s="30">
        <f>F90</f>
        <v>4122</v>
      </c>
      <c r="G96" s="27">
        <f>G90</f>
        <v>4294</v>
      </c>
      <c r="H96" s="27">
        <f>H90</f>
        <v>4294</v>
      </c>
      <c r="I96" s="27">
        <f t="shared" ref="I96:Q96" si="52">H96*$B$96+I97</f>
        <v>4336.9399999999996</v>
      </c>
      <c r="J96" s="27">
        <f t="shared" si="52"/>
        <v>4380.3093999999992</v>
      </c>
      <c r="K96" s="27">
        <f t="shared" si="52"/>
        <v>4424.1124939999991</v>
      </c>
      <c r="L96" s="27">
        <f t="shared" si="52"/>
        <v>4468.3536189399993</v>
      </c>
      <c r="M96" s="27">
        <f t="shared" si="52"/>
        <v>4513.0371551293993</v>
      </c>
      <c r="N96" s="27">
        <f t="shared" si="52"/>
        <v>4558.1675266806933</v>
      </c>
      <c r="O96" s="27">
        <f t="shared" si="52"/>
        <v>4603.7492019475003</v>
      </c>
      <c r="P96" s="27">
        <f t="shared" si="52"/>
        <v>4649.7866939669757</v>
      </c>
      <c r="Q96" s="27">
        <f t="shared" si="52"/>
        <v>4696.2845609066453</v>
      </c>
    </row>
    <row r="97" spans="1:17" ht="13.5" thickBot="1" x14ac:dyDescent="0.25">
      <c r="C97" s="121"/>
      <c r="F97" s="128" t="s">
        <v>45</v>
      </c>
      <c r="G97" s="1">
        <v>0</v>
      </c>
      <c r="H97" s="1">
        <v>0</v>
      </c>
      <c r="I97" s="1">
        <f t="shared" ref="I97:Q97" si="53">H97</f>
        <v>0</v>
      </c>
      <c r="J97" s="13">
        <f t="shared" si="53"/>
        <v>0</v>
      </c>
      <c r="K97" s="13">
        <f t="shared" si="53"/>
        <v>0</v>
      </c>
      <c r="L97" s="1">
        <f t="shared" si="53"/>
        <v>0</v>
      </c>
      <c r="M97" s="1">
        <f t="shared" si="53"/>
        <v>0</v>
      </c>
      <c r="N97" s="1">
        <f t="shared" si="53"/>
        <v>0</v>
      </c>
      <c r="O97" s="1">
        <f t="shared" si="53"/>
        <v>0</v>
      </c>
      <c r="P97" s="1">
        <f t="shared" si="53"/>
        <v>0</v>
      </c>
      <c r="Q97" s="1">
        <f t="shared" si="53"/>
        <v>0</v>
      </c>
    </row>
    <row r="99" spans="1:17" x14ac:dyDescent="0.2">
      <c r="A99" s="7" t="s">
        <v>23</v>
      </c>
    </row>
    <row r="100" spans="1:17" x14ac:dyDescent="0.2">
      <c r="A100" t="s">
        <v>162</v>
      </c>
    </row>
    <row r="101" spans="1:17" x14ac:dyDescent="0.2">
      <c r="A101" t="s">
        <v>164</v>
      </c>
    </row>
    <row r="102" spans="1:17" x14ac:dyDescent="0.2">
      <c r="A102" s="9" t="s">
        <v>0</v>
      </c>
      <c r="F102" s="25">
        <f>SUM(F100:F101)</f>
        <v>0</v>
      </c>
      <c r="G102" s="25">
        <f t="shared" ref="G102:Q102" si="54">SUM(G100:G101)</f>
        <v>0</v>
      </c>
      <c r="H102" s="25">
        <f t="shared" si="54"/>
        <v>0</v>
      </c>
      <c r="I102" s="25">
        <f t="shared" si="54"/>
        <v>0</v>
      </c>
      <c r="J102" s="25">
        <f t="shared" si="54"/>
        <v>0</v>
      </c>
      <c r="K102" s="25">
        <f t="shared" si="54"/>
        <v>0</v>
      </c>
      <c r="L102" s="25">
        <f t="shared" si="54"/>
        <v>0</v>
      </c>
      <c r="M102" s="25">
        <f t="shared" si="54"/>
        <v>0</v>
      </c>
      <c r="N102" s="25">
        <f t="shared" si="54"/>
        <v>0</v>
      </c>
      <c r="O102" s="25">
        <f t="shared" si="54"/>
        <v>0</v>
      </c>
      <c r="P102" s="25">
        <f t="shared" si="54"/>
        <v>0</v>
      </c>
      <c r="Q102" s="25">
        <f t="shared" si="54"/>
        <v>0</v>
      </c>
    </row>
    <row r="103" spans="1:17" x14ac:dyDescent="0.2">
      <c r="A103" s="9"/>
    </row>
    <row r="104" spans="1:17" x14ac:dyDescent="0.2">
      <c r="A104" s="7" t="s">
        <v>90</v>
      </c>
    </row>
    <row r="105" spans="1:17" x14ac:dyDescent="0.2">
      <c r="A105" s="96" t="s">
        <v>44</v>
      </c>
      <c r="B105" s="24">
        <f>Assumptions!D20</f>
        <v>20</v>
      </c>
      <c r="C105" s="383">
        <f>OBLPurPrice</f>
        <v>67614.8828018598</v>
      </c>
      <c r="D105" s="13"/>
      <c r="E105" s="59"/>
      <c r="F105" s="19"/>
      <c r="G105" s="102">
        <f>1/B105</f>
        <v>0.05</v>
      </c>
      <c r="H105" s="79">
        <f t="shared" ref="H105:Q105" si="55">G105</f>
        <v>0.05</v>
      </c>
      <c r="I105" s="79">
        <f t="shared" si="55"/>
        <v>0.05</v>
      </c>
      <c r="J105" s="79">
        <f t="shared" si="55"/>
        <v>0.05</v>
      </c>
      <c r="K105" s="79">
        <f t="shared" si="55"/>
        <v>0.05</v>
      </c>
      <c r="L105" s="79">
        <f t="shared" si="55"/>
        <v>0.05</v>
      </c>
      <c r="M105" s="79">
        <f t="shared" si="55"/>
        <v>0.05</v>
      </c>
      <c r="N105" s="79">
        <f t="shared" si="55"/>
        <v>0.05</v>
      </c>
      <c r="O105" s="79">
        <f t="shared" si="55"/>
        <v>0.05</v>
      </c>
      <c r="P105" s="79">
        <f t="shared" si="55"/>
        <v>0.05</v>
      </c>
      <c r="Q105" s="80">
        <f t="shared" si="55"/>
        <v>0.05</v>
      </c>
    </row>
    <row r="106" spans="1:17" x14ac:dyDescent="0.2">
      <c r="A106" s="2" t="s">
        <v>10</v>
      </c>
      <c r="C106" s="103"/>
      <c r="D106" s="103"/>
      <c r="E106" s="59"/>
      <c r="F106" s="19"/>
      <c r="G106" s="33">
        <f>C105/B105</f>
        <v>3380.7441400929902</v>
      </c>
      <c r="H106" s="33">
        <f t="shared" ref="H106:Q106" si="56">+G106</f>
        <v>3380.7441400929902</v>
      </c>
      <c r="I106" s="33">
        <f t="shared" si="56"/>
        <v>3380.7441400929902</v>
      </c>
      <c r="J106" s="33">
        <f t="shared" si="56"/>
        <v>3380.7441400929902</v>
      </c>
      <c r="K106" s="33">
        <f t="shared" si="56"/>
        <v>3380.7441400929902</v>
      </c>
      <c r="L106" s="33">
        <f t="shared" si="56"/>
        <v>3380.7441400929902</v>
      </c>
      <c r="M106" s="33">
        <f t="shared" si="56"/>
        <v>3380.7441400929902</v>
      </c>
      <c r="N106" s="33">
        <f t="shared" si="56"/>
        <v>3380.7441400929902</v>
      </c>
      <c r="O106" s="33">
        <f t="shared" si="56"/>
        <v>3380.7441400929902</v>
      </c>
      <c r="P106" s="33">
        <f t="shared" si="56"/>
        <v>3380.7441400929902</v>
      </c>
      <c r="Q106" s="33">
        <f t="shared" si="56"/>
        <v>3380.7441400929902</v>
      </c>
    </row>
    <row r="107" spans="1:17" ht="15" x14ac:dyDescent="0.35">
      <c r="A107" s="2" t="s">
        <v>11</v>
      </c>
      <c r="E107" s="59"/>
      <c r="F107" s="19"/>
      <c r="G107" s="6">
        <f>($G$27*G105)</f>
        <v>0</v>
      </c>
      <c r="H107" s="6">
        <f>($G$27*H105)+($H$27*G105)</f>
        <v>0</v>
      </c>
      <c r="I107" s="6">
        <f>($G$27*I105)+($H$27*H105)+($I$27*G105)</f>
        <v>0</v>
      </c>
      <c r="J107" s="6">
        <f>($G$27*J105)+($H$27*I105)+($I$27*H105)+($J$27*G105)</f>
        <v>0</v>
      </c>
      <c r="K107" s="6">
        <f>($G$27*K105)+($H$27*J105)+($I$27*I105)+($J$27*H105)+($K$27*G105)</f>
        <v>0</v>
      </c>
      <c r="L107" s="6">
        <f>($G$27*L105)+($H$27*K105)+($I$27*J105)+($J$27*I105)+($K$27*H105)+($L$27*G105)</f>
        <v>0</v>
      </c>
      <c r="M107" s="6">
        <f>($G$27*M105)+($H$27*L105)+($I$27*K105)+($J$27*J105)+($K$27*I105)+($L$27*H105)+($M$27*G105)</f>
        <v>0</v>
      </c>
      <c r="N107" s="6">
        <f>($G$27*N105)+($H$27*M105)+($I$27*L105)+($J$27*K105)+($K$27*J105)+($L$27*I105)+($M$27*H105)+($N$27*G105)</f>
        <v>0</v>
      </c>
      <c r="O107" s="6">
        <f>($G$27*O105)+($H$27*N105)+($I$27*M105)+($J$27*L105)+($K$27*K105)+($L$27*J105)+($M$27*I105)+($N$27*H105)+($O$27*G105)</f>
        <v>0</v>
      </c>
      <c r="P107" s="6">
        <f>($G$27*P105)+($H$27*O105)+($I$27*N105)+($J$27*M105)+($K$27*L105)+($L$27*K105)+($M$27*J105)+($N$27*I105)+($O$27*H105)+($P$27*G105)</f>
        <v>0</v>
      </c>
      <c r="Q107" s="6">
        <f>($G$27*Q105)+($H$27*P105)+($I$27*O105)+($J$27*N105)+($K$27*M105)+($L$27*L105)+($M$27*K105)+($N$27*J105)+($O$27*I105)+($P$27*H105)+($Q$27*G105)</f>
        <v>0</v>
      </c>
    </row>
    <row r="108" spans="1:17" x14ac:dyDescent="0.2">
      <c r="A108" s="9" t="s">
        <v>0</v>
      </c>
      <c r="E108" s="59"/>
      <c r="F108" s="19"/>
      <c r="G108" s="1">
        <f t="shared" ref="G108:Q108" si="57">SUM(G106:G107)</f>
        <v>3380.7441400929902</v>
      </c>
      <c r="H108" s="1">
        <f t="shared" si="57"/>
        <v>3380.7441400929902</v>
      </c>
      <c r="I108" s="1">
        <f t="shared" si="57"/>
        <v>3380.7441400929902</v>
      </c>
      <c r="J108" s="13">
        <f t="shared" si="57"/>
        <v>3380.7441400929902</v>
      </c>
      <c r="K108" s="13">
        <f t="shared" si="57"/>
        <v>3380.7441400929902</v>
      </c>
      <c r="L108" s="1">
        <f t="shared" si="57"/>
        <v>3380.7441400929902</v>
      </c>
      <c r="M108" s="1">
        <f t="shared" si="57"/>
        <v>3380.7441400929902</v>
      </c>
      <c r="N108" s="1">
        <f t="shared" si="57"/>
        <v>3380.7441400929902</v>
      </c>
      <c r="O108" s="1">
        <f t="shared" si="57"/>
        <v>3380.7441400929902</v>
      </c>
      <c r="P108" s="1">
        <f t="shared" si="57"/>
        <v>3380.7441400929902</v>
      </c>
      <c r="Q108" s="1">
        <f t="shared" si="57"/>
        <v>3380.7441400929902</v>
      </c>
    </row>
    <row r="109" spans="1:17" x14ac:dyDescent="0.2">
      <c r="A109" s="1"/>
      <c r="E109" s="59"/>
      <c r="F109" s="19"/>
      <c r="G109" s="1"/>
      <c r="H109" s="1"/>
      <c r="I109" s="1"/>
      <c r="J109" s="13"/>
      <c r="K109" s="13"/>
      <c r="L109" s="1"/>
      <c r="M109" s="1"/>
      <c r="N109" s="1"/>
      <c r="O109" s="1"/>
      <c r="P109" s="1"/>
      <c r="Q109" s="1"/>
    </row>
    <row r="110" spans="1:17" x14ac:dyDescent="0.2">
      <c r="A110" s="99" t="s">
        <v>9</v>
      </c>
      <c r="E110" s="59"/>
      <c r="F110" s="19"/>
      <c r="G110" s="71">
        <v>0.05</v>
      </c>
      <c r="H110" s="72">
        <v>9.5000000000000001E-2</v>
      </c>
      <c r="I110" s="72">
        <v>8.5500000000000007E-2</v>
      </c>
      <c r="J110" s="72">
        <v>7.6999999999999999E-2</v>
      </c>
      <c r="K110" s="72">
        <v>6.93E-2</v>
      </c>
      <c r="L110" s="72">
        <v>6.2300000000000001E-2</v>
      </c>
      <c r="M110" s="72">
        <v>5.8999999999999997E-2</v>
      </c>
      <c r="N110" s="72">
        <v>5.8999999999999997E-2</v>
      </c>
      <c r="O110" s="72">
        <v>5.91E-2</v>
      </c>
      <c r="P110" s="72">
        <v>5.8999999999999997E-2</v>
      </c>
      <c r="Q110" s="73">
        <v>5.91E-2</v>
      </c>
    </row>
    <row r="111" spans="1:17" x14ac:dyDescent="0.2">
      <c r="A111" s="2" t="s">
        <v>10</v>
      </c>
      <c r="B111" s="15"/>
      <c r="E111" s="59"/>
      <c r="F111" s="19"/>
      <c r="G111" s="1">
        <f t="shared" ref="G111:Q111" si="58">G110*$C$105</f>
        <v>3380.7441400929902</v>
      </c>
      <c r="H111" s="1">
        <f t="shared" si="58"/>
        <v>6423.413866176681</v>
      </c>
      <c r="I111" s="1">
        <f t="shared" si="58"/>
        <v>5781.0724795590131</v>
      </c>
      <c r="J111" s="1">
        <f t="shared" si="58"/>
        <v>5206.3459757432047</v>
      </c>
      <c r="K111" s="1">
        <f t="shared" si="58"/>
        <v>4685.711378168884</v>
      </c>
      <c r="L111" s="1">
        <f t="shared" si="58"/>
        <v>4212.4071985558658</v>
      </c>
      <c r="M111" s="1">
        <f t="shared" si="58"/>
        <v>3989.2780853097279</v>
      </c>
      <c r="N111" s="1">
        <f t="shared" si="58"/>
        <v>3989.2780853097279</v>
      </c>
      <c r="O111" s="1">
        <f t="shared" si="58"/>
        <v>3996.0395735899142</v>
      </c>
      <c r="P111" s="1">
        <f t="shared" si="58"/>
        <v>3989.2780853097279</v>
      </c>
      <c r="Q111" s="1">
        <f t="shared" si="58"/>
        <v>3996.0395735899142</v>
      </c>
    </row>
    <row r="112" spans="1:17" ht="15" x14ac:dyDescent="0.35">
      <c r="A112" s="2" t="s">
        <v>11</v>
      </c>
      <c r="B112" s="16"/>
      <c r="E112" s="130"/>
      <c r="F112" s="19"/>
      <c r="G112" s="6">
        <f>($G$27*G$110)</f>
        <v>0</v>
      </c>
      <c r="H112" s="6">
        <f>($G$27*H110)+($H$27*G110)</f>
        <v>0</v>
      </c>
      <c r="I112" s="6">
        <f>($G$27*I110)+($H$27*H110)+($I$27*G110)</f>
        <v>0</v>
      </c>
      <c r="J112" s="6">
        <f>($G$27*J110)+($H$27*I110)+($I$27*H110)+($J$27*G110)</f>
        <v>0</v>
      </c>
      <c r="K112" s="6">
        <f>($G$27*K110)+($H$27*J110)+($I$27*I110)+($J$27*H110)+($K$27*G110)</f>
        <v>0</v>
      </c>
      <c r="L112" s="6">
        <f>($G$27*L110)+($H$27*K110)+($I$27*J110)+($J$27*I110)+($K$27*H110)+($L$27*G110)</f>
        <v>0</v>
      </c>
      <c r="M112" s="6">
        <f>($G$27*M110)+($H$27*L110)+($I$27*K110)+($J$27*J110)+($K$27*I110)+($L$27*H110)+($M$27*G110)</f>
        <v>0</v>
      </c>
      <c r="N112" s="6">
        <f>($G$27*N110)+($H$27*M110)+($I$27*L110)+($J$27*K110)+($K$27*J110)+($L$27*I110)+($M$27*H110)+($N$27*G110)</f>
        <v>0</v>
      </c>
      <c r="O112" s="6">
        <f>($G$27*O110)+($H$27*N110)+($I$27*M110)+($J$27*L110)+($K$27*K110)+($L$27*J110)+($M$27*I110)+($N$27*H110)+($O$27*G110)</f>
        <v>0</v>
      </c>
      <c r="P112" s="6">
        <f>($G$27*P110)+($H$27*O110)+($I$27*N110)+($J$27*M110)+($K$27*L110)+($L$27*K110)+($M$27*J110)+($N$27*I110)+($O$27*H110)+($P$27*G110)</f>
        <v>0</v>
      </c>
      <c r="Q112" s="6">
        <f>($G$27*Q110)+($H$27*P110)+($I$27*O110)+($J$27*N110)+($K$27*M110)+($L$27*L110)+($M$27*K110)+($N$27*J110)+($O$27*I110)+($P$27*H110)+($Q$27*G110)</f>
        <v>0</v>
      </c>
    </row>
    <row r="113" spans="1:17" x14ac:dyDescent="0.2">
      <c r="A113" s="9" t="s">
        <v>0</v>
      </c>
      <c r="E113" s="59"/>
      <c r="F113" s="19"/>
      <c r="G113" s="1">
        <f t="shared" ref="G113:Q113" si="59">SUM(G111:G112)</f>
        <v>3380.7441400929902</v>
      </c>
      <c r="H113" s="1">
        <f t="shared" si="59"/>
        <v>6423.413866176681</v>
      </c>
      <c r="I113" s="1">
        <f t="shared" si="59"/>
        <v>5781.0724795590131</v>
      </c>
      <c r="J113" s="13">
        <f t="shared" si="59"/>
        <v>5206.3459757432047</v>
      </c>
      <c r="K113" s="13">
        <f t="shared" si="59"/>
        <v>4685.711378168884</v>
      </c>
      <c r="L113" s="1">
        <f t="shared" si="59"/>
        <v>4212.4071985558658</v>
      </c>
      <c r="M113" s="1">
        <f t="shared" si="59"/>
        <v>3989.2780853097279</v>
      </c>
      <c r="N113" s="1">
        <f t="shared" si="59"/>
        <v>3989.2780853097279</v>
      </c>
      <c r="O113" s="1">
        <f t="shared" si="59"/>
        <v>3996.0395735899142</v>
      </c>
      <c r="P113" s="1">
        <f t="shared" si="59"/>
        <v>3989.2780853097279</v>
      </c>
      <c r="Q113" s="1">
        <f t="shared" si="59"/>
        <v>3996.0395735899142</v>
      </c>
    </row>
  </sheetData>
  <mergeCells count="1">
    <mergeCell ref="K31:M31"/>
  </mergeCells>
  <phoneticPr fontId="0" type="noConversion"/>
  <conditionalFormatting sqref="D93 D96 D60 D57 C9:D9 D12:D13 D45:D54 D72:D90">
    <cfRule type="cellIs" dxfId="0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7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2.75" x14ac:dyDescent="0.2"/>
  <cols>
    <col min="1" max="1" width="36.42578125" bestFit="1" customWidth="1"/>
    <col min="2" max="3" width="12.85546875" customWidth="1"/>
    <col min="4" max="4" width="12.7109375" customWidth="1"/>
    <col min="5" max="5" width="9.85546875" customWidth="1"/>
  </cols>
  <sheetData>
    <row r="1" spans="1:5" ht="18" x14ac:dyDescent="0.25">
      <c r="A1" s="301" t="str">
        <f>Assumptions!D5</f>
        <v>PG&amp;E Gas Transmission</v>
      </c>
      <c r="B1" s="8"/>
    </row>
    <row r="2" spans="1:5" ht="15.75" x14ac:dyDescent="0.25">
      <c r="A2" s="365" t="s">
        <v>43</v>
      </c>
      <c r="B2" s="8"/>
    </row>
    <row r="3" spans="1:5" x14ac:dyDescent="0.2">
      <c r="B3" s="91"/>
    </row>
    <row r="4" spans="1:5" x14ac:dyDescent="0.2">
      <c r="A4" s="21"/>
      <c r="B4" s="168">
        <v>36708</v>
      </c>
      <c r="C4" s="49" t="s">
        <v>35</v>
      </c>
      <c r="D4" s="49" t="s">
        <v>36</v>
      </c>
    </row>
    <row r="5" spans="1:5" x14ac:dyDescent="0.2">
      <c r="A5" s="7"/>
      <c r="B5" s="88"/>
      <c r="C5" s="49"/>
      <c r="D5" s="49"/>
    </row>
    <row r="6" spans="1:5" x14ac:dyDescent="0.2">
      <c r="A6" t="s">
        <v>5</v>
      </c>
    </row>
    <row r="7" spans="1:5" x14ac:dyDescent="0.2">
      <c r="A7" t="s">
        <v>137</v>
      </c>
    </row>
    <row r="8" spans="1:5" x14ac:dyDescent="0.2">
      <c r="A8" s="75" t="s">
        <v>135</v>
      </c>
      <c r="B8" s="27"/>
      <c r="C8" s="11"/>
      <c r="D8" s="11"/>
      <c r="E8" s="11"/>
    </row>
    <row r="9" spans="1:5" x14ac:dyDescent="0.2">
      <c r="A9" s="75" t="s">
        <v>138</v>
      </c>
      <c r="B9" s="27">
        <v>-1535</v>
      </c>
      <c r="C9" s="11">
        <v>0</v>
      </c>
      <c r="D9" s="5">
        <f t="shared" ref="D9:D15" si="0">SUM(B9:C9)</f>
        <v>-1535</v>
      </c>
      <c r="E9" s="11"/>
    </row>
    <row r="10" spans="1:5" x14ac:dyDescent="0.2">
      <c r="A10" s="75" t="s">
        <v>139</v>
      </c>
      <c r="B10" s="27">
        <v>2763</v>
      </c>
      <c r="C10" s="11">
        <v>0</v>
      </c>
      <c r="D10" s="5">
        <f t="shared" si="0"/>
        <v>2763</v>
      </c>
      <c r="E10" s="11"/>
    </row>
    <row r="11" spans="1:5" x14ac:dyDescent="0.2">
      <c r="A11" t="s">
        <v>136</v>
      </c>
      <c r="B11" s="166">
        <v>7</v>
      </c>
      <c r="C11" s="5">
        <v>0</v>
      </c>
      <c r="D11" s="5">
        <f t="shared" si="0"/>
        <v>7</v>
      </c>
      <c r="E11" s="11"/>
    </row>
    <row r="12" spans="1:5" x14ac:dyDescent="0.2">
      <c r="A12" s="75" t="s">
        <v>132</v>
      </c>
      <c r="B12" s="27">
        <v>27020</v>
      </c>
      <c r="C12" s="5">
        <v>0</v>
      </c>
      <c r="D12" s="5">
        <f t="shared" si="0"/>
        <v>27020</v>
      </c>
      <c r="E12" s="11"/>
    </row>
    <row r="13" spans="1:5" x14ac:dyDescent="0.2">
      <c r="A13" s="75" t="s">
        <v>133</v>
      </c>
      <c r="B13" s="27">
        <v>9110</v>
      </c>
      <c r="C13" s="5">
        <v>0</v>
      </c>
      <c r="D13" s="5">
        <f t="shared" si="0"/>
        <v>9110</v>
      </c>
      <c r="E13" s="11"/>
    </row>
    <row r="14" spans="1:5" x14ac:dyDescent="0.2">
      <c r="A14" s="75" t="s">
        <v>134</v>
      </c>
      <c r="B14" s="27">
        <v>0</v>
      </c>
      <c r="C14" s="5">
        <v>0</v>
      </c>
      <c r="D14" s="5">
        <f t="shared" si="0"/>
        <v>0</v>
      </c>
      <c r="E14" s="11"/>
    </row>
    <row r="15" spans="1:5" ht="15" x14ac:dyDescent="0.35">
      <c r="A15" s="75" t="s">
        <v>140</v>
      </c>
      <c r="B15" s="38">
        <v>10850</v>
      </c>
      <c r="C15" s="3">
        <v>0</v>
      </c>
      <c r="D15" s="3">
        <f t="shared" si="0"/>
        <v>10850</v>
      </c>
      <c r="E15" s="11"/>
    </row>
    <row r="16" spans="1:5" x14ac:dyDescent="0.2">
      <c r="A16" s="76" t="s">
        <v>42</v>
      </c>
      <c r="B16" s="89">
        <f>SUM(B9:B15)</f>
        <v>48215</v>
      </c>
      <c r="C16" s="89">
        <f>SUM(C9:C15)</f>
        <v>0</v>
      </c>
      <c r="D16" s="89">
        <f>SUM(D9:D15)</f>
        <v>48215</v>
      </c>
      <c r="E16" s="11"/>
    </row>
    <row r="17" spans="1:5" x14ac:dyDescent="0.2">
      <c r="A17" s="123" t="s">
        <v>141</v>
      </c>
      <c r="B17" s="89"/>
      <c r="C17" s="89"/>
      <c r="D17" s="89"/>
      <c r="E17" s="11"/>
    </row>
    <row r="18" spans="1:5" x14ac:dyDescent="0.2">
      <c r="A18" s="123" t="s">
        <v>142</v>
      </c>
      <c r="B18" s="89">
        <v>102263</v>
      </c>
      <c r="C18" s="5">
        <v>0</v>
      </c>
      <c r="D18" s="5">
        <f>SUM(B18:C18)</f>
        <v>102263</v>
      </c>
      <c r="E18" s="11"/>
    </row>
    <row r="19" spans="1:5" ht="15" x14ac:dyDescent="0.35">
      <c r="A19" s="123" t="s">
        <v>143</v>
      </c>
      <c r="B19" s="90">
        <v>-19169</v>
      </c>
      <c r="C19" s="3">
        <v>0</v>
      </c>
      <c r="D19" s="3">
        <f>SUM(B19:C19)</f>
        <v>-19169</v>
      </c>
      <c r="E19" s="11"/>
    </row>
    <row r="20" spans="1:5" x14ac:dyDescent="0.2">
      <c r="A20" s="76" t="s">
        <v>42</v>
      </c>
      <c r="B20" s="89">
        <f>B19+B18</f>
        <v>83094</v>
      </c>
      <c r="C20" s="89">
        <f>C19+C18</f>
        <v>0</v>
      </c>
      <c r="D20" s="89">
        <f>D19+D18</f>
        <v>83094</v>
      </c>
      <c r="E20" s="11"/>
    </row>
    <row r="21" spans="1:5" x14ac:dyDescent="0.2">
      <c r="A21" s="123" t="s">
        <v>144</v>
      </c>
      <c r="B21" s="89">
        <v>4875</v>
      </c>
      <c r="C21" s="5">
        <v>0</v>
      </c>
      <c r="D21" s="5">
        <f>SUM(B21:C21)</f>
        <v>4875</v>
      </c>
      <c r="E21" s="11"/>
    </row>
    <row r="22" spans="1:5" ht="13.5" thickBot="1" x14ac:dyDescent="0.25">
      <c r="A22" s="76"/>
      <c r="B22" s="89"/>
      <c r="C22" s="70"/>
      <c r="D22" s="70"/>
      <c r="E22" s="11"/>
    </row>
    <row r="23" spans="1:5" s="11" customFormat="1" ht="13.5" thickBot="1" x14ac:dyDescent="0.25">
      <c r="A23" s="144" t="s">
        <v>76</v>
      </c>
      <c r="B23" s="145">
        <f>B21+B20+B16</f>
        <v>136184</v>
      </c>
      <c r="C23" s="145">
        <f>C21+C20+C16</f>
        <v>0</v>
      </c>
      <c r="D23" s="167">
        <f>D21+D20+D16</f>
        <v>136184</v>
      </c>
    </row>
    <row r="24" spans="1:5" s="11" customFormat="1" ht="15" x14ac:dyDescent="0.35">
      <c r="A24" s="77"/>
      <c r="C24" s="48"/>
    </row>
    <row r="25" spans="1:5" x14ac:dyDescent="0.2">
      <c r="A25" t="s">
        <v>155</v>
      </c>
      <c r="C25" s="11"/>
      <c r="D25" s="11"/>
      <c r="E25" s="11"/>
    </row>
    <row r="26" spans="1:5" x14ac:dyDescent="0.2">
      <c r="A26" s="9"/>
      <c r="C26" s="11"/>
      <c r="D26" s="11"/>
      <c r="E26" s="11"/>
    </row>
    <row r="27" spans="1:5" x14ac:dyDescent="0.2">
      <c r="A27" s="75" t="s">
        <v>145</v>
      </c>
      <c r="C27" s="11"/>
      <c r="D27" s="11"/>
      <c r="E27" s="11"/>
    </row>
    <row r="28" spans="1:5" x14ac:dyDescent="0.2">
      <c r="A28" s="75" t="s">
        <v>146</v>
      </c>
      <c r="B28" s="147">
        <v>0</v>
      </c>
      <c r="C28" s="147">
        <v>0</v>
      </c>
      <c r="D28" s="5">
        <f t="shared" ref="D28:D33" si="1">SUM(B28:C28)</f>
        <v>0</v>
      </c>
      <c r="E28" s="11"/>
    </row>
    <row r="29" spans="1:5" x14ac:dyDescent="0.2">
      <c r="A29" s="75" t="s">
        <v>147</v>
      </c>
      <c r="B29" s="147">
        <v>6773</v>
      </c>
      <c r="C29" s="147">
        <v>0</v>
      </c>
      <c r="D29" s="5">
        <f t="shared" si="1"/>
        <v>6773</v>
      </c>
      <c r="E29" s="11"/>
    </row>
    <row r="30" spans="1:5" x14ac:dyDescent="0.2">
      <c r="A30" s="75" t="s">
        <v>148</v>
      </c>
      <c r="B30" s="147">
        <v>43</v>
      </c>
      <c r="C30" s="147">
        <v>0</v>
      </c>
      <c r="D30" s="5">
        <f t="shared" si="1"/>
        <v>43</v>
      </c>
      <c r="E30" s="11"/>
    </row>
    <row r="31" spans="1:5" x14ac:dyDescent="0.2">
      <c r="A31" s="75" t="s">
        <v>149</v>
      </c>
      <c r="B31" s="147">
        <v>2191</v>
      </c>
      <c r="C31" s="147">
        <v>0</v>
      </c>
      <c r="D31" s="5">
        <f t="shared" si="1"/>
        <v>2191</v>
      </c>
      <c r="E31" s="11"/>
    </row>
    <row r="32" spans="1:5" x14ac:dyDescent="0.2">
      <c r="A32" s="75" t="s">
        <v>150</v>
      </c>
      <c r="B32" s="147">
        <v>-11832</v>
      </c>
      <c r="C32" s="147">
        <v>0</v>
      </c>
      <c r="D32" s="5">
        <f t="shared" si="1"/>
        <v>-11832</v>
      </c>
      <c r="E32" s="11"/>
    </row>
    <row r="33" spans="1:5" ht="15" x14ac:dyDescent="0.35">
      <c r="A33" s="101" t="s">
        <v>151</v>
      </c>
      <c r="B33" s="90">
        <v>0</v>
      </c>
      <c r="C33" s="3">
        <v>0</v>
      </c>
      <c r="D33" s="3">
        <f t="shared" si="1"/>
        <v>0</v>
      </c>
      <c r="E33" s="11"/>
    </row>
    <row r="34" spans="1:5" x14ac:dyDescent="0.2">
      <c r="A34" s="9" t="s">
        <v>42</v>
      </c>
      <c r="B34" s="89">
        <f>SUM(B28:B33)</f>
        <v>-2825</v>
      </c>
      <c r="C34" s="89">
        <f>SUM(C28:C33)</f>
        <v>0</v>
      </c>
      <c r="D34" s="89">
        <f>SUM(D28:D33)</f>
        <v>-2825</v>
      </c>
      <c r="E34" s="11"/>
    </row>
    <row r="35" spans="1:5" x14ac:dyDescent="0.2">
      <c r="A35" s="101" t="s">
        <v>152</v>
      </c>
      <c r="B35" s="89"/>
      <c r="C35" s="11"/>
      <c r="D35" s="11"/>
      <c r="E35" s="11"/>
    </row>
    <row r="36" spans="1:5" x14ac:dyDescent="0.2">
      <c r="A36" s="101" t="s">
        <v>153</v>
      </c>
      <c r="B36" s="27">
        <v>0</v>
      </c>
      <c r="C36" s="11">
        <f>-B36</f>
        <v>0</v>
      </c>
      <c r="D36" s="11">
        <f>SUM(B36:C36)</f>
        <v>0</v>
      </c>
      <c r="E36" s="11"/>
    </row>
    <row r="37" spans="1:5" ht="15" x14ac:dyDescent="0.35">
      <c r="A37" s="101" t="s">
        <v>154</v>
      </c>
      <c r="B37" s="90">
        <v>-52378</v>
      </c>
      <c r="C37" s="3">
        <v>0</v>
      </c>
      <c r="D37" s="3">
        <f>SUM(B37:C37)</f>
        <v>-52378</v>
      </c>
      <c r="E37" s="11"/>
    </row>
    <row r="38" spans="1:5" x14ac:dyDescent="0.2">
      <c r="A38" s="9" t="s">
        <v>42</v>
      </c>
      <c r="B38" s="89">
        <f>SUM(B36:B37)</f>
        <v>-52378</v>
      </c>
      <c r="C38" s="11">
        <f>SUM(C36:C37)</f>
        <v>0</v>
      </c>
      <c r="D38" s="11">
        <f>SUM(D36:D37)</f>
        <v>-52378</v>
      </c>
      <c r="E38" s="11"/>
    </row>
    <row r="39" spans="1:5" x14ac:dyDescent="0.2">
      <c r="A39" s="101" t="s">
        <v>156</v>
      </c>
      <c r="B39" s="27"/>
      <c r="C39" s="11"/>
      <c r="D39" s="11"/>
      <c r="E39" s="11"/>
    </row>
    <row r="40" spans="1:5" x14ac:dyDescent="0.2">
      <c r="A40" s="101" t="s">
        <v>157</v>
      </c>
      <c r="B40" s="27">
        <v>0</v>
      </c>
      <c r="C40" s="11">
        <v>0</v>
      </c>
      <c r="D40" s="11">
        <f>SUM(B40:C40)</f>
        <v>0</v>
      </c>
      <c r="E40" s="11"/>
    </row>
    <row r="41" spans="1:5" x14ac:dyDescent="0.2">
      <c r="A41" s="101" t="s">
        <v>158</v>
      </c>
      <c r="B41" s="169">
        <v>575987</v>
      </c>
      <c r="C41" s="5">
        <v>0</v>
      </c>
      <c r="D41" s="5">
        <f>SUM(B41:C41)</f>
        <v>575987</v>
      </c>
      <c r="E41" s="11"/>
    </row>
    <row r="42" spans="1:5" ht="15" x14ac:dyDescent="0.35">
      <c r="A42" t="s">
        <v>159</v>
      </c>
      <c r="B42" s="90">
        <v>-384600</v>
      </c>
      <c r="C42" s="3">
        <v>0</v>
      </c>
      <c r="D42" s="3">
        <f>SUM(B42:C42)</f>
        <v>-384600</v>
      </c>
      <c r="E42" s="11"/>
    </row>
    <row r="43" spans="1:5" x14ac:dyDescent="0.2">
      <c r="A43" s="9" t="s">
        <v>42</v>
      </c>
      <c r="B43" s="89">
        <f>SUM(B40:B42)</f>
        <v>191387</v>
      </c>
      <c r="C43" s="89">
        <f>SUM(C40:C42)</f>
        <v>0</v>
      </c>
      <c r="D43" s="89">
        <f>SUM(D40:D42)</f>
        <v>191387</v>
      </c>
      <c r="E43" s="11"/>
    </row>
    <row r="44" spans="1:5" ht="13.5" thickBot="1" x14ac:dyDescent="0.25">
      <c r="C44" s="11"/>
      <c r="D44" s="11"/>
      <c r="E44" s="11"/>
    </row>
    <row r="45" spans="1:5" s="11" customFormat="1" ht="13.5" thickBot="1" x14ac:dyDescent="0.25">
      <c r="A45" s="144" t="s">
        <v>8</v>
      </c>
      <c r="B45" s="145">
        <f>B43+B38+B34</f>
        <v>136184</v>
      </c>
      <c r="C45" s="145">
        <f>C43+C38+C34</f>
        <v>0</v>
      </c>
      <c r="D45" s="167">
        <f>D43+D38+D34</f>
        <v>136184</v>
      </c>
    </row>
    <row r="46" spans="1:5" s="11" customFormat="1" x14ac:dyDescent="0.2">
      <c r="B46" s="11">
        <f>B23-B45</f>
        <v>0</v>
      </c>
      <c r="C46" s="11">
        <f>C23-C45</f>
        <v>0</v>
      </c>
      <c r="D46" s="11">
        <f>D23-D45</f>
        <v>0</v>
      </c>
    </row>
    <row r="47" spans="1:5" s="24" customFormat="1" x14ac:dyDescent="0.2">
      <c r="C47" s="5"/>
      <c r="D47" s="5"/>
      <c r="E47" s="5"/>
    </row>
    <row r="48" spans="1:5" x14ac:dyDescent="0.2">
      <c r="C48" s="11"/>
      <c r="D48" s="11"/>
      <c r="E48" s="11"/>
    </row>
    <row r="49" spans="3:5" x14ac:dyDescent="0.2">
      <c r="C49" s="11"/>
      <c r="D49" s="11"/>
      <c r="E49" s="11"/>
    </row>
    <row r="50" spans="3:5" x14ac:dyDescent="0.2">
      <c r="D50" s="11"/>
      <c r="E50" s="11"/>
    </row>
    <row r="51" spans="3:5" x14ac:dyDescent="0.2">
      <c r="C51" s="11"/>
      <c r="D51" s="11"/>
      <c r="E51" s="11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Explaination about this model</vt:lpstr>
      <vt:lpstr>Assumptions</vt:lpstr>
      <vt:lpstr>Summary</vt:lpstr>
      <vt:lpstr>Lev. Consolid</vt:lpstr>
      <vt:lpstr>Unlev. Consolid</vt:lpstr>
      <vt:lpstr>Asset 1</vt:lpstr>
      <vt:lpstr>Asset 2</vt:lpstr>
      <vt:lpstr>Asset 3</vt:lpstr>
      <vt:lpstr>Cons. BS</vt:lpstr>
      <vt:lpstr>Asset1Drate</vt:lpstr>
      <vt:lpstr>Asset1Loop</vt:lpstr>
      <vt:lpstr>Asset1NPVPrice</vt:lpstr>
      <vt:lpstr>Asset1PurPrice</vt:lpstr>
      <vt:lpstr>CDRate</vt:lpstr>
      <vt:lpstr>CLoop</vt:lpstr>
      <vt:lpstr>CNPVPrice</vt:lpstr>
      <vt:lpstr>ConsDRate</vt:lpstr>
      <vt:lpstr>CPurPrice</vt:lpstr>
      <vt:lpstr>MethDRate</vt:lpstr>
      <vt:lpstr>MethLoop</vt:lpstr>
      <vt:lpstr>MethNPVPrice</vt:lpstr>
      <vt:lpstr>MethPurPrice</vt:lpstr>
      <vt:lpstr>OBLDRate</vt:lpstr>
      <vt:lpstr>OBLLoop</vt:lpstr>
      <vt:lpstr>OBLNPVPrice</vt:lpstr>
      <vt:lpstr>OBLPurPrice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Jan Havlíček</cp:lastModifiedBy>
  <cp:lastPrinted>2001-02-28T15:46:48Z</cp:lastPrinted>
  <dcterms:created xsi:type="dcterms:W3CDTF">2000-03-09T01:43:06Z</dcterms:created>
  <dcterms:modified xsi:type="dcterms:W3CDTF">2023-09-14T18:32:46Z</dcterms:modified>
</cp:coreProperties>
</file>