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C922E3-8B46-46D7-B9BD-4AB75E51B5D3}" xr6:coauthVersionLast="47" xr6:coauthVersionMax="47" xr10:uidLastSave="{00000000-0000-0000-0000-000000000000}"/>
  <bookViews>
    <workbookView xWindow="-120" yWindow="-120" windowWidth="38640" windowHeight="15720" tabRatio="512"/>
  </bookViews>
  <sheets>
    <sheet name="Summary" sheetId="1" r:id="rId1"/>
    <sheet name="Chart1" sheetId="11" r:id="rId2"/>
    <sheet name="June 19 Power Cost Forecast" sheetId="7" r:id="rId3"/>
    <sheet name="June 19 deferral" sheetId="8" r:id="rId4"/>
    <sheet name="Budget Deferral" sheetId="5" r:id="rId5"/>
    <sheet name="June 7 Power Cost Forecast" sheetId="6" r:id="rId6"/>
    <sheet name="June 7 deferral" sheetId="4" r:id="rId7"/>
    <sheet name="May 8 Power Cost Forecast" sheetId="9" r:id="rId8"/>
    <sheet name="May 8 deferral" sheetId="10" r:id="rId9"/>
    <sheet name="Loads &amp; Revenues" sheetId="12" r:id="rId10"/>
    <sheet name="Sheet2" sheetId="2" r:id="rId11"/>
    <sheet name="Sheet3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_1Power_Cost_Output_Table9_.PrintPowerCostsSummaryPrint">[2]!'[Power_Cost_Output_Table9].PrintPowerCostsSummaryPrint'</definedName>
    <definedName name="_2Power_MWa_Output_Table9__.PrintMWaSummaryPrint">[2]!'[Power_MWa_Output_Table9 ].PrintMWaSummaryPrint'</definedName>
    <definedName name="all">#REF!</definedName>
    <definedName name="AnnualCapTable">#REF!</definedName>
    <definedName name="BegResources">#REF!</definedName>
    <definedName name="CapAddTable">#REF!</definedName>
    <definedName name="ccc">[0]!ccc</definedName>
    <definedName name="dayBegin">#REF!</definedName>
    <definedName name="Dialog_Button_click" localSheetId="3">'June 19 deferral'!Dialog_Button_click</definedName>
    <definedName name="Dialog_Button_click" localSheetId="2">'June 19 Power Cost Forecast'!Dialog_Button_click</definedName>
    <definedName name="Dialog_Button_click" localSheetId="8">'May 8 deferral'!Dialog_Button_click</definedName>
    <definedName name="Dialog_Button_click" localSheetId="7">'May 8 Power Cost Forecast'!Dialog_Button_click</definedName>
    <definedName name="Dialog_Button_click">[0]!Dialog_Button_click</definedName>
    <definedName name="dontcare" localSheetId="3">'June 19 deferral'!dontcare</definedName>
    <definedName name="dontcare" localSheetId="2">'June 19 Power Cost Forecast'!dontcare</definedName>
    <definedName name="dontcare" localSheetId="8">'May 8 deferral'!dontcare</definedName>
    <definedName name="dontcare" localSheetId="7">'May 8 Power Cost Forecast'!dontcare</definedName>
    <definedName name="dontcare">[0]!dontcare</definedName>
    <definedName name="EconTable">#REF!</definedName>
    <definedName name="ExpRegControl3" localSheetId="3">'June 19 deferral'!ExpRegControl3</definedName>
    <definedName name="ExpRegControl3" localSheetId="2">'June 19 Power Cost Forecast'!ExpRegControl3</definedName>
    <definedName name="ExpRegControl3" localSheetId="8">'May 8 deferral'!ExpRegControl3</definedName>
    <definedName name="ExpRegControl3" localSheetId="7">'May 8 Power Cost Forecast'!ExpRegControl3</definedName>
    <definedName name="ExpRegControl3">[0]!ExpRegControl3</definedName>
    <definedName name="FuelTable">#REF!</definedName>
    <definedName name="GasPriceAdjust">#REF!</definedName>
    <definedName name="GetCaseData" localSheetId="3">'June 19 deferral'!GetCaseData</definedName>
    <definedName name="GetCaseData" localSheetId="2">'June 19 Power Cost Forecast'!GetCaseData</definedName>
    <definedName name="GetCaseData" localSheetId="8">'May 8 deferral'!GetCaseData</definedName>
    <definedName name="GetCaseData" localSheetId="7">'May 8 Power Cost Forecast'!GetCaseData</definedName>
    <definedName name="GetCaseData">[0]!GetCaseData</definedName>
    <definedName name="GetHydroCaseData" localSheetId="3">'June 19 deferral'!GetHydroCaseData</definedName>
    <definedName name="GetHydroCaseData" localSheetId="2">'June 19 Power Cost Forecast'!GetHydroCaseData</definedName>
    <definedName name="GetHydroCaseData" localSheetId="8">'May 8 deferral'!GetHydroCaseData</definedName>
    <definedName name="GetHydroCaseData" localSheetId="7">'May 8 Power Cost Forecast'!GetHydroCaseData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List1">"List Box 14"</definedName>
    <definedName name="LocateCaseDialog" localSheetId="3">'June 19 deferral'!LocateCaseDialog</definedName>
    <definedName name="LocateCaseDialog" localSheetId="2">'June 19 Power Cost Forecast'!LocateCaseDialog</definedName>
    <definedName name="LocateCaseDialog" localSheetId="8">'May 8 deferral'!LocateCaseDialog</definedName>
    <definedName name="LocateCaseDialog" localSheetId="7">'May 8 Power Cost Forecast'!LocateCaseDialog</definedName>
    <definedName name="LocateCaseDialog">[0]!LocateCaseDialog</definedName>
    <definedName name="monthbeg">#REF!</definedName>
    <definedName name="newname">[2]!'[Power_MWa_Output_Table9 ].PrintMWaSummaryPrint'</definedName>
    <definedName name="NEWNAME1" localSheetId="3">'June 19 deferral'!NEWNAME1</definedName>
    <definedName name="NEWNAME1" localSheetId="2">'June 19 Power Cost Forecast'!NEWNAME1</definedName>
    <definedName name="NEWNAME1" localSheetId="8">'May 8 deferral'!NEWNAME1</definedName>
    <definedName name="NEWNAME1" localSheetId="7">'May 8 Power Cost Forecast'!NEWNAME1</definedName>
    <definedName name="NEWNAME1">[0]!NEWNAME1</definedName>
    <definedName name="Onpeak">#REF!</definedName>
    <definedName name="OptionAvailTable">#REF!</definedName>
    <definedName name="OptionDescTable">#REF!</definedName>
    <definedName name="PickACase" localSheetId="3">'June 19 deferral'!PickACase</definedName>
    <definedName name="PickACase" localSheetId="2">'June 19 Power Cost Forecast'!PickACase</definedName>
    <definedName name="PickACase" localSheetId="8">'May 8 deferral'!PickACase</definedName>
    <definedName name="PickACase" localSheetId="7">'May 8 Power Cost Forecast'!PickACase</definedName>
    <definedName name="PickACase">[0]!PickACase</definedName>
    <definedName name="PickACaseGas" localSheetId="3">'June 19 deferral'!PickACaseGas</definedName>
    <definedName name="PickACaseGas" localSheetId="2">'June 19 Power Cost Forecast'!PickACaseGas</definedName>
    <definedName name="PickACaseGas" localSheetId="8">'May 8 deferral'!PickACaseGas</definedName>
    <definedName name="PickACaseGas" localSheetId="7">'May 8 Power Cost Forecast'!PickACaseGas</definedName>
    <definedName name="PickACaseGas">[0]!PickACaseGas</definedName>
    <definedName name="PickACaseHydro" localSheetId="3">'June 19 deferral'!PickACaseHydro</definedName>
    <definedName name="PickACaseHydro" localSheetId="2">'June 19 Power Cost Forecast'!PickACaseHydro</definedName>
    <definedName name="PickACaseHydro" localSheetId="8">'May 8 deferral'!PickACaseHydro</definedName>
    <definedName name="PickACaseHydro" localSheetId="7">'May 8 Power Cost Forecast'!PickACaseHydro</definedName>
    <definedName name="PickACaseHydro">[0]!PickACaseHydro</definedName>
    <definedName name="PickACaseWeather" localSheetId="3">'June 19 deferral'!PickACaseWeather</definedName>
    <definedName name="PickACaseWeather" localSheetId="2">'June 19 Power Cost Forecast'!PickACaseWeather</definedName>
    <definedName name="PickACaseWeather" localSheetId="8">'May 8 deferral'!PickACaseWeather</definedName>
    <definedName name="PickACaseWeather" localSheetId="7">'May 8 Power Cost Forecast'!PickACaseWeather</definedName>
    <definedName name="PickACaseWeather">[0]!PickACaseWeather</definedName>
    <definedName name="Power_Cost_Output_Table9.PrintPowerCostsSummaryPrint" localSheetId="3">'June 19 deferral'!Power_Cost_Output_Table9.PrintPowerCostsSummaryPrint</definedName>
    <definedName name="Power_Cost_Output_Table9.PrintPowerCostsSummaryPrint" localSheetId="2">'June 19 Power Cost Forecast'!Power_Cost_Output_Table9.PrintPowerCostsSummaryPrint</definedName>
    <definedName name="Power_Cost_Output_Table9.PrintPowerCostsSummaryPrint" localSheetId="8">'May 8 deferral'!Power_Cost_Output_Table9.PrintPowerCostsSummaryPrint</definedName>
    <definedName name="Power_Cost_Output_Table9.PrintPowerCostsSummaryPrint" localSheetId="7">'May 8 Power Cost Forecast'!Power_Cost_Output_Table9.PrintPowerCostsSummaryPrint</definedName>
    <definedName name="Power_Cost_Output_Table9.PrintPowerCostsSummaryPrint">[0]!Power_Cost_Output_Table9.PrintPowerCostsSummaryPrint</definedName>
    <definedName name="_xlnm.Print_Area" localSheetId="4">'Budget Deferral'!$A$1:$O$35</definedName>
    <definedName name="_xlnm.Print_Area" localSheetId="3">'June 19 deferral'!$A$1:$O$35</definedName>
    <definedName name="_xlnm.Print_Area" localSheetId="6">'June 7 deferral'!$A$1:$O$35</definedName>
    <definedName name="_xlnm.Print_Area" localSheetId="8">'May 8 deferral'!$A$1:$O$35</definedName>
    <definedName name="_xlnm.Print_Area" localSheetId="0">Summary!$A$2:$F$66</definedName>
    <definedName name="PrintMWaSummaryPrint" localSheetId="3">'June 19 deferral'!PrintMWaSummaryPrint</definedName>
    <definedName name="PrintMWaSummaryPrint" localSheetId="2">'June 19 Power Cost Forecast'!PrintMWaSummaryPrint</definedName>
    <definedName name="PrintMWaSummaryPrint" localSheetId="8">'May 8 deferral'!PrintMWaSummaryPrint</definedName>
    <definedName name="PrintMWaSummaryPrint" localSheetId="7">'May 8 Power Cost Forecast'!PrintMWaSummaryPrint</definedName>
    <definedName name="PrintMWaSummaryPrint">[0]!PrintMWaSummaryPrint</definedName>
    <definedName name="PrintPowerCostsSummaryPrint" localSheetId="3">'June 19 deferral'!PrintPowerCostsSummaryPrint</definedName>
    <definedName name="PrintPowerCostsSummaryPrint" localSheetId="2">'June 19 Power Cost Forecast'!PrintPowerCostsSummaryPrint</definedName>
    <definedName name="PrintPowerCostsSummaryPrint" localSheetId="8">'May 8 deferral'!PrintPowerCostsSummaryPrint</definedName>
    <definedName name="PrintPowerCostsSummaryPrint" localSheetId="7">'May 8 Power Cost Forecast'!PrintPowerCostsSummaryPrint</definedName>
    <definedName name="PrintPowerCostsSummaryPrint">[0]!PrintPowerCostsSummaryPrint</definedName>
    <definedName name="SaveOutput" localSheetId="3">'June 19 deferral'!SaveOutput</definedName>
    <definedName name="SaveOutput" localSheetId="2">'June 19 Power Cost Forecast'!SaveOutput</definedName>
    <definedName name="SaveOutput" localSheetId="8">'May 8 deferral'!SaveOutput</definedName>
    <definedName name="SaveOutput" localSheetId="7">'May 8 Power Cost Forecast'!SaveOutput</definedName>
    <definedName name="SaveOutput">[0]!SaveOutput</definedName>
    <definedName name="SelectSheetFromList" localSheetId="3">'June 19 deferral'!SelectSheetFromList</definedName>
    <definedName name="SelectSheetFromList" localSheetId="2">'June 19 Power Cost Forecast'!SelectSheetFromList</definedName>
    <definedName name="SelectSheetFromList" localSheetId="8">'May 8 deferral'!SelectSheetFromList</definedName>
    <definedName name="SelectSheetFromList" localSheetId="7">'May 8 Power Cost Forecast'!SelectSheetFromList</definedName>
    <definedName name="SelectSheetFromList">[0]!SelectSheetFromList</definedName>
    <definedName name="SheetsInBook" localSheetId="3">'June 19 deferral'!SheetsInBook</definedName>
    <definedName name="SheetsInBook" localSheetId="2">'June 19 Power Cost Forecast'!SheetsInBook</definedName>
    <definedName name="SheetsInBook" localSheetId="8">'May 8 deferral'!SheetsInBook</definedName>
    <definedName name="SheetsInBook" localSheetId="7">'May 8 Power Cost Forecast'!SheetsInBook</definedName>
    <definedName name="SheetsInBook">[0]!SheetsInBook</definedName>
    <definedName name="z">[2]!'[Power_Cost_Output_Table9].PrintPowerCostsSummaryPrint'</definedName>
  </definedNames>
  <calcPr calcId="0" calcMode="manual" iterate="1"/>
</workbook>
</file>

<file path=xl/calcChain.xml><?xml version="1.0" encoding="utf-8"?>
<calcChain xmlns="http://schemas.openxmlformats.org/spreadsheetml/2006/main">
  <c r="A2" i="5" l="1"/>
  <c r="A3" i="5"/>
  <c r="A4" i="5"/>
  <c r="I4" i="5"/>
  <c r="A5" i="5"/>
  <c r="C5" i="5"/>
  <c r="A6" i="5"/>
  <c r="C6" i="5"/>
  <c r="A7" i="5"/>
  <c r="C7" i="5"/>
  <c r="A8" i="5"/>
  <c r="C8" i="5"/>
  <c r="I8" i="5"/>
  <c r="A9" i="5"/>
  <c r="C9" i="5"/>
  <c r="A10" i="5"/>
  <c r="C10" i="5"/>
  <c r="A11" i="5"/>
  <c r="A12" i="5"/>
  <c r="A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A16" i="5"/>
  <c r="A17" i="5"/>
  <c r="C17" i="5"/>
  <c r="D17" i="5"/>
  <c r="E17" i="5"/>
  <c r="F17" i="5"/>
  <c r="G17" i="5"/>
  <c r="H17" i="5"/>
  <c r="I17" i="5"/>
  <c r="J17" i="5"/>
  <c r="K17" i="5"/>
  <c r="O17" i="5"/>
  <c r="A18" i="5"/>
  <c r="C18" i="5"/>
  <c r="D18" i="5"/>
  <c r="E18" i="5"/>
  <c r="F18" i="5"/>
  <c r="G18" i="5"/>
  <c r="H18" i="5"/>
  <c r="I18" i="5"/>
  <c r="J18" i="5"/>
  <c r="K18" i="5"/>
  <c r="O18" i="5"/>
  <c r="A19" i="5"/>
  <c r="C19" i="5"/>
  <c r="D19" i="5"/>
  <c r="E19" i="5"/>
  <c r="F19" i="5"/>
  <c r="G19" i="5"/>
  <c r="H19" i="5"/>
  <c r="I19" i="5"/>
  <c r="J19" i="5"/>
  <c r="K19" i="5"/>
  <c r="O19" i="5"/>
  <c r="A20" i="5"/>
  <c r="C20" i="5"/>
  <c r="D20" i="5"/>
  <c r="E20" i="5"/>
  <c r="F20" i="5"/>
  <c r="G20" i="5"/>
  <c r="H20" i="5"/>
  <c r="I20" i="5"/>
  <c r="J20" i="5"/>
  <c r="K20" i="5"/>
  <c r="O20" i="5"/>
  <c r="A21" i="5"/>
  <c r="C21" i="5"/>
  <c r="D21" i="5"/>
  <c r="E21" i="5"/>
  <c r="F21" i="5"/>
  <c r="G21" i="5"/>
  <c r="H21" i="5"/>
  <c r="I21" i="5"/>
  <c r="J21" i="5"/>
  <c r="K21" i="5"/>
  <c r="O21" i="5"/>
  <c r="A24" i="5"/>
  <c r="C24" i="5"/>
  <c r="D24" i="5"/>
  <c r="E24" i="5"/>
  <c r="F24" i="5"/>
  <c r="G24" i="5"/>
  <c r="H24" i="5"/>
  <c r="I24" i="5"/>
  <c r="J24" i="5"/>
  <c r="K24" i="5"/>
  <c r="A25" i="5"/>
  <c r="C25" i="5"/>
  <c r="D25" i="5"/>
  <c r="E25" i="5"/>
  <c r="F25" i="5"/>
  <c r="G25" i="5"/>
  <c r="H25" i="5"/>
  <c r="I25" i="5"/>
  <c r="J25" i="5"/>
  <c r="K25" i="5"/>
  <c r="A26" i="5"/>
  <c r="C26" i="5"/>
  <c r="D26" i="5"/>
  <c r="E26" i="5"/>
  <c r="F26" i="5"/>
  <c r="G26" i="5"/>
  <c r="H26" i="5"/>
  <c r="I26" i="5"/>
  <c r="J26" i="5"/>
  <c r="K26" i="5"/>
  <c r="A27" i="5"/>
  <c r="C27" i="5"/>
  <c r="D27" i="5"/>
  <c r="E27" i="5"/>
  <c r="F27" i="5"/>
  <c r="G27" i="5"/>
  <c r="H27" i="5"/>
  <c r="I27" i="5"/>
  <c r="J27" i="5"/>
  <c r="K27" i="5"/>
  <c r="A28" i="5"/>
  <c r="C28" i="5"/>
  <c r="D28" i="5"/>
  <c r="E28" i="5"/>
  <c r="F28" i="5"/>
  <c r="G28" i="5"/>
  <c r="H28" i="5"/>
  <c r="I28" i="5"/>
  <c r="J28" i="5"/>
  <c r="K28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D35" i="5"/>
  <c r="E35" i="5"/>
  <c r="F35" i="5"/>
  <c r="G35" i="5"/>
  <c r="H35" i="5"/>
  <c r="I35" i="5"/>
  <c r="J35" i="5"/>
  <c r="K35" i="5"/>
  <c r="B37" i="5"/>
  <c r="A2" i="8"/>
  <c r="A3" i="8"/>
  <c r="A4" i="8"/>
  <c r="I4" i="8"/>
  <c r="A5" i="8"/>
  <c r="C5" i="8"/>
  <c r="A6" i="8"/>
  <c r="C6" i="8"/>
  <c r="A7" i="8"/>
  <c r="C7" i="8"/>
  <c r="A8" i="8"/>
  <c r="C8" i="8"/>
  <c r="I8" i="8"/>
  <c r="A9" i="8"/>
  <c r="C9" i="8"/>
  <c r="A10" i="8"/>
  <c r="C10" i="8"/>
  <c r="A11" i="8"/>
  <c r="A12" i="8"/>
  <c r="A13" i="8"/>
  <c r="O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A15" i="8"/>
  <c r="A16" i="8"/>
  <c r="A17" i="8"/>
  <c r="C17" i="8"/>
  <c r="D17" i="8"/>
  <c r="E17" i="8"/>
  <c r="F17" i="8"/>
  <c r="G17" i="8"/>
  <c r="H17" i="8"/>
  <c r="I17" i="8"/>
  <c r="J17" i="8"/>
  <c r="K17" i="8"/>
  <c r="O17" i="8"/>
  <c r="A18" i="8"/>
  <c r="C18" i="8"/>
  <c r="D18" i="8"/>
  <c r="E18" i="8"/>
  <c r="F18" i="8"/>
  <c r="G18" i="8"/>
  <c r="H18" i="8"/>
  <c r="I18" i="8"/>
  <c r="J18" i="8"/>
  <c r="K18" i="8"/>
  <c r="O18" i="8"/>
  <c r="A19" i="8"/>
  <c r="C19" i="8"/>
  <c r="D19" i="8"/>
  <c r="E19" i="8"/>
  <c r="F19" i="8"/>
  <c r="G19" i="8"/>
  <c r="H19" i="8"/>
  <c r="I19" i="8"/>
  <c r="J19" i="8"/>
  <c r="K19" i="8"/>
  <c r="O19" i="8"/>
  <c r="A20" i="8"/>
  <c r="C20" i="8"/>
  <c r="D20" i="8"/>
  <c r="E20" i="8"/>
  <c r="F20" i="8"/>
  <c r="G20" i="8"/>
  <c r="H20" i="8"/>
  <c r="I20" i="8"/>
  <c r="J20" i="8"/>
  <c r="K20" i="8"/>
  <c r="O20" i="8"/>
  <c r="A21" i="8"/>
  <c r="C21" i="8"/>
  <c r="D21" i="8"/>
  <c r="E21" i="8"/>
  <c r="F21" i="8"/>
  <c r="G21" i="8"/>
  <c r="H21" i="8"/>
  <c r="I21" i="8"/>
  <c r="J21" i="8"/>
  <c r="K21" i="8"/>
  <c r="O21" i="8"/>
  <c r="A24" i="8"/>
  <c r="C24" i="8"/>
  <c r="D24" i="8"/>
  <c r="E24" i="8"/>
  <c r="F24" i="8"/>
  <c r="G24" i="8"/>
  <c r="H24" i="8"/>
  <c r="I24" i="8"/>
  <c r="J24" i="8"/>
  <c r="K24" i="8"/>
  <c r="A25" i="8"/>
  <c r="C25" i="8"/>
  <c r="D25" i="8"/>
  <c r="E25" i="8"/>
  <c r="F25" i="8"/>
  <c r="G25" i="8"/>
  <c r="H25" i="8"/>
  <c r="I25" i="8"/>
  <c r="J25" i="8"/>
  <c r="K25" i="8"/>
  <c r="A26" i="8"/>
  <c r="C26" i="8"/>
  <c r="D26" i="8"/>
  <c r="E26" i="8"/>
  <c r="F26" i="8"/>
  <c r="G26" i="8"/>
  <c r="H26" i="8"/>
  <c r="I26" i="8"/>
  <c r="J26" i="8"/>
  <c r="K26" i="8"/>
  <c r="A27" i="8"/>
  <c r="C27" i="8"/>
  <c r="D27" i="8"/>
  <c r="E27" i="8"/>
  <c r="F27" i="8"/>
  <c r="G27" i="8"/>
  <c r="H27" i="8"/>
  <c r="I27" i="8"/>
  <c r="J27" i="8"/>
  <c r="K27" i="8"/>
  <c r="A28" i="8"/>
  <c r="C28" i="8"/>
  <c r="D28" i="8"/>
  <c r="E28" i="8"/>
  <c r="F28" i="8"/>
  <c r="G28" i="8"/>
  <c r="H28" i="8"/>
  <c r="I28" i="8"/>
  <c r="J28" i="8"/>
  <c r="K28" i="8"/>
  <c r="C33" i="8"/>
  <c r="D33" i="8"/>
  <c r="E33" i="8"/>
  <c r="F33" i="8"/>
  <c r="G33" i="8"/>
  <c r="H33" i="8"/>
  <c r="I33" i="8"/>
  <c r="J33" i="8"/>
  <c r="K33" i="8"/>
  <c r="C34" i="8"/>
  <c r="D34" i="8"/>
  <c r="E34" i="8"/>
  <c r="F34" i="8"/>
  <c r="G34" i="8"/>
  <c r="H34" i="8"/>
  <c r="I34" i="8"/>
  <c r="J34" i="8"/>
  <c r="K34" i="8"/>
  <c r="D35" i="8"/>
  <c r="E35" i="8"/>
  <c r="F35" i="8"/>
  <c r="G35" i="8"/>
  <c r="H35" i="8"/>
  <c r="I35" i="8"/>
  <c r="J35" i="8"/>
  <c r="K35" i="8"/>
  <c r="B37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K8" i="7"/>
  <c r="L8" i="7"/>
  <c r="M8" i="7"/>
  <c r="N8" i="7"/>
  <c r="O8" i="7"/>
  <c r="P8" i="7"/>
  <c r="Q8" i="7"/>
  <c r="R8" i="7"/>
  <c r="T8" i="7"/>
  <c r="R9" i="7"/>
  <c r="T9" i="7"/>
  <c r="R10" i="7"/>
  <c r="T10" i="7"/>
  <c r="R11" i="7"/>
  <c r="T11" i="7"/>
  <c r="L12" i="7"/>
  <c r="M12" i="7"/>
  <c r="N12" i="7"/>
  <c r="O12" i="7"/>
  <c r="P12" i="7"/>
  <c r="Q12" i="7"/>
  <c r="R12" i="7"/>
  <c r="T12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T14" i="7"/>
  <c r="L16" i="7"/>
  <c r="M16" i="7"/>
  <c r="N16" i="7"/>
  <c r="O16" i="7"/>
  <c r="P16" i="7"/>
  <c r="Q16" i="7"/>
  <c r="R16" i="7"/>
  <c r="T16" i="7"/>
  <c r="R20" i="7"/>
  <c r="L21" i="7"/>
  <c r="M21" i="7"/>
  <c r="N21" i="7"/>
  <c r="O21" i="7"/>
  <c r="P21" i="7"/>
  <c r="Q21" i="7"/>
  <c r="R21" i="7"/>
  <c r="T21" i="7"/>
  <c r="L22" i="7"/>
  <c r="M22" i="7"/>
  <c r="N22" i="7"/>
  <c r="O22" i="7"/>
  <c r="P22" i="7"/>
  <c r="Q22" i="7"/>
  <c r="R22" i="7"/>
  <c r="T22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T24" i="7"/>
  <c r="L29" i="7"/>
  <c r="M29" i="7"/>
  <c r="N29" i="7"/>
  <c r="O29" i="7"/>
  <c r="P29" i="7"/>
  <c r="Q29" i="7"/>
  <c r="R29" i="7"/>
  <c r="T29" i="7"/>
  <c r="L30" i="7"/>
  <c r="M30" i="7"/>
  <c r="N30" i="7"/>
  <c r="O30" i="7"/>
  <c r="P30" i="7"/>
  <c r="Q30" i="7"/>
  <c r="R30" i="7"/>
  <c r="T30" i="7"/>
  <c r="L31" i="7"/>
  <c r="M31" i="7"/>
  <c r="N31" i="7"/>
  <c r="O31" i="7"/>
  <c r="P31" i="7"/>
  <c r="Q31" i="7"/>
  <c r="R31" i="7"/>
  <c r="T31" i="7"/>
  <c r="L32" i="7"/>
  <c r="M32" i="7"/>
  <c r="N32" i="7"/>
  <c r="O32" i="7"/>
  <c r="P32" i="7"/>
  <c r="Q32" i="7"/>
  <c r="R32" i="7"/>
  <c r="T32" i="7"/>
  <c r="R33" i="7"/>
  <c r="T33" i="7"/>
  <c r="Q34" i="7"/>
  <c r="R34" i="7"/>
  <c r="T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T35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T39" i="7"/>
  <c r="L41" i="7"/>
  <c r="M41" i="7"/>
  <c r="N41" i="7"/>
  <c r="O41" i="7"/>
  <c r="P41" i="7"/>
  <c r="Q41" i="7"/>
  <c r="R41" i="7"/>
  <c r="T41" i="7"/>
  <c r="R42" i="7"/>
  <c r="T42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T44" i="7"/>
  <c r="R47" i="7"/>
  <c r="T47" i="7"/>
  <c r="H48" i="7"/>
  <c r="R48" i="7"/>
  <c r="T48" i="7"/>
  <c r="R49" i="7"/>
  <c r="T49" i="7"/>
  <c r="R50" i="7"/>
  <c r="T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T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T52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T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T56" i="7"/>
  <c r="Q57" i="7"/>
  <c r="R57" i="7"/>
  <c r="T57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T58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T60" i="7"/>
  <c r="R63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2" i="4"/>
  <c r="A3" i="4"/>
  <c r="A4" i="4"/>
  <c r="I4" i="4"/>
  <c r="A5" i="4"/>
  <c r="C5" i="4"/>
  <c r="A6" i="4"/>
  <c r="C6" i="4"/>
  <c r="A7" i="4"/>
  <c r="C7" i="4"/>
  <c r="A8" i="4"/>
  <c r="C8" i="4"/>
  <c r="I8" i="4"/>
  <c r="A9" i="4"/>
  <c r="C9" i="4"/>
  <c r="A10" i="4"/>
  <c r="C10" i="4"/>
  <c r="A11" i="4"/>
  <c r="A12" i="4"/>
  <c r="A13" i="4"/>
  <c r="O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A16" i="4"/>
  <c r="A17" i="4"/>
  <c r="C17" i="4"/>
  <c r="D17" i="4"/>
  <c r="E17" i="4"/>
  <c r="F17" i="4"/>
  <c r="G17" i="4"/>
  <c r="H17" i="4"/>
  <c r="I17" i="4"/>
  <c r="J17" i="4"/>
  <c r="K17" i="4"/>
  <c r="O17" i="4"/>
  <c r="A18" i="4"/>
  <c r="C18" i="4"/>
  <c r="D18" i="4"/>
  <c r="E18" i="4"/>
  <c r="F18" i="4"/>
  <c r="G18" i="4"/>
  <c r="H18" i="4"/>
  <c r="I18" i="4"/>
  <c r="J18" i="4"/>
  <c r="K18" i="4"/>
  <c r="O18" i="4"/>
  <c r="A19" i="4"/>
  <c r="C19" i="4"/>
  <c r="D19" i="4"/>
  <c r="E19" i="4"/>
  <c r="F19" i="4"/>
  <c r="G19" i="4"/>
  <c r="H19" i="4"/>
  <c r="I19" i="4"/>
  <c r="J19" i="4"/>
  <c r="K19" i="4"/>
  <c r="O19" i="4"/>
  <c r="A20" i="4"/>
  <c r="C20" i="4"/>
  <c r="D20" i="4"/>
  <c r="E20" i="4"/>
  <c r="F20" i="4"/>
  <c r="G20" i="4"/>
  <c r="H20" i="4"/>
  <c r="I20" i="4"/>
  <c r="J20" i="4"/>
  <c r="K20" i="4"/>
  <c r="O20" i="4"/>
  <c r="A21" i="4"/>
  <c r="C21" i="4"/>
  <c r="D21" i="4"/>
  <c r="E21" i="4"/>
  <c r="F21" i="4"/>
  <c r="G21" i="4"/>
  <c r="H21" i="4"/>
  <c r="I21" i="4"/>
  <c r="J21" i="4"/>
  <c r="K21" i="4"/>
  <c r="O21" i="4"/>
  <c r="A24" i="4"/>
  <c r="C24" i="4"/>
  <c r="D24" i="4"/>
  <c r="E24" i="4"/>
  <c r="F24" i="4"/>
  <c r="G24" i="4"/>
  <c r="H24" i="4"/>
  <c r="I24" i="4"/>
  <c r="J24" i="4"/>
  <c r="K24" i="4"/>
  <c r="A25" i="4"/>
  <c r="C25" i="4"/>
  <c r="D25" i="4"/>
  <c r="E25" i="4"/>
  <c r="F25" i="4"/>
  <c r="G25" i="4"/>
  <c r="H25" i="4"/>
  <c r="I25" i="4"/>
  <c r="J25" i="4"/>
  <c r="K25" i="4"/>
  <c r="A26" i="4"/>
  <c r="C26" i="4"/>
  <c r="D26" i="4"/>
  <c r="E26" i="4"/>
  <c r="F26" i="4"/>
  <c r="G26" i="4"/>
  <c r="H26" i="4"/>
  <c r="I26" i="4"/>
  <c r="J26" i="4"/>
  <c r="K26" i="4"/>
  <c r="A27" i="4"/>
  <c r="C27" i="4"/>
  <c r="D27" i="4"/>
  <c r="E27" i="4"/>
  <c r="F27" i="4"/>
  <c r="G27" i="4"/>
  <c r="H27" i="4"/>
  <c r="I27" i="4"/>
  <c r="J27" i="4"/>
  <c r="K27" i="4"/>
  <c r="A28" i="4"/>
  <c r="C28" i="4"/>
  <c r="D28" i="4"/>
  <c r="E28" i="4"/>
  <c r="F28" i="4"/>
  <c r="G28" i="4"/>
  <c r="H28" i="4"/>
  <c r="I28" i="4"/>
  <c r="J28" i="4"/>
  <c r="K28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B37" i="4"/>
  <c r="L8" i="6"/>
  <c r="M8" i="6"/>
  <c r="N8" i="6"/>
  <c r="O8" i="6"/>
  <c r="P8" i="6"/>
  <c r="Q8" i="6"/>
  <c r="R8" i="6"/>
  <c r="T8" i="6"/>
  <c r="R9" i="6"/>
  <c r="T9" i="6"/>
  <c r="R10" i="6"/>
  <c r="T10" i="6"/>
  <c r="Q11" i="6"/>
  <c r="R11" i="6"/>
  <c r="T11" i="6"/>
  <c r="L12" i="6"/>
  <c r="M12" i="6"/>
  <c r="N12" i="6"/>
  <c r="O12" i="6"/>
  <c r="P12" i="6"/>
  <c r="Q12" i="6"/>
  <c r="R12" i="6"/>
  <c r="T12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L16" i="6"/>
  <c r="M16" i="6"/>
  <c r="N16" i="6"/>
  <c r="O16" i="6"/>
  <c r="P16" i="6"/>
  <c r="Q16" i="6"/>
  <c r="R16" i="6"/>
  <c r="T16" i="6"/>
  <c r="R20" i="6"/>
  <c r="L21" i="6"/>
  <c r="M21" i="6"/>
  <c r="N21" i="6"/>
  <c r="O21" i="6"/>
  <c r="P21" i="6"/>
  <c r="Q21" i="6"/>
  <c r="R21" i="6"/>
  <c r="T21" i="6"/>
  <c r="L22" i="6"/>
  <c r="M22" i="6"/>
  <c r="N22" i="6"/>
  <c r="O22" i="6"/>
  <c r="P22" i="6"/>
  <c r="Q22" i="6"/>
  <c r="R22" i="6"/>
  <c r="T22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L29" i="6"/>
  <c r="M29" i="6"/>
  <c r="N29" i="6"/>
  <c r="O29" i="6"/>
  <c r="P29" i="6"/>
  <c r="Q29" i="6"/>
  <c r="R29" i="6"/>
  <c r="T29" i="6"/>
  <c r="L30" i="6"/>
  <c r="M30" i="6"/>
  <c r="N30" i="6"/>
  <c r="O30" i="6"/>
  <c r="P30" i="6"/>
  <c r="Q30" i="6"/>
  <c r="R30" i="6"/>
  <c r="T30" i="6"/>
  <c r="K31" i="6"/>
  <c r="L31" i="6"/>
  <c r="M31" i="6"/>
  <c r="N31" i="6"/>
  <c r="O31" i="6"/>
  <c r="P31" i="6"/>
  <c r="Q31" i="6"/>
  <c r="R31" i="6"/>
  <c r="T31" i="6"/>
  <c r="L32" i="6"/>
  <c r="M32" i="6"/>
  <c r="N32" i="6"/>
  <c r="O32" i="6"/>
  <c r="P32" i="6"/>
  <c r="Q32" i="6"/>
  <c r="R32" i="6"/>
  <c r="T32" i="6"/>
  <c r="R33" i="6"/>
  <c r="T33" i="6"/>
  <c r="R34" i="6"/>
  <c r="T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L41" i="6"/>
  <c r="M41" i="6"/>
  <c r="N41" i="6"/>
  <c r="O41" i="6"/>
  <c r="P41" i="6"/>
  <c r="Q41" i="6"/>
  <c r="R41" i="6"/>
  <c r="T41" i="6"/>
  <c r="R42" i="6"/>
  <c r="T42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R47" i="6"/>
  <c r="T47" i="6"/>
  <c r="H48" i="6"/>
  <c r="R48" i="6"/>
  <c r="T48" i="6"/>
  <c r="R49" i="6"/>
  <c r="T49" i="6"/>
  <c r="R50" i="6"/>
  <c r="T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Q57" i="6"/>
  <c r="R57" i="6"/>
  <c r="T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T61" i="6"/>
  <c r="R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N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N9" i="12"/>
  <c r="B10" i="12"/>
  <c r="C10" i="12"/>
  <c r="D10" i="12"/>
  <c r="E10" i="12"/>
  <c r="F10" i="12"/>
  <c r="N10" i="12"/>
  <c r="N11" i="12"/>
  <c r="G12" i="12"/>
  <c r="H12" i="12"/>
  <c r="I12" i="12"/>
  <c r="J12" i="12"/>
  <c r="K12" i="12"/>
  <c r="L12" i="12"/>
  <c r="M12" i="12"/>
  <c r="N12" i="12"/>
  <c r="N13" i="12"/>
  <c r="N14" i="12"/>
  <c r="O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O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N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K31" i="12"/>
  <c r="L31" i="12"/>
  <c r="M31" i="12"/>
  <c r="N31" i="12"/>
  <c r="N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C41" i="12"/>
  <c r="B42" i="12"/>
  <c r="C42" i="12"/>
  <c r="A2" i="10"/>
  <c r="A3" i="10"/>
  <c r="A4" i="10"/>
  <c r="I4" i="10"/>
  <c r="A5" i="10"/>
  <c r="C5" i="10"/>
  <c r="A6" i="10"/>
  <c r="C6" i="10"/>
  <c r="A7" i="10"/>
  <c r="C7" i="10"/>
  <c r="A8" i="10"/>
  <c r="C8" i="10"/>
  <c r="I8" i="10"/>
  <c r="A9" i="10"/>
  <c r="C9" i="10"/>
  <c r="A10" i="10"/>
  <c r="C10" i="10"/>
  <c r="A11" i="10"/>
  <c r="A12" i="10"/>
  <c r="A13" i="10"/>
  <c r="O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A16" i="10"/>
  <c r="A17" i="10"/>
  <c r="C17" i="10"/>
  <c r="D17" i="10"/>
  <c r="E17" i="10"/>
  <c r="F17" i="10"/>
  <c r="G17" i="10"/>
  <c r="H17" i="10"/>
  <c r="I17" i="10"/>
  <c r="J17" i="10"/>
  <c r="K17" i="10"/>
  <c r="O17" i="10"/>
  <c r="A18" i="10"/>
  <c r="C18" i="10"/>
  <c r="D18" i="10"/>
  <c r="E18" i="10"/>
  <c r="F18" i="10"/>
  <c r="G18" i="10"/>
  <c r="H18" i="10"/>
  <c r="I18" i="10"/>
  <c r="J18" i="10"/>
  <c r="K18" i="10"/>
  <c r="O18" i="10"/>
  <c r="A19" i="10"/>
  <c r="C19" i="10"/>
  <c r="D19" i="10"/>
  <c r="E19" i="10"/>
  <c r="F19" i="10"/>
  <c r="G19" i="10"/>
  <c r="H19" i="10"/>
  <c r="I19" i="10"/>
  <c r="J19" i="10"/>
  <c r="K19" i="10"/>
  <c r="O19" i="10"/>
  <c r="A20" i="10"/>
  <c r="C20" i="10"/>
  <c r="D20" i="10"/>
  <c r="E20" i="10"/>
  <c r="F20" i="10"/>
  <c r="G20" i="10"/>
  <c r="H20" i="10"/>
  <c r="I20" i="10"/>
  <c r="J20" i="10"/>
  <c r="K20" i="10"/>
  <c r="O20" i="10"/>
  <c r="A21" i="10"/>
  <c r="C21" i="10"/>
  <c r="D21" i="10"/>
  <c r="E21" i="10"/>
  <c r="F21" i="10"/>
  <c r="G21" i="10"/>
  <c r="H21" i="10"/>
  <c r="I21" i="10"/>
  <c r="J21" i="10"/>
  <c r="K21" i="10"/>
  <c r="O21" i="10"/>
  <c r="A24" i="10"/>
  <c r="C24" i="10"/>
  <c r="D24" i="10"/>
  <c r="E24" i="10"/>
  <c r="F24" i="10"/>
  <c r="G24" i="10"/>
  <c r="H24" i="10"/>
  <c r="I24" i="10"/>
  <c r="J24" i="10"/>
  <c r="K24" i="10"/>
  <c r="A25" i="10"/>
  <c r="C25" i="10"/>
  <c r="D25" i="10"/>
  <c r="E25" i="10"/>
  <c r="F25" i="10"/>
  <c r="G25" i="10"/>
  <c r="H25" i="10"/>
  <c r="I25" i="10"/>
  <c r="J25" i="10"/>
  <c r="K25" i="10"/>
  <c r="A26" i="10"/>
  <c r="C26" i="10"/>
  <c r="D26" i="10"/>
  <c r="E26" i="10"/>
  <c r="F26" i="10"/>
  <c r="G26" i="10"/>
  <c r="H26" i="10"/>
  <c r="I26" i="10"/>
  <c r="J26" i="10"/>
  <c r="K26" i="10"/>
  <c r="A27" i="10"/>
  <c r="C27" i="10"/>
  <c r="D27" i="10"/>
  <c r="E27" i="10"/>
  <c r="F27" i="10"/>
  <c r="G27" i="10"/>
  <c r="H27" i="10"/>
  <c r="I27" i="10"/>
  <c r="J27" i="10"/>
  <c r="K27" i="10"/>
  <c r="A28" i="10"/>
  <c r="C28" i="10"/>
  <c r="D28" i="10"/>
  <c r="E28" i="10"/>
  <c r="F28" i="10"/>
  <c r="G28" i="10"/>
  <c r="H28" i="10"/>
  <c r="I28" i="10"/>
  <c r="J28" i="10"/>
  <c r="K28" i="10"/>
  <c r="C32" i="10"/>
  <c r="D32" i="10"/>
  <c r="E32" i="10"/>
  <c r="F32" i="10"/>
  <c r="G32" i="10"/>
  <c r="H32" i="10"/>
  <c r="I32" i="10"/>
  <c r="J32" i="10"/>
  <c r="K32" i="10"/>
  <c r="C33" i="10"/>
  <c r="D33" i="10"/>
  <c r="E33" i="10"/>
  <c r="F33" i="10"/>
  <c r="G33" i="10"/>
  <c r="H33" i="10"/>
  <c r="I33" i="10"/>
  <c r="J33" i="10"/>
  <c r="K33" i="10"/>
  <c r="C34" i="10"/>
  <c r="D34" i="10"/>
  <c r="E34" i="10"/>
  <c r="F34" i="10"/>
  <c r="G34" i="10"/>
  <c r="H34" i="10"/>
  <c r="I34" i="10"/>
  <c r="J34" i="10"/>
  <c r="K34" i="10"/>
  <c r="D35" i="10"/>
  <c r="E35" i="10"/>
  <c r="F35" i="10"/>
  <c r="G35" i="10"/>
  <c r="H35" i="10"/>
  <c r="I35" i="10"/>
  <c r="J35" i="10"/>
  <c r="K35" i="10"/>
  <c r="B37" i="10"/>
  <c r="K8" i="9"/>
  <c r="L8" i="9"/>
  <c r="M8" i="9"/>
  <c r="N8" i="9"/>
  <c r="O8" i="9"/>
  <c r="P8" i="9"/>
  <c r="Q8" i="9"/>
  <c r="R8" i="9"/>
  <c r="T8" i="9"/>
  <c r="R9" i="9"/>
  <c r="T9" i="9"/>
  <c r="R10" i="9"/>
  <c r="T10" i="9"/>
  <c r="R11" i="9"/>
  <c r="T11" i="9"/>
  <c r="K12" i="9"/>
  <c r="L12" i="9"/>
  <c r="M12" i="9"/>
  <c r="N12" i="9"/>
  <c r="O12" i="9"/>
  <c r="P12" i="9"/>
  <c r="Q12" i="9"/>
  <c r="R12" i="9"/>
  <c r="T12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T14" i="9"/>
  <c r="K16" i="9"/>
  <c r="L16" i="9"/>
  <c r="M16" i="9"/>
  <c r="N16" i="9"/>
  <c r="O16" i="9"/>
  <c r="P16" i="9"/>
  <c r="Q16" i="9"/>
  <c r="R16" i="9"/>
  <c r="T16" i="9"/>
  <c r="R20" i="9"/>
  <c r="K21" i="9"/>
  <c r="L21" i="9"/>
  <c r="M21" i="9"/>
  <c r="N21" i="9"/>
  <c r="O21" i="9"/>
  <c r="P21" i="9"/>
  <c r="Q21" i="9"/>
  <c r="R21" i="9"/>
  <c r="T21" i="9"/>
  <c r="K22" i="9"/>
  <c r="L22" i="9"/>
  <c r="M22" i="9"/>
  <c r="N22" i="9"/>
  <c r="O22" i="9"/>
  <c r="P22" i="9"/>
  <c r="Q22" i="9"/>
  <c r="R22" i="9"/>
  <c r="T22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T24" i="9"/>
  <c r="K29" i="9"/>
  <c r="L29" i="9"/>
  <c r="M29" i="9"/>
  <c r="N29" i="9"/>
  <c r="O29" i="9"/>
  <c r="P29" i="9"/>
  <c r="Q29" i="9"/>
  <c r="R29" i="9"/>
  <c r="T29" i="9"/>
  <c r="K30" i="9"/>
  <c r="L30" i="9"/>
  <c r="M30" i="9"/>
  <c r="N30" i="9"/>
  <c r="O30" i="9"/>
  <c r="P30" i="9"/>
  <c r="Q30" i="9"/>
  <c r="R30" i="9"/>
  <c r="T30" i="9"/>
  <c r="J31" i="9"/>
  <c r="K31" i="9"/>
  <c r="L31" i="9"/>
  <c r="M31" i="9"/>
  <c r="N31" i="9"/>
  <c r="O31" i="9"/>
  <c r="P31" i="9"/>
  <c r="Q31" i="9"/>
  <c r="R31" i="9"/>
  <c r="T31" i="9"/>
  <c r="K32" i="9"/>
  <c r="L32" i="9"/>
  <c r="M32" i="9"/>
  <c r="N32" i="9"/>
  <c r="O32" i="9"/>
  <c r="P32" i="9"/>
  <c r="Q32" i="9"/>
  <c r="R32" i="9"/>
  <c r="T32" i="9"/>
  <c r="R33" i="9"/>
  <c r="T33" i="9"/>
  <c r="R34" i="9"/>
  <c r="T34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T35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T37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T39" i="9"/>
  <c r="K41" i="9"/>
  <c r="L41" i="9"/>
  <c r="M41" i="9"/>
  <c r="N41" i="9"/>
  <c r="O41" i="9"/>
  <c r="P41" i="9"/>
  <c r="Q41" i="9"/>
  <c r="R41" i="9"/>
  <c r="T41" i="9"/>
  <c r="R42" i="9"/>
  <c r="T42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T44" i="9"/>
  <c r="R47" i="9"/>
  <c r="T47" i="9"/>
  <c r="H48" i="9"/>
  <c r="R48" i="9"/>
  <c r="T48" i="9"/>
  <c r="R49" i="9"/>
  <c r="T49" i="9"/>
  <c r="R50" i="9"/>
  <c r="T50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T51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T52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T55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T56" i="9"/>
  <c r="R57" i="9"/>
  <c r="T57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T58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T60" i="9"/>
  <c r="T61" i="9"/>
  <c r="R63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F6" i="1"/>
  <c r="C8" i="1"/>
  <c r="C9" i="1"/>
  <c r="E9" i="1"/>
  <c r="F9" i="1"/>
  <c r="B10" i="1"/>
  <c r="C10" i="1"/>
  <c r="E10" i="1"/>
  <c r="F10" i="1"/>
  <c r="B12" i="1"/>
  <c r="C12" i="1"/>
  <c r="E12" i="1"/>
  <c r="F12" i="1"/>
  <c r="C16" i="1"/>
  <c r="F16" i="1"/>
  <c r="C17" i="1"/>
  <c r="F17" i="1"/>
  <c r="E20" i="1"/>
  <c r="E21" i="1"/>
  <c r="E22" i="1"/>
  <c r="E27" i="1"/>
  <c r="E29" i="1"/>
  <c r="E30" i="1"/>
  <c r="E33" i="1"/>
  <c r="F33" i="1"/>
  <c r="B43" i="1"/>
  <c r="B44" i="1"/>
  <c r="C47" i="1"/>
  <c r="B52" i="1"/>
  <c r="B53" i="1"/>
  <c r="B54" i="1"/>
  <c r="C55" i="1"/>
  <c r="B59" i="1"/>
  <c r="C60" i="1"/>
  <c r="C65" i="1"/>
</calcChain>
</file>

<file path=xl/comments1.xml><?xml version="1.0" encoding="utf-8"?>
<comments xmlns="http://schemas.openxmlformats.org/spreadsheetml/2006/main">
  <authors>
    <author>E31239</author>
  </authors>
  <commentList>
    <comment ref="E51" authorId="0" shapeId="0">
      <text>
        <r>
          <rPr>
            <b/>
            <sz val="8"/>
            <color indexed="81"/>
            <rFont val="Tahoma"/>
          </rPr>
          <t>E31239:</t>
        </r>
        <r>
          <rPr>
            <sz val="8"/>
            <color indexed="81"/>
            <rFont val="Tahoma"/>
          </rPr>
          <t xml:space="preserve">
Includes reversal of $17.4M Cum Effect ($16M in 2001)</t>
        </r>
      </text>
    </comment>
  </commentList>
</comments>
</file>

<file path=xl/sharedStrings.xml><?xml version="1.0" encoding="utf-8"?>
<sst xmlns="http://schemas.openxmlformats.org/spreadsheetml/2006/main" count="512" uniqueCount="211">
  <si>
    <t>Stipulated Power Cost Adjustment Mechanism (250 BP Dead Band, 150 BP 1st Tier with 50/50 Sharing, 90/10 Sharing Outside First Tier)</t>
  </si>
  <si>
    <t>9 month Base = $176 MM</t>
  </si>
  <si>
    <t>1st Tier Sharing</t>
  </si>
  <si>
    <t>NVPC 1999 (Adjusted)</t>
  </si>
  <si>
    <t xml:space="preserve">PGE Share = </t>
  </si>
  <si>
    <t>2001 Load Forecast (Mwa)</t>
  </si>
  <si>
    <t xml:space="preserve">Customer Share = </t>
  </si>
  <si>
    <t>1999 Load (Mwa)</t>
  </si>
  <si>
    <t>Base NVPC 2001 (Load Adjusted)</t>
  </si>
  <si>
    <t>2nd Tier Sharing</t>
  </si>
  <si>
    <t>NVPC 2001 (Monet)</t>
  </si>
  <si>
    <t>Monthly Adder</t>
  </si>
  <si>
    <t>Monthly Dead Band</t>
  </si>
  <si>
    <t>250 Basis Points</t>
  </si>
  <si>
    <t>1st Tier Monthly Band</t>
  </si>
  <si>
    <t>150 Basis Points</t>
  </si>
  <si>
    <t>JAN</t>
  </si>
  <si>
    <t>FEB</t>
  </si>
  <si>
    <t xml:space="preserve">MAR 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</si>
  <si>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</si>
  <si>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</si>
  <si>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</si>
  <si>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</si>
  <si>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</si>
  <si>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</si>
  <si>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</si>
  <si>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</si>
  <si>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</si>
  <si>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TOTAL</t>
  </si>
  <si>
    <t>NVPC (2001 Monet)</t>
  </si>
  <si>
    <t>Base NVPC 2001</t>
  </si>
  <si>
    <t>Upper Limit of 50/50 Sharing</t>
  </si>
  <si>
    <t>Upper Band</t>
  </si>
  <si>
    <t>Lower Band</t>
  </si>
  <si>
    <t>90/10 Sharing on all below dead band</t>
  </si>
  <si>
    <t>Cumulative Totals</t>
  </si>
  <si>
    <t>Change in the Deferral each month</t>
  </si>
  <si>
    <t>Budget (no Overview)</t>
  </si>
  <si>
    <t>2001 POWER COST</t>
  </si>
  <si>
    <t>JANUARY - MAY ACTUALS</t>
  </si>
  <si>
    <t>WITH MTM</t>
  </si>
  <si>
    <t>JUNE 7, 2001 FORECAST  -  F.O.R</t>
  </si>
  <si>
    <t>$1000</t>
  </si>
  <si>
    <t>JUNE NEAR TERM FORECAST</t>
  </si>
  <si>
    <t>JUL-DEC BASED ON MONET FORECAST</t>
  </si>
  <si>
    <t>MAR</t>
  </si>
  <si>
    <t>MAY</t>
  </si>
  <si>
    <t>ANNUAL</t>
  </si>
  <si>
    <t>SEP YTD</t>
  </si>
  <si>
    <t>PURCHASE POWER</t>
  </si>
  <si>
    <t>FIRM PURCHASES</t>
  </si>
  <si>
    <t>INTERCHANGE/STORAGE</t>
  </si>
  <si>
    <t>ELEC FINANCIALS</t>
  </si>
  <si>
    <t>FAS 133 - SPEC -ELEC</t>
  </si>
  <si>
    <t>SECONDARY PURCHASES</t>
  </si>
  <si>
    <t>TOTAL PURCHASES</t>
  </si>
  <si>
    <t>WHEELING</t>
  </si>
  <si>
    <t>GENERATION</t>
  </si>
  <si>
    <t>STEAM FUEL</t>
  </si>
  <si>
    <t>CENTRALIA</t>
  </si>
  <si>
    <t>COLSTRIP</t>
  </si>
  <si>
    <t>BOARDMAN</t>
  </si>
  <si>
    <t>TOTAL STEAM</t>
  </si>
  <si>
    <t>HYDRO PRODUCTION</t>
  </si>
  <si>
    <t>OTHER PRODUCTION</t>
  </si>
  <si>
    <t>BEAVER &amp; BEAVER PEAKER</t>
  </si>
  <si>
    <t>COYOTE</t>
  </si>
  <si>
    <t>BEAVER/COYOTE GAS TRANS, ETC</t>
  </si>
  <si>
    <t>GAS  FINANCIALS</t>
  </si>
  <si>
    <t>FAS 133 - SPEC- GAS</t>
  </si>
  <si>
    <t>FAS 133 - NONSPEC - GAS</t>
  </si>
  <si>
    <t>TOTAL OTHER PRODUCTION</t>
  </si>
  <si>
    <t>TOTAL GENERATION</t>
  </si>
  <si>
    <t>TOTAL SYSTEM LOAD</t>
  </si>
  <si>
    <t>SALES FOR RESALE</t>
  </si>
  <si>
    <t>GAS FOR RESALE</t>
  </si>
  <si>
    <t>NET VARIABLE POWER COSTS</t>
  </si>
  <si>
    <t>PCA Adjustments:</t>
  </si>
  <si>
    <t>Remove prior period adj</t>
  </si>
  <si>
    <t>Remove Bad Debt provisions</t>
  </si>
  <si>
    <t>Add back lost Demand Buyback revenues</t>
  </si>
  <si>
    <t>Remove Boise impact</t>
  </si>
  <si>
    <t>FAS 133 - GAS - NON SPEC</t>
  </si>
  <si>
    <t>N24236</t>
  </si>
  <si>
    <t>Subtotal</t>
  </si>
  <si>
    <t>SPEC BOOK</t>
  </si>
  <si>
    <t>FAS 133 - ELEC - SPEC</t>
  </si>
  <si>
    <t>N15007</t>
  </si>
  <si>
    <t>FAS 133 - GAS - SPEC</t>
  </si>
  <si>
    <t xml:space="preserve">   Realized SPEC Margin </t>
  </si>
  <si>
    <t>N11119,N24238,M22118</t>
  </si>
  <si>
    <t>Subtotal Spec Book</t>
  </si>
  <si>
    <t>NVPC SUBJECT TO PCA DEFERRAL</t>
  </si>
  <si>
    <t>PCA (PGE collects)/PGE refunds to customers</t>
  </si>
  <si>
    <t>NVPC BUDGET</t>
  </si>
  <si>
    <t>NVPC Forecast over (under) Budget</t>
  </si>
  <si>
    <t>2002 FORECAST - BUDGET</t>
  </si>
  <si>
    <t>2002 FORECAST - CURRENT</t>
  </si>
  <si>
    <t>Current fcst over (under) budget</t>
  </si>
  <si>
    <t>JUNE 19, 2001 FORECAST</t>
  </si>
  <si>
    <t>June 19 forecast</t>
  </si>
  <si>
    <t>Monthly Deferral Calculation</t>
  </si>
  <si>
    <t>Cumulative Power Cost</t>
  </si>
  <si>
    <t>Total Deferral</t>
  </si>
  <si>
    <t>JANUARY - APRIL ACTUALS</t>
  </si>
  <si>
    <t>MAY 8, 2001 FORECAST - F.O.R.</t>
  </si>
  <si>
    <t>MAY NEAR TERM FORECAST</t>
  </si>
  <si>
    <t>JUN-DEC BASED ON MONET FORECAST</t>
  </si>
  <si>
    <t>NET SYSTEM LOAD</t>
  </si>
  <si>
    <t>Remove gas under-accrual in 2000</t>
  </si>
  <si>
    <t>Subtotal Spec Activity</t>
  </si>
  <si>
    <t>PCA (Credit) Sharing (Sep YTD Forecast)</t>
  </si>
  <si>
    <t>May 8 forecast</t>
  </si>
  <si>
    <t/>
  </si>
  <si>
    <t>Budget</t>
  </si>
  <si>
    <t>Plan</t>
  </si>
  <si>
    <t>Revenues</t>
  </si>
  <si>
    <t>Net Variable Power Cost</t>
  </si>
  <si>
    <t>PCA</t>
  </si>
  <si>
    <t>Gross Margin</t>
  </si>
  <si>
    <t>Net Power Cost</t>
  </si>
  <si>
    <t>&amp; Forecast</t>
  </si>
  <si>
    <t>Actuals May</t>
  </si>
  <si>
    <t>Retail (excluding Demand BB)</t>
  </si>
  <si>
    <t>Demand BB</t>
  </si>
  <si>
    <t>Total Lost Load</t>
  </si>
  <si>
    <t>Total Lost Revenue</t>
  </si>
  <si>
    <t>Demand BB (in Mechanism)</t>
  </si>
  <si>
    <t>June 19 PC Forecast</t>
  </si>
  <si>
    <t>PGE IBIT</t>
  </si>
  <si>
    <t>PGE Net Income</t>
  </si>
  <si>
    <t>Fourth Quarter Power Cost</t>
  </si>
  <si>
    <t>Changes From Budget</t>
  </si>
  <si>
    <t>Error Wrong Sign</t>
  </si>
  <si>
    <t>June 7 forecast</t>
  </si>
  <si>
    <t>2001 Summary of Gross Margin</t>
  </si>
  <si>
    <t>Cum Forecasted Retail Power Cost</t>
  </si>
  <si>
    <t>Graph Information</t>
  </si>
  <si>
    <t>Lower Limit of 50/50 Sharing</t>
  </si>
  <si>
    <t xml:space="preserve"> Total Deferral</t>
  </si>
  <si>
    <t>Revenue &amp; Load Reconciliation:</t>
  </si>
  <si>
    <t>(All numbers are Calendar)</t>
  </si>
  <si>
    <t>Load (in Mwa)*: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</si>
  <si>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</si>
  <si>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</si>
  <si>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</si>
  <si>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</si>
  <si>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</si>
  <si>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</si>
  <si>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</si>
  <si>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</si>
  <si>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</si>
  <si>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</si>
  <si>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</si>
  <si>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</si>
  <si>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</si>
  <si>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Hours/Month</t>
  </si>
  <si>
    <t>Budgeted</t>
  </si>
  <si>
    <t>Budgeted Mwh</t>
  </si>
  <si>
    <t>Actual</t>
  </si>
  <si>
    <t>Actual Mwh</t>
  </si>
  <si>
    <t>Forecast</t>
  </si>
  <si>
    <t>Forecast Mwh</t>
  </si>
  <si>
    <t>Variance (monthly)</t>
  </si>
  <si>
    <t>Variance (monthly) Mwh</t>
  </si>
  <si>
    <t>Variance (YTD)</t>
  </si>
  <si>
    <t>% Variance (monthly)</t>
  </si>
  <si>
    <t>% Variance (YTD)</t>
  </si>
  <si>
    <t>Loss Revenue (million $)**:</t>
  </si>
  <si>
    <t>Budgeted:</t>
  </si>
  <si>
    <t>Base**</t>
  </si>
  <si>
    <t>Revenue</t>
  </si>
  <si>
    <t>Rate Increase</t>
  </si>
  <si>
    <t>Tariff Adj</t>
  </si>
  <si>
    <t>Total Budgeted</t>
  </si>
  <si>
    <t>Actual &amp; Forecast:</t>
  </si>
  <si>
    <t>Total Forecast</t>
  </si>
  <si>
    <t>Variance (monthly)***</t>
  </si>
  <si>
    <t>Demand Buy-back:</t>
  </si>
  <si>
    <t>For the 9 month period</t>
  </si>
  <si>
    <t>Load est.</t>
  </si>
  <si>
    <t>* Energy numbers from "MONET", Net System Load, therefore before line loss</t>
  </si>
  <si>
    <t>** Including Demand Buy-back</t>
  </si>
  <si>
    <t>*** Sept includes SAVE true-up for $5 million gain</t>
  </si>
  <si>
    <t>PGE Share @ 10% level</t>
  </si>
  <si>
    <t>Value of Lost Load for 9 months  (load * Market Price)</t>
  </si>
  <si>
    <t>Revenue Reduction from Load Loss (9 months)</t>
  </si>
  <si>
    <t>Load Loss from Budget Forecast MWH - 9 months</t>
  </si>
  <si>
    <t xml:space="preserve">   Credit Reserve</t>
  </si>
  <si>
    <t>Revenue Change (9 months)</t>
  </si>
  <si>
    <t xml:space="preserve">   PCA Adjustment</t>
  </si>
  <si>
    <t xml:space="preserve">O&amp;M </t>
  </si>
  <si>
    <t xml:space="preserve">   Accounting Change</t>
  </si>
  <si>
    <t xml:space="preserve">   Sub Total Power</t>
  </si>
  <si>
    <t>Revised EBIT Forecast</t>
  </si>
  <si>
    <t xml:space="preserve">   Sub Total O&amp;M</t>
  </si>
  <si>
    <t xml:space="preserve">   O&amp;M Changes</t>
  </si>
  <si>
    <t xml:space="preserve">   Retail Trading (9 months)</t>
  </si>
  <si>
    <t xml:space="preserve">   Merchant Trading (5 months)</t>
  </si>
  <si>
    <t>EBIT Reconciliation as of May with June 19 Power Case</t>
  </si>
  <si>
    <t xml:space="preserve">   Other Miscell Changes</t>
  </si>
  <si>
    <t xml:space="preserve">   Sub Total Revenue</t>
  </si>
  <si>
    <t>Power Cost Change from Budget</t>
  </si>
  <si>
    <t>Budget ( No Overview)</t>
  </si>
  <si>
    <t>TOLI (Income less than Budget)</t>
  </si>
  <si>
    <t xml:space="preserve">   Demand Buy Back (in PCA)</t>
  </si>
  <si>
    <t xml:space="preserve">   9 months Load Loss</t>
  </si>
  <si>
    <t xml:space="preserve">   Save Adjustment</t>
  </si>
  <si>
    <t>Miscellaneous Other</t>
  </si>
  <si>
    <t xml:space="preserve">   Retail Trading Adj (DBB &amp; MM)</t>
  </si>
  <si>
    <t>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</si>
</sst>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"/>
    <numFmt numFmtId="167" formatCode="_(* #,##0.0_);_(* \(#,##0.0\);_(* &quot;-&quot;??_);_(@_)"/>
    <numFmt numFmtId="168" formatCode="_(* #,##0_);_(* \(#,##0\);_(* &quot;-&quot;??_);_(@_)"/>
    <numFmt numFmtId="173" formatCode="0.000%"/>
    <numFmt numFmtId="191" formatCode="_(&quot;$&quot;* #,##0_);_(&quot;$&quot;* \(#,##0\);_(&quot;$&quot;* &quot;-&quot;??_);_(@_)"/>
    <numFmt numFmtId="313" formatCode="&quot;$&quot;#,##0.0_);\(&quot;$&quot;#,##0.0\)"/>
  </numFmts>
  <fonts count="30">
    <font>
      <sz val="10"/>
      <name val="Arial"/>
    </font>
    <font>
      <sz val="10"/>
      <name val="Arial"/>
    </font>
    <font>
      <sz val="11"/>
      <name val="Times New Roman"/>
    </font>
    <font>
      <sz val="10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8"/>
      <name val="Times New Roman"/>
      <family val="1"/>
    </font>
    <font>
      <sz val="10"/>
      <name val="MS Sans Serif"/>
    </font>
    <font>
      <sz val="10"/>
      <name val="Geneva"/>
    </font>
    <font>
      <sz val="10"/>
      <color indexed="8"/>
      <name val="MS Sans Serif"/>
    </font>
    <font>
      <sz val="8"/>
      <name val="Arial"/>
    </font>
    <font>
      <sz val="10"/>
      <name val="CG Times (W1)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2"/>
      <name val="Arial"/>
    </font>
    <font>
      <b/>
      <sz val="10"/>
      <color indexed="13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4"/>
      <name val="Arial"/>
      <family val="2"/>
    </font>
    <font>
      <sz val="10"/>
      <name val="Arial"/>
    </font>
    <font>
      <sz val="8.75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3" fontId="2" fillId="0" borderId="0" xfId="3" applyNumberFormat="1"/>
    <xf numFmtId="0" fontId="2" fillId="0" borderId="0" xfId="3"/>
    <xf numFmtId="0" fontId="2" fillId="0" borderId="0" xfId="3" applyAlignment="1">
      <alignment horizontal="center"/>
    </xf>
    <xf numFmtId="0" fontId="5" fillId="0" borderId="0" xfId="3" applyFont="1"/>
    <xf numFmtId="3" fontId="2" fillId="0" borderId="0" xfId="3" quotePrefix="1" applyNumberFormat="1"/>
    <xf numFmtId="9" fontId="2" fillId="0" borderId="0" xfId="4" applyFont="1"/>
    <xf numFmtId="164" fontId="2" fillId="0" borderId="0" xfId="3" applyNumberFormat="1"/>
    <xf numFmtId="3" fontId="2" fillId="0" borderId="0" xfId="3" applyNumberFormat="1" applyAlignment="1">
      <alignment horizontal="right"/>
    </xf>
    <xf numFmtId="10" fontId="2" fillId="0" borderId="0" xfId="4" applyNumberFormat="1" applyFont="1"/>
    <xf numFmtId="168" fontId="2" fillId="0" borderId="0" xfId="1" applyNumberFormat="1" applyFont="1"/>
    <xf numFmtId="3" fontId="5" fillId="0" borderId="0" xfId="3" applyNumberFormat="1" applyFont="1"/>
    <xf numFmtId="0" fontId="2" fillId="0" borderId="0" xfId="3" quotePrefix="1"/>
    <xf numFmtId="3" fontId="4" fillId="0" borderId="0" xfId="3" applyNumberFormat="1" applyFont="1"/>
    <xf numFmtId="0" fontId="6" fillId="0" borderId="0" xfId="3" applyFont="1"/>
    <xf numFmtId="3" fontId="7" fillId="0" borderId="0" xfId="3" applyNumberFormat="1" applyFont="1"/>
    <xf numFmtId="37" fontId="13" fillId="0" borderId="0" xfId="0" applyNumberFormat="1" applyFont="1" applyFill="1"/>
    <xf numFmtId="37" fontId="0" fillId="0" borderId="0" xfId="0" applyNumberFormat="1" applyFill="1"/>
    <xf numFmtId="0" fontId="0" fillId="0" borderId="1" xfId="0" applyBorder="1"/>
    <xf numFmtId="37" fontId="0" fillId="0" borderId="2" xfId="0" applyNumberFormat="1" applyFill="1" applyBorder="1"/>
    <xf numFmtId="37" fontId="0" fillId="0" borderId="3" xfId="0" applyNumberFormat="1" applyFill="1" applyBorder="1"/>
    <xf numFmtId="37" fontId="14" fillId="0" borderId="0" xfId="0" applyNumberFormat="1" applyFont="1" applyFill="1" applyBorder="1"/>
    <xf numFmtId="37" fontId="0" fillId="0" borderId="0" xfId="0" applyNumberFormat="1" applyFill="1" applyBorder="1"/>
    <xf numFmtId="37" fontId="15" fillId="0" borderId="4" xfId="0" applyNumberFormat="1" applyFont="1" applyFill="1" applyBorder="1"/>
    <xf numFmtId="37" fontId="13" fillId="0" borderId="0" xfId="0" quotePrefix="1" applyNumberFormat="1" applyFont="1" applyFill="1"/>
    <xf numFmtId="0" fontId="0" fillId="0" borderId="5" xfId="0" applyBorder="1"/>
    <xf numFmtId="37" fontId="0" fillId="0" borderId="6" xfId="0" applyNumberFormat="1" applyFill="1" applyBorder="1"/>
    <xf numFmtId="37" fontId="14" fillId="0" borderId="4" xfId="0" applyNumberFormat="1" applyFont="1" applyFill="1" applyBorder="1"/>
    <xf numFmtId="0" fontId="0" fillId="0" borderId="7" xfId="0" applyBorder="1"/>
    <xf numFmtId="0" fontId="0" fillId="0" borderId="8" xfId="0" applyBorder="1"/>
    <xf numFmtId="191" fontId="1" fillId="0" borderId="8" xfId="2" applyNumberFormat="1" applyBorder="1"/>
    <xf numFmtId="37" fontId="0" fillId="0" borderId="9" xfId="0" applyNumberFormat="1" applyFill="1" applyBorder="1"/>
    <xf numFmtId="0" fontId="0" fillId="0" borderId="0" xfId="0" applyFill="1"/>
    <xf numFmtId="0" fontId="0" fillId="0" borderId="10" xfId="0" applyFill="1" applyBorder="1"/>
    <xf numFmtId="37" fontId="0" fillId="0" borderId="4" xfId="0" applyNumberFormat="1" applyFill="1" applyBorder="1"/>
    <xf numFmtId="37" fontId="0" fillId="0" borderId="11" xfId="0" applyNumberFormat="1" applyFill="1" applyBorder="1" applyAlignment="1">
      <alignment horizontal="right"/>
    </xf>
    <xf numFmtId="37" fontId="0" fillId="0" borderId="12" xfId="0" applyNumberFormat="1" applyFill="1" applyBorder="1" applyAlignment="1">
      <alignment horizontal="right"/>
    </xf>
    <xf numFmtId="37" fontId="13" fillId="0" borderId="11" xfId="0" applyNumberFormat="1" applyFont="1" applyFill="1" applyBorder="1" applyAlignment="1">
      <alignment horizontal="right"/>
    </xf>
    <xf numFmtId="37" fontId="14" fillId="2" borderId="0" xfId="0" applyNumberFormat="1" applyFont="1" applyFill="1" applyBorder="1"/>
    <xf numFmtId="37" fontId="0" fillId="2" borderId="0" xfId="0" applyNumberFormat="1" applyFill="1" applyBorder="1"/>
    <xf numFmtId="37" fontId="0" fillId="2" borderId="4" xfId="0" applyNumberFormat="1" applyFill="1" applyBorder="1"/>
    <xf numFmtId="37" fontId="0" fillId="2" borderId="0" xfId="0" applyNumberFormat="1" applyFill="1"/>
    <xf numFmtId="37" fontId="0" fillId="0" borderId="11" xfId="0" applyNumberFormat="1" applyFill="1" applyBorder="1"/>
    <xf numFmtId="37" fontId="0" fillId="0" borderId="12" xfId="0" applyNumberFormat="1" applyFill="1" applyBorder="1"/>
    <xf numFmtId="37" fontId="14" fillId="2" borderId="0" xfId="0" applyNumberFormat="1" applyFont="1" applyFill="1"/>
    <xf numFmtId="37" fontId="0" fillId="2" borderId="11" xfId="0" applyNumberFormat="1" applyFill="1" applyBorder="1"/>
    <xf numFmtId="37" fontId="0" fillId="0" borderId="13" xfId="0" applyNumberFormat="1" applyFill="1" applyBorder="1"/>
    <xf numFmtId="37" fontId="13" fillId="0" borderId="14" xfId="0" applyNumberFormat="1" applyFont="1" applyFill="1" applyBorder="1"/>
    <xf numFmtId="37" fontId="16" fillId="0" borderId="0" xfId="0" applyNumberFormat="1" applyFont="1" applyFill="1" applyBorder="1"/>
    <xf numFmtId="0" fontId="0" fillId="0" borderId="0" xfId="0" applyFill="1" applyBorder="1"/>
    <xf numFmtId="9" fontId="17" fillId="0" borderId="0" xfId="0" applyNumberFormat="1" applyFont="1" applyFill="1" applyBorder="1"/>
    <xf numFmtId="168" fontId="13" fillId="0" borderId="0" xfId="1" applyNumberFormat="1" applyFont="1" applyFill="1" applyBorder="1"/>
    <xf numFmtId="168" fontId="13" fillId="0" borderId="15" xfId="1" applyNumberFormat="1" applyFont="1" applyFill="1" applyBorder="1"/>
    <xf numFmtId="168" fontId="13" fillId="0" borderId="8" xfId="1" applyNumberFormat="1" applyFont="1" applyFill="1" applyBorder="1"/>
    <xf numFmtId="37" fontId="18" fillId="0" borderId="16" xfId="0" applyNumberFormat="1" applyFont="1" applyFill="1" applyBorder="1"/>
    <xf numFmtId="37" fontId="16" fillId="0" borderId="2" xfId="0" applyNumberFormat="1" applyFont="1" applyFill="1" applyBorder="1"/>
    <xf numFmtId="0" fontId="0" fillId="0" borderId="2" xfId="0" applyFill="1" applyBorder="1"/>
    <xf numFmtId="9" fontId="17" fillId="0" borderId="2" xfId="0" applyNumberFormat="1" applyFont="1" applyFill="1" applyBorder="1"/>
    <xf numFmtId="168" fontId="13" fillId="0" borderId="2" xfId="1" applyNumberFormat="1" applyFont="1" applyFill="1" applyBorder="1"/>
    <xf numFmtId="168" fontId="13" fillId="0" borderId="17" xfId="1" applyNumberFormat="1" applyFont="1" applyFill="1" applyBorder="1"/>
    <xf numFmtId="168" fontId="13" fillId="0" borderId="3" xfId="1" applyNumberFormat="1" applyFont="1" applyFill="1" applyBorder="1"/>
    <xf numFmtId="37" fontId="0" fillId="0" borderId="18" xfId="0" applyNumberFormat="1" applyFill="1" applyBorder="1"/>
    <xf numFmtId="37" fontId="19" fillId="0" borderId="0" xfId="0" applyNumberFormat="1" applyFont="1" applyFill="1" applyBorder="1"/>
    <xf numFmtId="37" fontId="0" fillId="3" borderId="0" xfId="0" applyNumberFormat="1" applyFill="1" applyBorder="1"/>
    <xf numFmtId="37" fontId="0" fillId="3" borderId="4" xfId="0" applyNumberFormat="1" applyFill="1" applyBorder="1"/>
    <xf numFmtId="37" fontId="13" fillId="2" borderId="18" xfId="0" applyNumberFormat="1" applyFont="1" applyFill="1" applyBorder="1"/>
    <xf numFmtId="37" fontId="0" fillId="2" borderId="12" xfId="0" applyNumberFormat="1" applyFill="1" applyBorder="1"/>
    <xf numFmtId="37" fontId="0" fillId="2" borderId="19" xfId="0" applyNumberFormat="1" applyFill="1" applyBorder="1"/>
    <xf numFmtId="37" fontId="20" fillId="0" borderId="18" xfId="0" applyNumberFormat="1" applyFont="1" applyFill="1" applyBorder="1"/>
    <xf numFmtId="37" fontId="0" fillId="2" borderId="6" xfId="0" applyNumberFormat="1" applyFill="1" applyBorder="1"/>
    <xf numFmtId="37" fontId="0" fillId="3" borderId="11" xfId="0" applyNumberFormat="1" applyFill="1" applyBorder="1"/>
    <xf numFmtId="37" fontId="0" fillId="3" borderId="12" xfId="0" applyNumberFormat="1" applyFill="1" applyBorder="1"/>
    <xf numFmtId="37" fontId="0" fillId="0" borderId="19" xfId="0" applyNumberFormat="1" applyFill="1" applyBorder="1"/>
    <xf numFmtId="37" fontId="0" fillId="0" borderId="10" xfId="0" applyNumberFormat="1" applyFill="1" applyBorder="1"/>
    <xf numFmtId="37" fontId="13" fillId="0" borderId="18" xfId="0" applyNumberFormat="1" applyFont="1" applyFill="1" applyBorder="1"/>
    <xf numFmtId="37" fontId="13" fillId="0" borderId="20" xfId="0" applyNumberFormat="1" applyFont="1" applyFill="1" applyBorder="1"/>
    <xf numFmtId="37" fontId="0" fillId="0" borderId="8" xfId="0" applyNumberFormat="1" applyFill="1" applyBorder="1"/>
    <xf numFmtId="37" fontId="0" fillId="0" borderId="21" xfId="0" applyNumberFormat="1" applyFill="1" applyBorder="1"/>
    <xf numFmtId="37" fontId="13" fillId="3" borderId="14" xfId="0" applyNumberFormat="1" applyFont="1" applyFill="1" applyBorder="1"/>
    <xf numFmtId="37" fontId="13" fillId="0" borderId="0" xfId="0" applyNumberFormat="1" applyFont="1" applyFill="1" applyBorder="1"/>
    <xf numFmtId="37" fontId="0" fillId="0" borderId="14" xfId="0" applyNumberFormat="1" applyFill="1" applyBorder="1"/>
    <xf numFmtId="37" fontId="0" fillId="0" borderId="1" xfId="0" applyNumberFormat="1" applyFill="1" applyBorder="1"/>
    <xf numFmtId="37" fontId="0" fillId="3" borderId="7" xfId="0" applyNumberFormat="1" applyFill="1" applyBorder="1"/>
    <xf numFmtId="37" fontId="0" fillId="0" borderId="7" xfId="0" applyNumberFormat="1" applyFill="1" applyBorder="1"/>
    <xf numFmtId="37" fontId="14" fillId="0" borderId="0" xfId="0" applyNumberFormat="1" applyFont="1" applyFill="1"/>
    <xf numFmtId="0" fontId="2" fillId="0" borderId="16" xfId="3" applyFont="1" applyBorder="1"/>
    <xf numFmtId="168" fontId="2" fillId="0" borderId="2" xfId="1" applyNumberFormat="1" applyFont="1" applyBorder="1"/>
    <xf numFmtId="168" fontId="2" fillId="0" borderId="3" xfId="1" applyNumberFormat="1" applyFont="1" applyBorder="1"/>
    <xf numFmtId="168" fontId="2" fillId="0" borderId="0" xfId="3" applyNumberFormat="1" applyBorder="1"/>
    <xf numFmtId="168" fontId="2" fillId="0" borderId="6" xfId="3" applyNumberFormat="1" applyBorder="1"/>
    <xf numFmtId="168" fontId="2" fillId="0" borderId="0" xfId="1" applyNumberFormat="1" applyFont="1" applyBorder="1"/>
    <xf numFmtId="0" fontId="2" fillId="0" borderId="20" xfId="3" applyBorder="1"/>
    <xf numFmtId="168" fontId="2" fillId="0" borderId="8" xfId="3" applyNumberFormat="1" applyBorder="1"/>
    <xf numFmtId="168" fontId="2" fillId="0" borderId="9" xfId="3" applyNumberFormat="1" applyBorder="1"/>
    <xf numFmtId="168" fontId="5" fillId="0" borderId="14" xfId="1" applyNumberFormat="1" applyFont="1" applyBorder="1"/>
    <xf numFmtId="0" fontId="2" fillId="0" borderId="16" xfId="3" applyBorder="1"/>
    <xf numFmtId="0" fontId="2" fillId="0" borderId="18" xfId="3" applyFont="1" applyBorder="1"/>
    <xf numFmtId="168" fontId="13" fillId="0" borderId="4" xfId="1" applyNumberFormat="1" applyFont="1" applyFill="1" applyBorder="1"/>
    <xf numFmtId="37" fontId="0" fillId="2" borderId="22" xfId="0" applyNumberFormat="1" applyFill="1" applyBorder="1"/>
    <xf numFmtId="37" fontId="0" fillId="2" borderId="10" xfId="0" applyNumberFormat="1" applyFill="1" applyBorder="1"/>
    <xf numFmtId="37" fontId="0" fillId="3" borderId="22" xfId="0" applyNumberFormat="1" applyFill="1" applyBorder="1"/>
    <xf numFmtId="0" fontId="2" fillId="0" borderId="0" xfId="3" applyFont="1"/>
    <xf numFmtId="0" fontId="2" fillId="0" borderId="0" xfId="3" quotePrefix="1" applyFont="1"/>
    <xf numFmtId="0" fontId="0" fillId="0" borderId="11" xfId="0" applyBorder="1"/>
    <xf numFmtId="5" fontId="0" fillId="0" borderId="0" xfId="0" applyNumberFormat="1"/>
    <xf numFmtId="5" fontId="0" fillId="0" borderId="11" xfId="0" applyNumberFormat="1" applyBorder="1"/>
    <xf numFmtId="5" fontId="0" fillId="0" borderId="0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/>
    <xf numFmtId="0" fontId="23" fillId="0" borderId="0" xfId="0" applyFont="1"/>
    <xf numFmtId="5" fontId="13" fillId="0" borderId="0" xfId="0" applyNumberFormat="1" applyFont="1"/>
    <xf numFmtId="168" fontId="2" fillId="0" borderId="0" xfId="1" applyNumberFormat="1" applyFont="1" applyAlignment="1">
      <alignment horizontal="center"/>
    </xf>
    <xf numFmtId="168" fontId="2" fillId="0" borderId="0" xfId="3" applyNumberForma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7" fillId="0" borderId="0" xfId="0" applyFont="1" applyAlignment="1"/>
    <xf numFmtId="0" fontId="29" fillId="0" borderId="0" xfId="0" applyFont="1"/>
    <xf numFmtId="168" fontId="27" fillId="0" borderId="0" xfId="1" applyNumberFormat="1" applyFont="1"/>
    <xf numFmtId="43" fontId="27" fillId="0" borderId="0" xfId="1" applyNumberFormat="1" applyFont="1"/>
    <xf numFmtId="168" fontId="27" fillId="0" borderId="0" xfId="0" applyNumberFormat="1" applyFont="1"/>
    <xf numFmtId="168" fontId="27" fillId="0" borderId="0" xfId="0" applyNumberFormat="1" applyFont="1" applyBorder="1"/>
    <xf numFmtId="168" fontId="27" fillId="0" borderId="0" xfId="1" applyNumberFormat="1" applyFont="1" applyBorder="1"/>
    <xf numFmtId="9" fontId="27" fillId="0" borderId="0" xfId="4" applyFont="1"/>
    <xf numFmtId="167" fontId="27" fillId="0" borderId="0" xfId="1" applyNumberFormat="1" applyFont="1"/>
    <xf numFmtId="43" fontId="27" fillId="0" borderId="0" xfId="0" applyNumberFormat="1" applyFont="1"/>
    <xf numFmtId="44" fontId="27" fillId="0" borderId="0" xfId="2" applyFont="1"/>
    <xf numFmtId="173" fontId="27" fillId="0" borderId="0" xfId="4" applyNumberFormat="1" applyFont="1"/>
    <xf numFmtId="43" fontId="27" fillId="0" borderId="0" xfId="1" applyFont="1"/>
    <xf numFmtId="10" fontId="27" fillId="0" borderId="0" xfId="4" applyNumberFormat="1" applyFont="1"/>
    <xf numFmtId="313" fontId="0" fillId="0" borderId="0" xfId="0" applyNumberFormat="1"/>
    <xf numFmtId="313" fontId="0" fillId="0" borderId="11" xfId="0" applyNumberFormat="1" applyBorder="1"/>
    <xf numFmtId="313" fontId="13" fillId="0" borderId="0" xfId="0" applyNumberFormat="1" applyFont="1"/>
    <xf numFmtId="313" fontId="0" fillId="0" borderId="0" xfId="0" applyNumberFormat="1" applyBorder="1"/>
    <xf numFmtId="168" fontId="0" fillId="0" borderId="0" xfId="1" applyNumberFormat="1" applyFont="1"/>
    <xf numFmtId="168" fontId="0" fillId="0" borderId="11" xfId="1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power cost deferral-june 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Retail Power Cost &amp; Deferral
June 19 forecast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3539967373572595"/>
          <c:w val="0.76137624861265263"/>
          <c:h val="0.75856443719412725"/>
        </c:manualLayout>
      </c:layout>
      <c:lineChart>
        <c:grouping val="standard"/>
        <c:varyColors val="0"/>
        <c:ser>
          <c:idx val="0"/>
          <c:order val="0"/>
          <c:tx>
            <c:strRef>
              <c:f>'June 19 deferral'!$B$45</c:f>
              <c:strCache>
                <c:ptCount val="1"/>
                <c:pt idx="0">
                  <c:v> Upper Limit of 50/50 Sharing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'June 19 deferral'!$C$45:$K$45</c:f>
              <c:numCache>
                <c:formatCode>_(* #,##0_);_(* \(#,##0\);_(* "-"??_);_(@_)</c:formatCode>
                <c:ptCount val="9"/>
                <c:pt idx="0">
                  <c:v>63108.653626902371</c:v>
                </c:pt>
                <c:pt idx="1">
                  <c:v>79266.797253804747</c:v>
                </c:pt>
                <c:pt idx="2">
                  <c:v>76645.85488070712</c:v>
                </c:pt>
                <c:pt idx="3">
                  <c:v>115836.73850760949</c:v>
                </c:pt>
                <c:pt idx="4">
                  <c:v>144183.68213451188</c:v>
                </c:pt>
                <c:pt idx="5">
                  <c:v>139945.41476141426</c:v>
                </c:pt>
                <c:pt idx="6">
                  <c:v>175001.06838831663</c:v>
                </c:pt>
                <c:pt idx="7">
                  <c:v>191459.462015219</c:v>
                </c:pt>
                <c:pt idx="8">
                  <c:v>232353.74564212136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F-4E4C-80CF-DD9D3FD96220}"/>
            </c:ext>
          </c:extLst>
        </c:ser>
        <c:ser>
          <c:idx val="1"/>
          <c:order val="1"/>
          <c:tx>
            <c:strRef>
              <c:f>'June 19 deferral'!$B$46</c:f>
              <c:strCache>
                <c:ptCount val="1"/>
                <c:pt idx="0">
                  <c:v> Upper Band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'June 19 deferral'!$C$46:$K$46</c:f>
              <c:numCache>
                <c:formatCode>_(* #,##0_);_(* \(#,##0\);_(* "-"??_);_(@_)</c:formatCode>
                <c:ptCount val="9"/>
                <c:pt idx="0">
                  <c:v>60758.653626902371</c:v>
                </c:pt>
                <c:pt idx="1">
                  <c:v>74566.797253804747</c:v>
                </c:pt>
                <c:pt idx="2">
                  <c:v>69595.85488070712</c:v>
                </c:pt>
                <c:pt idx="3">
                  <c:v>106436.73850760949</c:v>
                </c:pt>
                <c:pt idx="4">
                  <c:v>132433.68213451188</c:v>
                </c:pt>
                <c:pt idx="5">
                  <c:v>125845.41476141426</c:v>
                </c:pt>
                <c:pt idx="6">
                  <c:v>158551.06838831663</c:v>
                </c:pt>
                <c:pt idx="7">
                  <c:v>172659.462015219</c:v>
                </c:pt>
                <c:pt idx="8">
                  <c:v>211203.74564212136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F-4E4C-80CF-DD9D3FD96220}"/>
            </c:ext>
          </c:extLst>
        </c:ser>
        <c:ser>
          <c:idx val="2"/>
          <c:order val="2"/>
          <c:tx>
            <c:strRef>
              <c:f>'June 19 deferral'!$B$47</c:f>
              <c:strCache>
                <c:ptCount val="1"/>
                <c:pt idx="0">
                  <c:v> Lower Band 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'June 19 deferral'!$C$47:$K$47</c:f>
              <c:numCache>
                <c:formatCode>_(* #,##0_);_(* \(#,##0\);_(* "-"??_);_(@_)</c:formatCode>
                <c:ptCount val="9"/>
                <c:pt idx="0">
                  <c:v>52925.320293569042</c:v>
                </c:pt>
                <c:pt idx="1">
                  <c:v>58900.130587138083</c:v>
                </c:pt>
                <c:pt idx="2">
                  <c:v>46095.85488070712</c:v>
                </c:pt>
                <c:pt idx="3">
                  <c:v>75103.405174276151</c:v>
                </c:pt>
                <c:pt idx="4">
                  <c:v>93267.015467845195</c:v>
                </c:pt>
                <c:pt idx="5">
                  <c:v>78845.414761414228</c:v>
                </c:pt>
                <c:pt idx="6">
                  <c:v>103717.73505498326</c:v>
                </c:pt>
                <c:pt idx="7">
                  <c:v>109992.7953485523</c:v>
                </c:pt>
                <c:pt idx="8">
                  <c:v>140703.74564212133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F-4E4C-80CF-DD9D3FD96220}"/>
            </c:ext>
          </c:extLst>
        </c:ser>
        <c:ser>
          <c:idx val="3"/>
          <c:order val="3"/>
          <c:tx>
            <c:strRef>
              <c:f>'June 19 deferral'!$B$48</c:f>
              <c:strCache>
                <c:ptCount val="1"/>
                <c:pt idx="0">
                  <c:v> Lower Limit of 50/50 Sharing 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'June 19 deferral'!$C$48:$K$48</c:f>
              <c:numCache>
                <c:formatCode>_(* #,##0_);_(* \(#,##0\);_(* "-"??_);_(@_)</c:formatCode>
                <c:ptCount val="9"/>
                <c:pt idx="0">
                  <c:v>50575.320293569042</c:v>
                </c:pt>
                <c:pt idx="1">
                  <c:v>54200.130587138083</c:v>
                </c:pt>
                <c:pt idx="2">
                  <c:v>39045.85488070712</c:v>
                </c:pt>
                <c:pt idx="3">
                  <c:v>65703.405174276151</c:v>
                </c:pt>
                <c:pt idx="4">
                  <c:v>81517.015467845195</c:v>
                </c:pt>
                <c:pt idx="5">
                  <c:v>64745.414761414235</c:v>
                </c:pt>
                <c:pt idx="6">
                  <c:v>87267.735054983263</c:v>
                </c:pt>
                <c:pt idx="7">
                  <c:v>91192.795348552303</c:v>
                </c:pt>
                <c:pt idx="8">
                  <c:v>119553.74564212134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F-4E4C-80CF-DD9D3FD96220}"/>
            </c:ext>
          </c:extLst>
        </c:ser>
        <c:ser>
          <c:idx val="4"/>
          <c:order val="4"/>
          <c:tx>
            <c:strRef>
              <c:f>'June 19 deferral'!$B$49</c:f>
              <c:strCache>
                <c:ptCount val="1"/>
                <c:pt idx="0">
                  <c:v> Cum Forecasted Retail Power Cost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'June 19 deferral'!$C$49:$K$49</c:f>
              <c:numCache>
                <c:formatCode>_(* #,##0_);_(* \(#,##0\);_(* "-"??_);_(@_)</c:formatCode>
                <c:ptCount val="9"/>
                <c:pt idx="0">
                  <c:v>68494.51682444445</c:v>
                </c:pt>
                <c:pt idx="1">
                  <c:v>75787.51682444445</c:v>
                </c:pt>
                <c:pt idx="2">
                  <c:v>76059.51682444445</c:v>
                </c:pt>
                <c:pt idx="3">
                  <c:v>67756.51682444445</c:v>
                </c:pt>
                <c:pt idx="4">
                  <c:v>93030.593824444455</c:v>
                </c:pt>
                <c:pt idx="5">
                  <c:v>108083.2382688889</c:v>
                </c:pt>
                <c:pt idx="6">
                  <c:v>179414.84427192702</c:v>
                </c:pt>
                <c:pt idx="7">
                  <c:v>247499.84621246517</c:v>
                </c:pt>
                <c:pt idx="8">
                  <c:v>315261.16722136282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F-4E4C-80CF-DD9D3FD96220}"/>
            </c:ext>
          </c:extLst>
        </c:ser>
        <c:ser>
          <c:idx val="5"/>
          <c:order val="5"/>
          <c:tx>
            <c:strRef>
              <c:f>'June 19 deferral'!$B$50</c:f>
              <c:strCache>
                <c:ptCount val="1"/>
                <c:pt idx="0">
                  <c:v> Total Deferral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'June 19 deferral'!$C$50:$K$50</c:f>
              <c:numCache>
                <c:formatCode>_(* #,##0_);_(* \(#,##0\);_(* "-"??_);_(@_)</c:formatCode>
                <c:ptCount val="9"/>
                <c:pt idx="0">
                  <c:v>6022.2768777878719</c:v>
                </c:pt>
                <c:pt idx="1">
                  <c:v>610.35978531985165</c:v>
                </c:pt>
                <c:pt idx="2">
                  <c:v>3231.8309718686651</c:v>
                </c:pt>
                <c:pt idx="3">
                  <c:v>3673.4441749158505</c:v>
                </c:pt>
                <c:pt idx="4">
                  <c:v>118.21082170036971</c:v>
                </c:pt>
                <c:pt idx="5">
                  <c:v>0</c:v>
                </c:pt>
                <c:pt idx="6">
                  <c:v>12197.39829524935</c:v>
                </c:pt>
                <c:pt idx="7">
                  <c:v>59836.34577752155</c:v>
                </c:pt>
                <c:pt idx="8">
                  <c:v>85191.679421317313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F-4E4C-80CF-DD9D3FD9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9200"/>
        <c:axId val="1"/>
      </c:lineChart>
      <c:catAx>
        <c:axId val="6316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Net Retail Power Cost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7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61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98E88CD-B1C3-F2FF-DF52-E68487D8E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</cdr:x>
      <cdr:y>0.1665</cdr:y>
    </cdr:from>
    <cdr:to>
      <cdr:x>0.834</cdr:x>
      <cdr:y>0.2335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40A2B49F-70DE-C4A5-9E06-8C44C1FA33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4582" y="972164"/>
          <a:ext cx="1132827" cy="39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Cumulative Retail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Net Power Cost</a:t>
          </a:r>
        </a:p>
      </cdr:txBody>
    </cdr:sp>
  </cdr:relSizeAnchor>
  <cdr:relSizeAnchor xmlns:cdr="http://schemas.openxmlformats.org/drawingml/2006/chartDrawing">
    <cdr:from>
      <cdr:x>0.817</cdr:x>
      <cdr:y>0.50725</cdr:y>
    </cdr:from>
    <cdr:to>
      <cdr:x>0.90475</cdr:x>
      <cdr:y>0.54475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9BE39A68-47B5-7F32-9D89-2F53939477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1514" y="2961744"/>
          <a:ext cx="75307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Dead Band</a:t>
          </a:r>
        </a:p>
      </cdr:txBody>
    </cdr:sp>
  </cdr:relSizeAnchor>
  <cdr:relSizeAnchor xmlns:cdr="http://schemas.openxmlformats.org/drawingml/2006/chartDrawing">
    <cdr:from>
      <cdr:x>0.817</cdr:x>
      <cdr:y>0.35025</cdr:y>
    </cdr:from>
    <cdr:to>
      <cdr:x>0.918</cdr:x>
      <cdr:y>0.38775</cdr:y>
    </cdr:to>
    <cdr:sp macro="" textlink="">
      <cdr:nvSpPr>
        <cdr:cNvPr id="2054" name="Text Box 6">
          <a:extLst xmlns:a="http://schemas.openxmlformats.org/drawingml/2006/main">
            <a:ext uri="{FF2B5EF4-FFF2-40B4-BE49-F238E27FC236}">
              <a16:creationId xmlns:a16="http://schemas.microsoft.com/office/drawing/2014/main" id="{6D48EBEC-B5EA-9041-1065-ED19045B72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1514" y="2045048"/>
          <a:ext cx="86678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90/10 Zone</a:t>
          </a:r>
        </a:p>
      </cdr:txBody>
    </cdr:sp>
  </cdr:relSizeAnchor>
  <cdr:relSizeAnchor xmlns:cdr="http://schemas.openxmlformats.org/drawingml/2006/chartDrawing">
    <cdr:from>
      <cdr:x>0.817</cdr:x>
      <cdr:y>0.40025</cdr:y>
    </cdr:from>
    <cdr:to>
      <cdr:x>0.918</cdr:x>
      <cdr:y>0.43775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DDDE20CF-BF14-A2FC-F6C0-25D6FAA0A2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1514" y="2336990"/>
          <a:ext cx="86678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50/50 Zone</a:t>
          </a:r>
        </a:p>
      </cdr:txBody>
    </cdr:sp>
  </cdr:relSizeAnchor>
  <cdr:relSizeAnchor xmlns:cdr="http://schemas.openxmlformats.org/drawingml/2006/chartDrawing">
    <cdr:from>
      <cdr:x>0.817</cdr:x>
      <cdr:y>0.59825</cdr:y>
    </cdr:from>
    <cdr:to>
      <cdr:x>0.918</cdr:x>
      <cdr:y>0.63575</cdr:y>
    </cdr:to>
    <cdr:sp macro="" textlink="">
      <cdr:nvSpPr>
        <cdr:cNvPr id="2056" name="Text Box 8">
          <a:extLst xmlns:a="http://schemas.openxmlformats.org/drawingml/2006/main">
            <a:ext uri="{FF2B5EF4-FFF2-40B4-BE49-F238E27FC236}">
              <a16:creationId xmlns:a16="http://schemas.microsoft.com/office/drawing/2014/main" id="{0D7D2543-6ACC-877D-27CE-10B392D4DA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1514" y="3493077"/>
          <a:ext cx="86678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50/50 Zone</a:t>
          </a:r>
        </a:p>
      </cdr:txBody>
    </cdr:sp>
  </cdr:relSizeAnchor>
  <cdr:relSizeAnchor xmlns:cdr="http://schemas.openxmlformats.org/drawingml/2006/chartDrawing">
    <cdr:from>
      <cdr:x>0.817</cdr:x>
      <cdr:y>0.6505</cdr:y>
    </cdr:from>
    <cdr:to>
      <cdr:x>0.918</cdr:x>
      <cdr:y>0.688</cdr:y>
    </cdr:to>
    <cdr:sp macro="" textlink="">
      <cdr:nvSpPr>
        <cdr:cNvPr id="2057" name="Text Box 9">
          <a:extLst xmlns:a="http://schemas.openxmlformats.org/drawingml/2006/main">
            <a:ext uri="{FF2B5EF4-FFF2-40B4-BE49-F238E27FC236}">
              <a16:creationId xmlns:a16="http://schemas.microsoft.com/office/drawing/2014/main" id="{2B377F96-3EF2-620D-6F70-8399E4699F9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1514" y="3798156"/>
          <a:ext cx="86678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90/10 Zone</a:t>
          </a:r>
        </a:p>
      </cdr:txBody>
    </cdr:sp>
  </cdr:relSizeAnchor>
  <cdr:relSizeAnchor xmlns:cdr="http://schemas.openxmlformats.org/drawingml/2006/chartDrawing">
    <cdr:from>
      <cdr:x>0.80175</cdr:x>
      <cdr:y>0.72725</cdr:y>
    </cdr:from>
    <cdr:to>
      <cdr:x>0.896</cdr:x>
      <cdr:y>0.79425</cdr:y>
    </cdr:to>
    <cdr:sp macro="" textlink="">
      <cdr:nvSpPr>
        <cdr:cNvPr id="2058" name="Text Box 10">
          <a:extLst xmlns:a="http://schemas.openxmlformats.org/drawingml/2006/main">
            <a:ext uri="{FF2B5EF4-FFF2-40B4-BE49-F238E27FC236}">
              <a16:creationId xmlns:a16="http://schemas.microsoft.com/office/drawing/2014/main" id="{CAA05088-CBEA-6326-3984-48541BDC9A2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0639" y="4246285"/>
          <a:ext cx="808855" cy="39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 Cost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Deferral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607M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/PCOST/J2798C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619M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503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H27">
            <v>10603.266</v>
          </cell>
          <cell r="I27">
            <v>10911.789000000001</v>
          </cell>
          <cell r="J27">
            <v>10713.105</v>
          </cell>
          <cell r="K27">
            <v>12901.751</v>
          </cell>
          <cell r="L27">
            <v>18385.11</v>
          </cell>
          <cell r="M27">
            <v>20335.194</v>
          </cell>
        </row>
        <row r="28">
          <cell r="H28">
            <v>0</v>
          </cell>
          <cell r="I28">
            <v>675.55287499999997</v>
          </cell>
          <cell r="J28">
            <v>347.88043750000003</v>
          </cell>
          <cell r="K28">
            <v>839.09343750000005</v>
          </cell>
          <cell r="L28">
            <v>1077.9760000000001</v>
          </cell>
          <cell r="M28">
            <v>1254.2201250000001</v>
          </cell>
        </row>
        <row r="29">
          <cell r="H29">
            <v>3990.4340000000002</v>
          </cell>
          <cell r="I29">
            <v>4098.74125</v>
          </cell>
          <cell r="J29">
            <v>4045.4647500000001</v>
          </cell>
          <cell r="K29">
            <v>4259.26</v>
          </cell>
          <cell r="L29">
            <v>4607.9485000000004</v>
          </cell>
          <cell r="M29">
            <v>5051.2354999999998</v>
          </cell>
        </row>
        <row r="39"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G50">
            <v>16.666742187499999</v>
          </cell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G51">
            <v>9.1666445312500002</v>
          </cell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G58">
            <v>766.12400000000002</v>
          </cell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G59">
            <v>514.89037499999995</v>
          </cell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H60">
            <v>-285.40884375000002</v>
          </cell>
          <cell r="I60">
            <v>-530.33106250000003</v>
          </cell>
          <cell r="J60">
            <v>-593.97106250000002</v>
          </cell>
          <cell r="K60">
            <v>-2125.5160000000001</v>
          </cell>
          <cell r="L60">
            <v>-1795.95</v>
          </cell>
          <cell r="M60">
            <v>-2055.7649999999999</v>
          </cell>
        </row>
        <row r="61">
          <cell r="H61">
            <v>-1281.1971249999999</v>
          </cell>
          <cell r="I61">
            <v>-1376.5015000000001</v>
          </cell>
          <cell r="J61">
            <v>-1374.201875</v>
          </cell>
          <cell r="K61">
            <v>-1459.9472499999999</v>
          </cell>
          <cell r="L61">
            <v>-43.190746093750001</v>
          </cell>
          <cell r="M61">
            <v>-165.830921875</v>
          </cell>
        </row>
        <row r="62">
          <cell r="H62">
            <v>-3492.5250000000001</v>
          </cell>
          <cell r="I62">
            <v>-3611.616</v>
          </cell>
          <cell r="J62">
            <v>-3738.6475</v>
          </cell>
          <cell r="K62">
            <v>-4458.1899999999996</v>
          </cell>
          <cell r="L62">
            <v>-2910.0752499999999</v>
          </cell>
          <cell r="M62">
            <v>-3309.442</v>
          </cell>
        </row>
        <row r="267">
          <cell r="H267">
            <v>221362.3</v>
          </cell>
          <cell r="I267">
            <v>202038</v>
          </cell>
          <cell r="J267">
            <v>188018.8</v>
          </cell>
          <cell r="K267">
            <v>117976.7</v>
          </cell>
          <cell r="L267">
            <v>114470</v>
          </cell>
          <cell r="M267">
            <v>128300.4</v>
          </cell>
        </row>
        <row r="428">
          <cell r="H428">
            <v>-172007.3</v>
          </cell>
          <cell r="I428">
            <v>-153833.4</v>
          </cell>
          <cell r="J428">
            <v>-156068.9</v>
          </cell>
          <cell r="K428">
            <v>-75496.63</v>
          </cell>
          <cell r="L428">
            <v>-62335.96</v>
          </cell>
          <cell r="M428">
            <v>-63855.61</v>
          </cell>
        </row>
        <row r="430">
          <cell r="H430">
            <v>248.45881249999999</v>
          </cell>
          <cell r="I430">
            <v>248.45881249999999</v>
          </cell>
          <cell r="J430">
            <v>248.45682812499999</v>
          </cell>
          <cell r="K430">
            <v>248.45881249999999</v>
          </cell>
          <cell r="L430">
            <v>248.45682812499999</v>
          </cell>
          <cell r="M430">
            <v>248.45881249999999</v>
          </cell>
        </row>
        <row r="431">
          <cell r="H431">
            <v>79.999781249999998</v>
          </cell>
          <cell r="I431">
            <v>79.999781249999998</v>
          </cell>
          <cell r="J431">
            <v>79.999320312500004</v>
          </cell>
          <cell r="K431">
            <v>79.999781249999998</v>
          </cell>
          <cell r="L431">
            <v>79.999320312500004</v>
          </cell>
          <cell r="M431">
            <v>79.999781249999998</v>
          </cell>
        </row>
        <row r="432">
          <cell r="H432">
            <v>88.245507812499994</v>
          </cell>
          <cell r="I432">
            <v>88.245507812499994</v>
          </cell>
          <cell r="J432">
            <v>88.245421875000005</v>
          </cell>
          <cell r="K432">
            <v>88.245507812499994</v>
          </cell>
          <cell r="L432">
            <v>88.245421875000005</v>
          </cell>
          <cell r="M432">
            <v>88.245507812499994</v>
          </cell>
        </row>
        <row r="433">
          <cell r="H433">
            <v>20.533228515625002</v>
          </cell>
          <cell r="I433">
            <v>20.533228515625002</v>
          </cell>
          <cell r="J433">
            <v>20.533214843749999</v>
          </cell>
          <cell r="K433">
            <v>20.533228515625002</v>
          </cell>
          <cell r="L433">
            <v>20.533214843749999</v>
          </cell>
          <cell r="M433">
            <v>20.533228515625002</v>
          </cell>
        </row>
        <row r="436">
          <cell r="H436">
            <v>25.3770234375</v>
          </cell>
          <cell r="I436">
            <v>25.3770234375</v>
          </cell>
          <cell r="J436">
            <v>25.377101562499998</v>
          </cell>
          <cell r="K436">
            <v>25.3770234375</v>
          </cell>
          <cell r="L436">
            <v>25.377101562499998</v>
          </cell>
          <cell r="M436">
            <v>25.3770234375</v>
          </cell>
        </row>
        <row r="437">
          <cell r="H437">
            <v>29.238001953125</v>
          </cell>
          <cell r="I437">
            <v>29.238001953125</v>
          </cell>
          <cell r="J437">
            <v>29.237662109375002</v>
          </cell>
          <cell r="K437">
            <v>29.238001953125</v>
          </cell>
          <cell r="L437">
            <v>29.237662109375002</v>
          </cell>
          <cell r="M437">
            <v>29.238001953125</v>
          </cell>
        </row>
        <row r="438">
          <cell r="H438">
            <v>207.66814062500001</v>
          </cell>
          <cell r="I438">
            <v>207.66814062500001</v>
          </cell>
          <cell r="J438">
            <v>207.666421875</v>
          </cell>
          <cell r="K438">
            <v>207.66814062500001</v>
          </cell>
          <cell r="L438">
            <v>207.666421875</v>
          </cell>
          <cell r="M438">
            <v>207.66814062500001</v>
          </cell>
        </row>
        <row r="443">
          <cell r="H443">
            <v>3197.8492500000002</v>
          </cell>
          <cell r="I443">
            <v>3197.8492500000002</v>
          </cell>
          <cell r="J443">
            <v>3195.7645000000002</v>
          </cell>
          <cell r="K443">
            <v>4830.8320000000003</v>
          </cell>
          <cell r="L443">
            <v>4828.8064999999997</v>
          </cell>
          <cell r="M443">
            <v>4614.8710000000001</v>
          </cell>
        </row>
        <row r="446">
          <cell r="H446">
            <v>6074.51</v>
          </cell>
          <cell r="I446">
            <v>6220.4970000000003</v>
          </cell>
          <cell r="J446">
            <v>2896.2289999999998</v>
          </cell>
          <cell r="K446">
            <v>36.852492187499998</v>
          </cell>
          <cell r="L446">
            <v>313.65978124999998</v>
          </cell>
          <cell r="M446">
            <v>1070.262375</v>
          </cell>
        </row>
        <row r="447">
          <cell r="H447">
            <v>-28819.358</v>
          </cell>
          <cell r="I447">
            <v>-37610.639999999999</v>
          </cell>
          <cell r="J447">
            <v>-17613.835999999999</v>
          </cell>
          <cell r="K447">
            <v>-29681.356</v>
          </cell>
          <cell r="L447">
            <v>-26708.988000000001</v>
          </cell>
          <cell r="M447">
            <v>-23587.48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[Power_Cost_Output_Table9].PrintPowerCostsSummaryPrint"/>
      <definedName name="[Power_MWa_Output_Table9 ].PrintMWaSummaryPrint"/>
    </defined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H27">
            <v>10313.773999999999</v>
          </cell>
          <cell r="I27">
            <v>10583.675999999999</v>
          </cell>
          <cell r="J27">
            <v>10424.382</v>
          </cell>
          <cell r="K27">
            <v>11919.625</v>
          </cell>
          <cell r="L27">
            <v>15552.262000000001</v>
          </cell>
          <cell r="M27">
            <v>17382.580000000002</v>
          </cell>
        </row>
        <row r="28">
          <cell r="H28">
            <v>0</v>
          </cell>
          <cell r="I28">
            <v>655.2326875</v>
          </cell>
          <cell r="J28">
            <v>338.50553124999999</v>
          </cell>
          <cell r="K28">
            <v>775.21624999999995</v>
          </cell>
          <cell r="L28">
            <v>917.19981250000001</v>
          </cell>
          <cell r="M28">
            <v>1072.0988749999999</v>
          </cell>
        </row>
        <row r="29">
          <cell r="H29">
            <v>3877.1692499999999</v>
          </cell>
          <cell r="I29">
            <v>3989.1880000000001</v>
          </cell>
          <cell r="J29">
            <v>3950.0974999999999</v>
          </cell>
          <cell r="K29">
            <v>4174.2145</v>
          </cell>
          <cell r="L29">
            <v>4594.3464999999997</v>
          </cell>
          <cell r="M29">
            <v>5075.0784999999996</v>
          </cell>
        </row>
        <row r="39"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H60">
            <v>-55.60302734375</v>
          </cell>
          <cell r="I60">
            <v>-269.85021875000001</v>
          </cell>
          <cell r="J60">
            <v>-365.9015</v>
          </cell>
          <cell r="K60">
            <v>-1379.03225</v>
          </cell>
          <cell r="L60">
            <v>110.25</v>
          </cell>
          <cell r="M60">
            <v>-155.46504687500001</v>
          </cell>
        </row>
        <row r="61">
          <cell r="H61">
            <v>-1158.5003750000001</v>
          </cell>
          <cell r="I61">
            <v>-1258.3903749999999</v>
          </cell>
          <cell r="J61">
            <v>-1272.3921250000001</v>
          </cell>
          <cell r="K61">
            <v>-1370.048875</v>
          </cell>
          <cell r="L61">
            <v>-34.66019140625</v>
          </cell>
          <cell r="M61">
            <v>-180.52382812499999</v>
          </cell>
        </row>
        <row r="62">
          <cell r="H62">
            <v>-3553.7572500000001</v>
          </cell>
          <cell r="I62">
            <v>-3665.1297500000001</v>
          </cell>
          <cell r="J62">
            <v>-3591.6804999999999</v>
          </cell>
          <cell r="K62">
            <v>-4073.7727500000001</v>
          </cell>
          <cell r="L62">
            <v>-2203.2995000000001</v>
          </cell>
          <cell r="M62">
            <v>-3026.3575000000001</v>
          </cell>
        </row>
        <row r="219">
          <cell r="H219">
            <v>224699.3</v>
          </cell>
          <cell r="I219">
            <v>198569.60000000001</v>
          </cell>
          <cell r="J219">
            <v>192983.1</v>
          </cell>
          <cell r="K219">
            <v>113386.4</v>
          </cell>
          <cell r="L219">
            <v>111198.6</v>
          </cell>
          <cell r="M219">
            <v>127914.5</v>
          </cell>
        </row>
        <row r="347">
          <cell r="H347">
            <v>-183369.2</v>
          </cell>
          <cell r="I347">
            <v>-153640.70000000001</v>
          </cell>
          <cell r="J347">
            <v>-159912.4</v>
          </cell>
          <cell r="K347">
            <v>-81432.12</v>
          </cell>
          <cell r="L347">
            <v>-67660.77</v>
          </cell>
          <cell r="M347">
            <v>-69382.59</v>
          </cell>
        </row>
        <row r="349">
          <cell r="H349">
            <v>248.45881249999999</v>
          </cell>
          <cell r="I349">
            <v>248.45881249999999</v>
          </cell>
          <cell r="J349">
            <v>248.45682812499999</v>
          </cell>
          <cell r="K349">
            <v>248.45881249999999</v>
          </cell>
          <cell r="L349">
            <v>248.45682812499999</v>
          </cell>
          <cell r="M349">
            <v>248.45881249999999</v>
          </cell>
        </row>
        <row r="350">
          <cell r="H350">
            <v>79.999781249999998</v>
          </cell>
          <cell r="I350">
            <v>79.999781249999998</v>
          </cell>
          <cell r="J350">
            <v>79.999320312500004</v>
          </cell>
          <cell r="K350">
            <v>79.999781249999998</v>
          </cell>
          <cell r="L350">
            <v>79.999320312500004</v>
          </cell>
          <cell r="M350">
            <v>79.999781249999998</v>
          </cell>
        </row>
        <row r="351">
          <cell r="H351">
            <v>88.245507812499994</v>
          </cell>
          <cell r="I351">
            <v>88.245507812499994</v>
          </cell>
          <cell r="J351">
            <v>88.245421875000005</v>
          </cell>
          <cell r="K351">
            <v>88.245507812499994</v>
          </cell>
          <cell r="L351">
            <v>88.245421875000005</v>
          </cell>
          <cell r="M351">
            <v>88.245507812499994</v>
          </cell>
        </row>
        <row r="352">
          <cell r="H352">
            <v>20.533228515625002</v>
          </cell>
          <cell r="I352">
            <v>20.533228515625002</v>
          </cell>
          <cell r="J352">
            <v>20.533214843749999</v>
          </cell>
          <cell r="K352">
            <v>20.533228515625002</v>
          </cell>
          <cell r="L352">
            <v>20.533214843749999</v>
          </cell>
          <cell r="M352">
            <v>20.533228515625002</v>
          </cell>
        </row>
        <row r="355">
          <cell r="H355">
            <v>25.3770234375</v>
          </cell>
          <cell r="I355">
            <v>25.3770234375</v>
          </cell>
          <cell r="J355">
            <v>25.377101562499998</v>
          </cell>
          <cell r="K355">
            <v>25.3770234375</v>
          </cell>
          <cell r="L355">
            <v>25.377101562499998</v>
          </cell>
          <cell r="M355">
            <v>25.3770234375</v>
          </cell>
        </row>
        <row r="356">
          <cell r="H356">
            <v>29.238001953125</v>
          </cell>
          <cell r="I356">
            <v>29.238001953125</v>
          </cell>
          <cell r="J356">
            <v>29.237662109375002</v>
          </cell>
          <cell r="K356">
            <v>29.238001953125</v>
          </cell>
          <cell r="L356">
            <v>29.237662109375002</v>
          </cell>
          <cell r="M356">
            <v>29.238001953125</v>
          </cell>
        </row>
        <row r="357">
          <cell r="H357">
            <v>207.66814062500001</v>
          </cell>
          <cell r="I357">
            <v>207.66814062500001</v>
          </cell>
          <cell r="J357">
            <v>207.666421875</v>
          </cell>
          <cell r="K357">
            <v>207.66814062500001</v>
          </cell>
          <cell r="L357">
            <v>207.666421875</v>
          </cell>
          <cell r="M357">
            <v>207.66814062500001</v>
          </cell>
        </row>
        <row r="362">
          <cell r="H362">
            <v>3197.8492500000002</v>
          </cell>
          <cell r="I362">
            <v>3197.8492500000002</v>
          </cell>
          <cell r="J362">
            <v>3195.7645000000002</v>
          </cell>
          <cell r="K362">
            <v>4830.8320000000003</v>
          </cell>
          <cell r="L362">
            <v>4828.8064999999997</v>
          </cell>
          <cell r="M362">
            <v>4614.8710000000001</v>
          </cell>
        </row>
        <row r="365">
          <cell r="H365">
            <v>5930.3545000000004</v>
          </cell>
          <cell r="I365">
            <v>4511.4979999999996</v>
          </cell>
          <cell r="J365">
            <v>1928.9014999999999</v>
          </cell>
          <cell r="K365">
            <v>106.1806875</v>
          </cell>
          <cell r="L365">
            <v>414.18153124999998</v>
          </cell>
          <cell r="M365">
            <v>1702.5833749999999</v>
          </cell>
        </row>
        <row r="366">
          <cell r="H366">
            <v>-14313.49</v>
          </cell>
          <cell r="I366">
            <v>-22411.054</v>
          </cell>
          <cell r="J366">
            <v>-13326.746999999999</v>
          </cell>
          <cell r="K366">
            <v>-17316.776000000002</v>
          </cell>
          <cell r="L366">
            <v>-15754.143</v>
          </cell>
          <cell r="M366">
            <v>-15759.77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0">
          <cell r="G20">
            <v>1874.3152500000001</v>
          </cell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G23">
            <v>487.912125</v>
          </cell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G24">
            <v>487.912125</v>
          </cell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G27">
            <v>13112.641</v>
          </cell>
          <cell r="H27">
            <v>13814.536</v>
          </cell>
          <cell r="I27">
            <v>14013.252</v>
          </cell>
          <cell r="J27">
            <v>13764.957</v>
          </cell>
          <cell r="K27">
            <v>14323.652</v>
          </cell>
          <cell r="L27">
            <v>24240.903999999999</v>
          </cell>
          <cell r="M27">
            <v>26516.806</v>
          </cell>
        </row>
        <row r="28">
          <cell r="G28">
            <v>0</v>
          </cell>
          <cell r="H28">
            <v>0</v>
          </cell>
          <cell r="I28">
            <v>341.57412499999998</v>
          </cell>
          <cell r="J28">
            <v>306.69931250000002</v>
          </cell>
          <cell r="K28">
            <v>346.99756250000002</v>
          </cell>
          <cell r="L28">
            <v>527.51743750000003</v>
          </cell>
          <cell r="M28">
            <v>537.73312499999997</v>
          </cell>
        </row>
        <row r="29">
          <cell r="G29">
            <v>4460.4345000000003</v>
          </cell>
          <cell r="H29">
            <v>4616.9314999999997</v>
          </cell>
          <cell r="I29">
            <v>4716.3710000000001</v>
          </cell>
          <cell r="J29">
            <v>4662.9189999999999</v>
          </cell>
          <cell r="K29">
            <v>4904.78</v>
          </cell>
          <cell r="L29">
            <v>5348.9155000000001</v>
          </cell>
          <cell r="M29">
            <v>5806.5460000000003</v>
          </cell>
        </row>
        <row r="39">
          <cell r="G39">
            <v>5898.6760000000004</v>
          </cell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G46">
            <v>1580.2629999999999</v>
          </cell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F50">
            <v>16.666638671874999</v>
          </cell>
          <cell r="G50">
            <v>16.666742187499999</v>
          </cell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F51">
            <v>9.1666367187500004</v>
          </cell>
          <cell r="G51">
            <v>9.1666445312500002</v>
          </cell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F58">
            <v>766.12181250000003</v>
          </cell>
          <cell r="G58">
            <v>766.12400000000002</v>
          </cell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F59">
            <v>514.89421875000005</v>
          </cell>
          <cell r="G59">
            <v>514.89037499999995</v>
          </cell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G60">
            <v>-2203.7415000000001</v>
          </cell>
          <cell r="H60">
            <v>-2518.6415000000002</v>
          </cell>
          <cell r="I60">
            <v>-2668.2872499999999</v>
          </cell>
          <cell r="J60">
            <v>-2685.6167500000001</v>
          </cell>
          <cell r="K60">
            <v>-2871.4002500000001</v>
          </cell>
          <cell r="L60">
            <v>-4314.2309999999998</v>
          </cell>
          <cell r="M60">
            <v>-4657.8125</v>
          </cell>
        </row>
        <row r="61">
          <cell r="G61">
            <v>-1907.6156249999999</v>
          </cell>
          <cell r="H61">
            <v>-1976.41175</v>
          </cell>
          <cell r="I61">
            <v>-2058.6528750000002</v>
          </cell>
          <cell r="J61">
            <v>-2049.120375</v>
          </cell>
          <cell r="K61">
            <v>-2997.4549999999999</v>
          </cell>
          <cell r="L61">
            <v>-500.26953125</v>
          </cell>
          <cell r="M61">
            <v>-641.82168750000005</v>
          </cell>
        </row>
        <row r="62">
          <cell r="G62">
            <v>-1308.032375</v>
          </cell>
          <cell r="H62">
            <v>-4653.3879999999999</v>
          </cell>
          <cell r="I62">
            <v>-4707.6625000000004</v>
          </cell>
          <cell r="J62">
            <v>-4593.2790000000005</v>
          </cell>
          <cell r="K62">
            <v>-4773.4960000000001</v>
          </cell>
          <cell r="L62">
            <v>-6191.1584999999995</v>
          </cell>
          <cell r="M62">
            <v>-6871.8429999999998</v>
          </cell>
        </row>
        <row r="261">
          <cell r="G261">
            <v>140927.1</v>
          </cell>
          <cell r="H261">
            <v>199835.9</v>
          </cell>
          <cell r="I261">
            <v>180138.9</v>
          </cell>
          <cell r="J261">
            <v>159051.29999999999</v>
          </cell>
          <cell r="K261">
            <v>142801</v>
          </cell>
          <cell r="L261">
            <v>127829.1</v>
          </cell>
          <cell r="M261">
            <v>144724.1</v>
          </cell>
        </row>
        <row r="397">
          <cell r="G397">
            <v>-141505.4</v>
          </cell>
          <cell r="H397">
            <v>-149763.4</v>
          </cell>
          <cell r="I397">
            <v>-134222.5</v>
          </cell>
          <cell r="J397">
            <v>-113700.7</v>
          </cell>
          <cell r="K397">
            <v>-61471</v>
          </cell>
          <cell r="L397">
            <v>-53265.66</v>
          </cell>
          <cell r="M397">
            <v>-55011.37</v>
          </cell>
        </row>
        <row r="399">
          <cell r="G399">
            <v>211.52578124999999</v>
          </cell>
          <cell r="H399">
            <v>248.45881249999999</v>
          </cell>
          <cell r="I399">
            <v>248.45881249999999</v>
          </cell>
          <cell r="J399">
            <v>248.45682812499999</v>
          </cell>
          <cell r="K399">
            <v>248.45881249999999</v>
          </cell>
          <cell r="L399">
            <v>248.45682812499999</v>
          </cell>
          <cell r="M399">
            <v>248.45881249999999</v>
          </cell>
        </row>
        <row r="400">
          <cell r="G400">
            <v>79.999320312500004</v>
          </cell>
          <cell r="H400">
            <v>79.999781249999998</v>
          </cell>
          <cell r="I400">
            <v>79.999781249999998</v>
          </cell>
          <cell r="J400">
            <v>79.999320312500004</v>
          </cell>
          <cell r="K400">
            <v>79.999781249999998</v>
          </cell>
          <cell r="L400">
            <v>79.999320312500004</v>
          </cell>
          <cell r="M400">
            <v>79.999781249999998</v>
          </cell>
        </row>
        <row r="401">
          <cell r="G401">
            <v>88.245421875000005</v>
          </cell>
          <cell r="H401">
            <v>88.245507812499994</v>
          </cell>
          <cell r="I401">
            <v>88.245507812499994</v>
          </cell>
          <cell r="J401">
            <v>88.245421875000005</v>
          </cell>
          <cell r="K401">
            <v>88.245507812499994</v>
          </cell>
          <cell r="L401">
            <v>88.245421875000005</v>
          </cell>
          <cell r="M401">
            <v>88.245507812499994</v>
          </cell>
        </row>
        <row r="402">
          <cell r="G402">
            <v>20.533214843749999</v>
          </cell>
          <cell r="H402">
            <v>20.533228515625002</v>
          </cell>
          <cell r="I402">
            <v>20.533228515625002</v>
          </cell>
          <cell r="J402">
            <v>20.533214843749999</v>
          </cell>
          <cell r="K402">
            <v>20.533228515625002</v>
          </cell>
          <cell r="L402">
            <v>20.533214843749999</v>
          </cell>
          <cell r="M402">
            <v>20.533228515625002</v>
          </cell>
        </row>
        <row r="405">
          <cell r="G405">
            <v>25.377101562499998</v>
          </cell>
          <cell r="H405">
            <v>25.3770234375</v>
          </cell>
          <cell r="I405">
            <v>25.3770234375</v>
          </cell>
          <cell r="J405">
            <v>25.377101562499998</v>
          </cell>
          <cell r="K405">
            <v>25.3770234375</v>
          </cell>
          <cell r="L405">
            <v>25.377101562499998</v>
          </cell>
          <cell r="M405">
            <v>25.3770234375</v>
          </cell>
        </row>
        <row r="406">
          <cell r="G406">
            <v>29.237662109375002</v>
          </cell>
          <cell r="H406">
            <v>29.238001953125</v>
          </cell>
          <cell r="I406">
            <v>29.238001953125</v>
          </cell>
          <cell r="J406">
            <v>29.237662109375002</v>
          </cell>
          <cell r="K406">
            <v>29.238001953125</v>
          </cell>
          <cell r="L406">
            <v>29.237662109375002</v>
          </cell>
          <cell r="M406">
            <v>29.238001953125</v>
          </cell>
        </row>
        <row r="407">
          <cell r="G407">
            <v>207.666421875</v>
          </cell>
          <cell r="H407">
            <v>207.66814062500001</v>
          </cell>
          <cell r="I407">
            <v>207.66814062500001</v>
          </cell>
          <cell r="J407">
            <v>207.666421875</v>
          </cell>
          <cell r="K407">
            <v>207.66814062500001</v>
          </cell>
          <cell r="L407">
            <v>207.666421875</v>
          </cell>
          <cell r="M407">
            <v>207.66814062500001</v>
          </cell>
        </row>
        <row r="412">
          <cell r="G412">
            <v>2979.76775</v>
          </cell>
          <cell r="H412">
            <v>3197.8492500000002</v>
          </cell>
          <cell r="I412">
            <v>3197.8492500000002</v>
          </cell>
          <cell r="J412">
            <v>3195.7645000000002</v>
          </cell>
          <cell r="K412">
            <v>4830.8320000000003</v>
          </cell>
          <cell r="L412">
            <v>4828.8064999999997</v>
          </cell>
          <cell r="M412">
            <v>4614.8710000000001</v>
          </cell>
        </row>
        <row r="415">
          <cell r="G415">
            <v>10772.4</v>
          </cell>
          <cell r="H415">
            <v>13292.074000000001</v>
          </cell>
          <cell r="I415">
            <v>16093.633</v>
          </cell>
          <cell r="J415">
            <v>3838.0365000000002</v>
          </cell>
          <cell r="K415">
            <v>1737.2808749999999</v>
          </cell>
          <cell r="L415">
            <v>1771.24225</v>
          </cell>
          <cell r="M415">
            <v>3193.0464999999999</v>
          </cell>
        </row>
        <row r="416">
          <cell r="G416">
            <v>-25975.482</v>
          </cell>
          <cell r="H416">
            <v>-60191.232000000004</v>
          </cell>
          <cell r="I416">
            <v>-68349.84</v>
          </cell>
          <cell r="J416">
            <v>-52998.171999999999</v>
          </cell>
          <cell r="K416">
            <v>-87274.392000000007</v>
          </cell>
          <cell r="L416">
            <v>-63625.563999999998</v>
          </cell>
          <cell r="M416">
            <v>-58996.22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5"/>
  <sheetViews>
    <sheetView tabSelected="1" workbookViewId="0">
      <selection activeCell="B54" sqref="B54"/>
    </sheetView>
  </sheetViews>
  <sheetFormatPr defaultRowHeight="12.75"/>
  <cols>
    <col min="1" max="1" width="30.42578125" customWidth="1"/>
    <col min="2" max="2" width="14.5703125" customWidth="1"/>
    <col min="3" max="3" width="14.140625" customWidth="1"/>
    <col min="4" max="4" width="6.140625" customWidth="1"/>
    <col min="5" max="5" width="15" customWidth="1"/>
    <col min="6" max="6" width="18.42578125" customWidth="1"/>
    <col min="7" max="7" width="12.7109375" customWidth="1"/>
  </cols>
  <sheetData>
    <row r="2" spans="1:8" ht="18">
      <c r="A2" s="112" t="s">
        <v>135</v>
      </c>
    </row>
    <row r="3" spans="1:8">
      <c r="B3" s="109"/>
      <c r="C3" s="109"/>
      <c r="D3" s="109"/>
      <c r="E3" s="109" t="s">
        <v>122</v>
      </c>
      <c r="F3" s="109" t="s">
        <v>122</v>
      </c>
    </row>
    <row r="4" spans="1:8">
      <c r="B4" s="110" t="s">
        <v>114</v>
      </c>
      <c r="C4" s="110" t="s">
        <v>115</v>
      </c>
      <c r="D4" s="110"/>
      <c r="E4" s="110" t="s">
        <v>121</v>
      </c>
      <c r="F4" s="110" t="s">
        <v>128</v>
      </c>
    </row>
    <row r="6" spans="1:8">
      <c r="A6" t="s">
        <v>116</v>
      </c>
      <c r="B6" s="106">
        <v>1202</v>
      </c>
      <c r="C6" s="106">
        <v>1202</v>
      </c>
      <c r="D6" s="106"/>
      <c r="E6" s="106">
        <v>1162</v>
      </c>
      <c r="F6" s="106">
        <f>1162-(E32-F32)</f>
        <v>1160</v>
      </c>
      <c r="G6" s="106"/>
      <c r="H6" s="106"/>
    </row>
    <row r="7" spans="1:8">
      <c r="B7" s="106"/>
      <c r="C7" s="106"/>
      <c r="D7" s="106"/>
      <c r="E7" s="106"/>
      <c r="F7" s="106"/>
      <c r="G7" s="106"/>
      <c r="H7" s="106"/>
    </row>
    <row r="8" spans="1:8">
      <c r="A8" t="s">
        <v>117</v>
      </c>
      <c r="B8" s="106">
        <v>-657</v>
      </c>
      <c r="C8" s="106">
        <f>B8+63</f>
        <v>-594</v>
      </c>
      <c r="D8" s="106"/>
      <c r="E8" s="106">
        <v>-528</v>
      </c>
      <c r="F8" s="106">
        <v>-545</v>
      </c>
      <c r="G8" s="106"/>
      <c r="H8" s="106"/>
    </row>
    <row r="9" spans="1:8">
      <c r="A9" t="s">
        <v>118</v>
      </c>
      <c r="B9" s="107">
        <v>190</v>
      </c>
      <c r="C9" s="107">
        <f>+B9-50*0.9</f>
        <v>145</v>
      </c>
      <c r="D9" s="107"/>
      <c r="E9" s="107">
        <f>+'June 7 deferral'!K34/1000</f>
        <v>65.954825716239228</v>
      </c>
      <c r="F9" s="107">
        <f>+'June 19 deferral'!K34/1000</f>
        <v>85.191679421317318</v>
      </c>
      <c r="G9" s="106"/>
      <c r="H9" s="106"/>
    </row>
    <row r="10" spans="1:8">
      <c r="A10" t="s">
        <v>120</v>
      </c>
      <c r="B10" s="108">
        <f>SUM(B8:B9)</f>
        <v>-467</v>
      </c>
      <c r="C10" s="108">
        <f>SUM(C8:C9)</f>
        <v>-449</v>
      </c>
      <c r="D10" s="108"/>
      <c r="E10" s="108">
        <f>SUM(E8:E9)</f>
        <v>-462.04517428376079</v>
      </c>
      <c r="F10" s="108">
        <f>SUM(F8:F9)</f>
        <v>-459.8083205786827</v>
      </c>
      <c r="G10" s="106"/>
      <c r="H10" s="106"/>
    </row>
    <row r="11" spans="1:8">
      <c r="B11" s="107"/>
      <c r="C11" s="107"/>
      <c r="D11" s="107"/>
      <c r="E11" s="107"/>
      <c r="F11" s="107"/>
      <c r="G11" s="106"/>
      <c r="H11" s="106"/>
    </row>
    <row r="12" spans="1:8">
      <c r="A12" t="s">
        <v>119</v>
      </c>
      <c r="B12" s="106">
        <f>+B6+B10</f>
        <v>735</v>
      </c>
      <c r="C12" s="106">
        <f>+C6+C10</f>
        <v>753</v>
      </c>
      <c r="D12" s="106"/>
      <c r="E12" s="106">
        <f>+E6+E10</f>
        <v>699.95482571623916</v>
      </c>
      <c r="F12" s="106">
        <f>+F6+F10</f>
        <v>700.1916794213173</v>
      </c>
      <c r="G12" s="106"/>
      <c r="H12" s="106"/>
    </row>
    <row r="13" spans="1:8">
      <c r="B13" s="106"/>
      <c r="C13" s="106"/>
      <c r="D13" s="106"/>
      <c r="E13" s="106"/>
      <c r="F13" s="106"/>
      <c r="G13" s="106"/>
      <c r="H13" s="106"/>
    </row>
    <row r="14" spans="1:8">
      <c r="A14" t="s">
        <v>210</v>
      </c>
      <c r="B14" s="106">
        <v>299.7</v>
      </c>
      <c r="C14" s="106">
        <v>281</v>
      </c>
      <c r="D14" s="106"/>
      <c r="E14" s="106">
        <v>284</v>
      </c>
      <c r="F14" s="106">
        <v>284</v>
      </c>
      <c r="G14" s="106"/>
      <c r="H14" s="106"/>
    </row>
    <row r="15" spans="1:8">
      <c r="B15" s="106"/>
      <c r="C15" s="106"/>
      <c r="D15" s="106"/>
      <c r="E15" s="106"/>
      <c r="F15" s="106"/>
      <c r="G15" s="106"/>
      <c r="H15" s="106"/>
    </row>
    <row r="16" spans="1:8" s="111" customFormat="1">
      <c r="A16" s="111" t="s">
        <v>129</v>
      </c>
      <c r="B16" s="113">
        <v>197</v>
      </c>
      <c r="C16" s="113">
        <f>+B16+35</f>
        <v>232</v>
      </c>
      <c r="D16" s="113"/>
      <c r="E16" s="113">
        <v>180</v>
      </c>
      <c r="F16" s="113">
        <f>+E16</f>
        <v>180</v>
      </c>
      <c r="G16" s="113"/>
      <c r="H16" s="113"/>
    </row>
    <row r="17" spans="1:8" s="111" customFormat="1">
      <c r="A17" s="111" t="s">
        <v>130</v>
      </c>
      <c r="B17" s="113">
        <v>89</v>
      </c>
      <c r="C17" s="113">
        <f>+B17+21</f>
        <v>110</v>
      </c>
      <c r="D17" s="113"/>
      <c r="E17" s="113">
        <v>79</v>
      </c>
      <c r="F17" s="113">
        <f>+E17</f>
        <v>79</v>
      </c>
      <c r="G17" s="113"/>
      <c r="H17" s="113"/>
    </row>
    <row r="18" spans="1:8">
      <c r="B18" s="106"/>
      <c r="C18" s="106"/>
      <c r="D18" s="106"/>
      <c r="E18" s="106"/>
      <c r="F18" s="106"/>
      <c r="G18" s="106"/>
      <c r="H18" s="106"/>
    </row>
    <row r="19" spans="1:8">
      <c r="A19" s="111" t="s">
        <v>187</v>
      </c>
      <c r="B19" s="106"/>
      <c r="C19" s="106"/>
      <c r="D19" s="106"/>
      <c r="E19" s="106"/>
      <c r="F19" s="106"/>
      <c r="G19" s="106"/>
      <c r="H19" s="106"/>
    </row>
    <row r="20" spans="1:8">
      <c r="A20" t="s">
        <v>123</v>
      </c>
      <c r="B20" s="106"/>
      <c r="C20" s="106"/>
      <c r="D20" s="106"/>
      <c r="E20" s="137">
        <f>(+E22-E21)</f>
        <v>517760</v>
      </c>
      <c r="F20" s="106"/>
      <c r="G20" s="106"/>
      <c r="H20" s="106"/>
    </row>
    <row r="21" spans="1:8">
      <c r="A21" t="s">
        <v>124</v>
      </c>
      <c r="B21" s="105"/>
      <c r="C21" s="105"/>
      <c r="D21" s="105"/>
      <c r="E21" s="138">
        <f>+'Loads &amp; Revenues'!B42</f>
        <v>124000</v>
      </c>
      <c r="F21" s="105"/>
    </row>
    <row r="22" spans="1:8">
      <c r="A22" t="s">
        <v>125</v>
      </c>
      <c r="E22" s="137">
        <f>-SUM('Loads &amp; Revenues'!B16:J16)</f>
        <v>641760</v>
      </c>
    </row>
    <row r="24" spans="1:8">
      <c r="A24" s="111" t="s">
        <v>186</v>
      </c>
    </row>
    <row r="25" spans="1:8" s="111" customFormat="1">
      <c r="A25" s="111" t="s">
        <v>123</v>
      </c>
      <c r="B25" s="135"/>
      <c r="C25" s="135"/>
      <c r="D25" s="135"/>
      <c r="E25" s="135">
        <v>22.4</v>
      </c>
      <c r="F25" s="135"/>
      <c r="G25" s="135"/>
    </row>
    <row r="26" spans="1:8">
      <c r="A26" t="s">
        <v>127</v>
      </c>
      <c r="B26" s="134">
        <v>0</v>
      </c>
      <c r="C26" s="134">
        <v>0</v>
      </c>
      <c r="D26" s="134"/>
      <c r="E26" s="134">
        <v>6.2</v>
      </c>
      <c r="F26" s="134">
        <v>6.2</v>
      </c>
      <c r="G26" s="133"/>
    </row>
    <row r="27" spans="1:8">
      <c r="A27" t="s">
        <v>126</v>
      </c>
      <c r="B27" s="133"/>
      <c r="C27" s="133"/>
      <c r="D27" s="133"/>
      <c r="E27" s="133">
        <f>+E25+E26</f>
        <v>28.599999999999998</v>
      </c>
      <c r="F27" s="133"/>
      <c r="G27" s="133"/>
    </row>
    <row r="28" spans="1:8">
      <c r="B28" s="106"/>
      <c r="C28" s="106"/>
      <c r="D28" s="106"/>
      <c r="E28" s="106"/>
      <c r="F28" s="106"/>
      <c r="G28" s="106"/>
    </row>
    <row r="29" spans="1:8">
      <c r="A29" t="s">
        <v>185</v>
      </c>
      <c r="B29" s="106"/>
      <c r="C29" s="106"/>
      <c r="D29" s="106"/>
      <c r="E29" s="106">
        <f>159.7-8.5-11.7-14.5</f>
        <v>125</v>
      </c>
      <c r="F29" s="106"/>
      <c r="G29" s="106"/>
    </row>
    <row r="30" spans="1:8">
      <c r="A30" t="s">
        <v>184</v>
      </c>
      <c r="B30" s="106"/>
      <c r="C30" s="106"/>
      <c r="D30" s="106"/>
      <c r="E30" s="106">
        <f>+E29*0.1</f>
        <v>12.5</v>
      </c>
      <c r="F30" s="106"/>
      <c r="G30" s="106"/>
    </row>
    <row r="31" spans="1:8">
      <c r="B31" s="106"/>
      <c r="C31" s="106"/>
      <c r="D31" s="106"/>
      <c r="E31" s="106"/>
      <c r="F31" s="106"/>
      <c r="G31" s="106"/>
    </row>
    <row r="32" spans="1:8">
      <c r="A32" t="s">
        <v>131</v>
      </c>
      <c r="B32" s="106">
        <v>193</v>
      </c>
      <c r="C32" s="106">
        <v>193</v>
      </c>
      <c r="D32" s="106"/>
      <c r="E32" s="106">
        <v>179</v>
      </c>
      <c r="F32" s="106">
        <v>177</v>
      </c>
      <c r="G32" s="106"/>
    </row>
    <row r="33" spans="1:7">
      <c r="A33" t="s">
        <v>132</v>
      </c>
      <c r="B33" s="106"/>
      <c r="C33" s="106"/>
      <c r="D33" s="106"/>
      <c r="E33" s="106">
        <f>+E32-C32</f>
        <v>-14</v>
      </c>
      <c r="F33" s="106">
        <f>+F32-C32</f>
        <v>-16</v>
      </c>
      <c r="G33" s="106"/>
    </row>
    <row r="34" spans="1:7">
      <c r="B34" s="106"/>
      <c r="C34" s="106"/>
      <c r="D34" s="106"/>
      <c r="E34" s="106"/>
      <c r="F34" s="106"/>
      <c r="G34" s="106"/>
    </row>
    <row r="35" spans="1:7">
      <c r="B35" s="106"/>
      <c r="C35" s="106"/>
      <c r="D35" s="106"/>
      <c r="E35" s="106"/>
      <c r="F35" s="106"/>
      <c r="G35" s="106"/>
    </row>
    <row r="38" spans="1:7" ht="18">
      <c r="A38" s="112" t="s">
        <v>199</v>
      </c>
    </row>
    <row r="40" spans="1:7">
      <c r="A40" s="111" t="s">
        <v>203</v>
      </c>
      <c r="B40" s="111"/>
      <c r="C40" s="135">
        <v>197</v>
      </c>
    </row>
    <row r="41" spans="1:7">
      <c r="C41" s="133"/>
    </row>
    <row r="42" spans="1:7">
      <c r="A42" t="s">
        <v>189</v>
      </c>
      <c r="C42" s="133"/>
    </row>
    <row r="43" spans="1:7">
      <c r="A43" t="s">
        <v>205</v>
      </c>
      <c r="B43" s="133">
        <f>-E26</f>
        <v>-6.2</v>
      </c>
      <c r="C43" s="133"/>
    </row>
    <row r="44" spans="1:7" ht="13.5" customHeight="1">
      <c r="A44" t="s">
        <v>206</v>
      </c>
      <c r="B44" s="133">
        <f>-E25</f>
        <v>-22.4</v>
      </c>
      <c r="C44" s="133"/>
    </row>
    <row r="45" spans="1:7" ht="13.5" customHeight="1">
      <c r="A45" t="s">
        <v>207</v>
      </c>
      <c r="B45" s="133">
        <v>5</v>
      </c>
      <c r="C45" s="133"/>
    </row>
    <row r="46" spans="1:7" ht="13.5" customHeight="1">
      <c r="A46" t="s">
        <v>200</v>
      </c>
      <c r="B46" s="134">
        <v>-1</v>
      </c>
      <c r="C46" s="133"/>
    </row>
    <row r="47" spans="1:7">
      <c r="A47" t="s">
        <v>201</v>
      </c>
      <c r="C47" s="133">
        <f>+B43+B44+B45+B46</f>
        <v>-24.599999999999998</v>
      </c>
    </row>
    <row r="48" spans="1:7">
      <c r="C48" s="133"/>
    </row>
    <row r="49" spans="1:3">
      <c r="A49" t="s">
        <v>202</v>
      </c>
      <c r="B49" s="133"/>
    </row>
    <row r="50" spans="1:3">
      <c r="A50" t="s">
        <v>188</v>
      </c>
      <c r="B50" s="133">
        <v>-8.1999999999999993</v>
      </c>
    </row>
    <row r="51" spans="1:3">
      <c r="A51" t="s">
        <v>198</v>
      </c>
      <c r="B51" s="133">
        <v>-13.1</v>
      </c>
    </row>
    <row r="52" spans="1:3">
      <c r="A52" t="s">
        <v>197</v>
      </c>
      <c r="B52" s="133">
        <f>(-'June 19 Power Cost Forecast'!T60+'Budget Deferral'!K33)/1000</f>
        <v>116.69783277863706</v>
      </c>
    </row>
    <row r="53" spans="1:3">
      <c r="A53" t="s">
        <v>190</v>
      </c>
      <c r="B53" s="136">
        <f>-B52*0.9</f>
        <v>-105.02804950077336</v>
      </c>
    </row>
    <row r="54" spans="1:3">
      <c r="A54" t="s">
        <v>209</v>
      </c>
      <c r="B54" s="134">
        <f>+(5+6.2)*0.9</f>
        <v>10.08</v>
      </c>
    </row>
    <row r="55" spans="1:3">
      <c r="A55" t="s">
        <v>193</v>
      </c>
      <c r="C55" s="133">
        <f>SUM(B50:B54)</f>
        <v>0.44978327786370365</v>
      </c>
    </row>
    <row r="56" spans="1:3">
      <c r="C56" s="133"/>
    </row>
    <row r="57" spans="1:3">
      <c r="A57" t="s">
        <v>191</v>
      </c>
      <c r="B57" s="133"/>
    </row>
    <row r="58" spans="1:3">
      <c r="A58" t="s">
        <v>192</v>
      </c>
      <c r="B58" s="133">
        <v>8.4</v>
      </c>
    </row>
    <row r="59" spans="1:3">
      <c r="A59" t="s">
        <v>196</v>
      </c>
      <c r="B59" s="134">
        <f>(11.4+6-1.9-B58)</f>
        <v>7.0999999999999979</v>
      </c>
    </row>
    <row r="60" spans="1:3">
      <c r="A60" t="s">
        <v>195</v>
      </c>
      <c r="B60" s="133"/>
      <c r="C60" s="133">
        <f>+B58+B59</f>
        <v>15.499999999999998</v>
      </c>
    </row>
    <row r="61" spans="1:3">
      <c r="B61" s="133"/>
    </row>
    <row r="62" spans="1:3">
      <c r="A62" t="s">
        <v>204</v>
      </c>
      <c r="B62" s="133"/>
      <c r="C62" s="136">
        <v>-8.6</v>
      </c>
    </row>
    <row r="63" spans="1:3">
      <c r="A63" t="s">
        <v>208</v>
      </c>
      <c r="B63" s="133"/>
      <c r="C63" s="134">
        <v>0.3</v>
      </c>
    </row>
    <row r="64" spans="1:3">
      <c r="B64" s="133"/>
    </row>
    <row r="65" spans="1:3">
      <c r="A65" s="111" t="s">
        <v>194</v>
      </c>
      <c r="B65" s="135"/>
      <c r="C65" s="135">
        <f>+C40+C47+C55+C60+C62+C63</f>
        <v>180.04978327786372</v>
      </c>
    </row>
  </sheetData>
  <pageMargins left="0.54" right="0.43" top="0.67" bottom="1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68"/>
  <sheetViews>
    <sheetView zoomScale="75" workbookViewId="0">
      <pane xSplit="5" ySplit="5" topLeftCell="K41" activePane="bottomRight" state="frozenSplit"/>
      <selection pane="topRight" activeCell="F1" sqref="F1"/>
      <selection pane="bottomLeft" activeCell="A6" sqref="A6"/>
      <selection pane="bottomRight" activeCell="F60" sqref="F60:N60"/>
    </sheetView>
  </sheetViews>
  <sheetFormatPr defaultRowHeight="12.75"/>
  <cols>
    <col min="1" max="2" width="5" style="19" customWidth="1"/>
    <col min="3" max="5" width="9.140625" style="19"/>
    <col min="6" max="6" width="10.28515625" style="19" customWidth="1"/>
    <col min="7" max="7" width="11.5703125" style="19" customWidth="1"/>
    <col min="8" max="8" width="10.85546875" style="19" customWidth="1"/>
    <col min="9" max="9" width="10.28515625" style="19" customWidth="1"/>
    <col min="10" max="10" width="10" style="19" customWidth="1"/>
    <col min="11" max="11" width="10.140625" style="19" customWidth="1"/>
    <col min="12" max="12" width="10.42578125" style="19" customWidth="1"/>
    <col min="13" max="13" width="9.85546875" style="19" customWidth="1"/>
    <col min="14" max="14" width="10.28515625" style="19" customWidth="1"/>
    <col min="15" max="17" width="9.7109375" style="19" customWidth="1"/>
    <col min="18" max="18" width="13.7109375" style="19" bestFit="1" customWidth="1"/>
    <col min="19" max="19" width="9.140625" style="19"/>
    <col min="20" max="20" width="12" style="19" customWidth="1"/>
    <col min="21" max="16384" width="9.140625" style="19"/>
  </cols>
  <sheetData>
    <row r="1" spans="1:20" ht="26.25">
      <c r="A1" s="18" t="s">
        <v>38</v>
      </c>
      <c r="B1" s="18"/>
      <c r="C1" s="18"/>
      <c r="F1" s="20" t="s">
        <v>39</v>
      </c>
      <c r="G1" s="21"/>
      <c r="H1" s="21"/>
      <c r="I1" s="22"/>
      <c r="J1" s="23" t="s">
        <v>40</v>
      </c>
      <c r="K1" s="24"/>
      <c r="L1" s="25" t="s">
        <v>99</v>
      </c>
    </row>
    <row r="2" spans="1:20">
      <c r="A2" s="26" t="s">
        <v>42</v>
      </c>
      <c r="B2" s="18"/>
      <c r="C2" s="18"/>
      <c r="F2" s="27" t="s">
        <v>43</v>
      </c>
      <c r="G2" s="24"/>
      <c r="H2" s="24"/>
      <c r="I2" s="28"/>
      <c r="J2" s="23"/>
      <c r="K2" s="24"/>
      <c r="N2" s="29"/>
    </row>
    <row r="3" spans="1:20" ht="13.5" thickBot="1">
      <c r="F3" s="30" t="s">
        <v>44</v>
      </c>
      <c r="G3" s="31"/>
      <c r="H3" s="32"/>
      <c r="I3" s="33"/>
      <c r="J3" s="24"/>
      <c r="K3" s="24"/>
      <c r="L3" s="34"/>
      <c r="M3" s="34"/>
      <c r="N3" s="23"/>
      <c r="O3" s="35"/>
      <c r="P3" s="34"/>
    </row>
    <row r="4" spans="1:20">
      <c r="N4" s="36"/>
    </row>
    <row r="5" spans="1:20">
      <c r="F5" s="37" t="s">
        <v>16</v>
      </c>
      <c r="G5" s="37" t="s">
        <v>17</v>
      </c>
      <c r="H5" s="37" t="s">
        <v>45</v>
      </c>
      <c r="I5" s="37" t="s">
        <v>19</v>
      </c>
      <c r="J5" s="37" t="s">
        <v>46</v>
      </c>
      <c r="K5" s="37" t="s">
        <v>21</v>
      </c>
      <c r="L5" s="37" t="s">
        <v>22</v>
      </c>
      <c r="M5" s="37" t="s">
        <v>23</v>
      </c>
      <c r="N5" s="38" t="s">
        <v>24</v>
      </c>
      <c r="O5" s="37" t="s">
        <v>25</v>
      </c>
      <c r="P5" s="37" t="s">
        <v>26</v>
      </c>
      <c r="Q5" s="37" t="s">
        <v>27</v>
      </c>
      <c r="R5" s="37" t="s">
        <v>47</v>
      </c>
      <c r="T5" s="39" t="s">
        <v>48</v>
      </c>
    </row>
    <row r="6" spans="1:20">
      <c r="N6" s="36"/>
    </row>
    <row r="7" spans="1:20">
      <c r="A7" s="19" t="s">
        <v>49</v>
      </c>
      <c r="N7" s="36"/>
    </row>
    <row r="8" spans="1:20">
      <c r="B8" s="19" t="s">
        <v>50</v>
      </c>
      <c r="F8" s="19">
        <v>150083</v>
      </c>
      <c r="G8" s="19">
        <v>127850</v>
      </c>
      <c r="H8" s="19">
        <v>115264</v>
      </c>
      <c r="I8" s="19">
        <v>157783</v>
      </c>
      <c r="J8" s="19">
        <v>158516</v>
      </c>
      <c r="K8" s="19">
        <f>1680+170064</f>
        <v>171744</v>
      </c>
      <c r="L8" s="19">
        <f>[3]PwrCsOut!H39+[3]PwrCsOut!H46+[3]PwrCsOut!H219-[3]PwrCsOut!H50-[3]PwrCsOut!H51-[3]PwrCsOut!H58-[3]PwrCsOut!H59-[3]PwrCsOut!H60-[3]PwrCsOut!H61-[3]PwrCsOut!H62</f>
        <v>231928.42334570308</v>
      </c>
      <c r="M8" s="19">
        <f>[3]PwrCsOut!I39+[3]PwrCsOut!I46+[3]PwrCsOut!I219-[3]PwrCsOut!I50-[3]PwrCsOut!I51-[3]PwrCsOut!I58-[3]PwrCsOut!I59-[3]PwrCsOut!I60-[3]PwrCsOut!I61-[3]PwrCsOut!I62</f>
        <v>206134.17603710934</v>
      </c>
      <c r="N8" s="36">
        <f>[3]PwrCsOut!J39+[3]PwrCsOut!J46+[3]PwrCsOut!J219-[3]PwrCsOut!J50-[3]PwrCsOut!J51-[3]PwrCsOut!J58-[3]PwrCsOut!J59-[3]PwrCsOut!J60-[3]PwrCsOut!J61-[3]PwrCsOut!J62</f>
        <v>200603.3583632813</v>
      </c>
      <c r="O8" s="19">
        <f>[3]PwrCsOut!K39+[3]PwrCsOut!K46+[3]PwrCsOut!K219-[3]PwrCsOut!K50-[3]PwrCsOut!K51-[3]PwrCsOut!K58-[3]PwrCsOut!K59-[3]PwrCsOut!K60-[3]PwrCsOut!K61-[3]PwrCsOut!K62</f>
        <v>122611.52156835936</v>
      </c>
      <c r="P8" s="19">
        <f>[3]PwrCsOut!L39+[3]PwrCsOut!L46+[3]PwrCsOut!L219-[3]PwrCsOut!L50-[3]PwrCsOut!L51-[3]PwrCsOut!L58-[3]PwrCsOut!L59-[3]PwrCsOut!L60-[3]PwrCsOut!L61-[3]PwrCsOut!L62</f>
        <v>115777.1859296875</v>
      </c>
      <c r="Q8" s="19">
        <f>[3]PwrCsOut!M39+[3]PwrCsOut!M46+[3]PwrCsOut!M219-[3]PwrCsOut!M50-[3]PwrCsOut!M51-[3]PwrCsOut!M58-[3]PwrCsOut!M59-[3]PwrCsOut!M60-[3]PwrCsOut!M61-[3]PwrCsOut!M62</f>
        <v>135252.62006835936</v>
      </c>
      <c r="R8" s="19">
        <f>SUM(F8:Q8)</f>
        <v>1893547.2853125001</v>
      </c>
      <c r="T8" s="19">
        <f>SUM(F8:N8)</f>
        <v>1519905.9577460939</v>
      </c>
    </row>
    <row r="9" spans="1:20">
      <c r="B9" s="19" t="s">
        <v>51</v>
      </c>
      <c r="F9" s="19">
        <v>2778</v>
      </c>
      <c r="G9" s="19">
        <v>-6816</v>
      </c>
      <c r="H9" s="19">
        <v>2750</v>
      </c>
      <c r="I9" s="19">
        <v>-1255</v>
      </c>
      <c r="J9" s="19">
        <v>2720</v>
      </c>
      <c r="N9" s="36"/>
      <c r="R9" s="19">
        <f>SUM(F9:Q9)</f>
        <v>177</v>
      </c>
      <c r="T9" s="19">
        <f>SUM(F9:N9)</f>
        <v>177</v>
      </c>
    </row>
    <row r="10" spans="1:20" s="24" customFormat="1">
      <c r="B10" s="24" t="s">
        <v>52</v>
      </c>
      <c r="F10" s="24">
        <v>1851</v>
      </c>
      <c r="G10" s="24">
        <v>699</v>
      </c>
      <c r="H10" s="24">
        <v>1054</v>
      </c>
      <c r="I10" s="24">
        <v>4081</v>
      </c>
      <c r="J10" s="24">
        <v>6268</v>
      </c>
      <c r="K10" s="24">
        <v>5800</v>
      </c>
      <c r="N10" s="36"/>
      <c r="R10" s="24">
        <f>SUM(F10:Q10)</f>
        <v>19753</v>
      </c>
      <c r="T10" s="19">
        <f>SUM(F10:N10)</f>
        <v>19753</v>
      </c>
    </row>
    <row r="11" spans="1:20" s="24" customFormat="1">
      <c r="B11" s="23" t="s">
        <v>53</v>
      </c>
      <c r="F11" s="24">
        <v>8135</v>
      </c>
      <c r="G11" s="24">
        <v>-5059</v>
      </c>
      <c r="H11" s="24">
        <v>-12505</v>
      </c>
      <c r="I11" s="24">
        <v>-2611</v>
      </c>
      <c r="J11" s="24">
        <v>-2008</v>
      </c>
      <c r="K11" s="24">
        <v>-7909</v>
      </c>
      <c r="L11" s="24">
        <v>14865</v>
      </c>
      <c r="M11" s="24">
        <v>16642</v>
      </c>
      <c r="N11" s="36">
        <v>16085</v>
      </c>
      <c r="O11" s="24">
        <v>-4300</v>
      </c>
      <c r="P11" s="24">
        <v>-3698</v>
      </c>
      <c r="Q11" s="24">
        <v>-3740</v>
      </c>
      <c r="R11" s="24">
        <f>SUM(F11:Q11)</f>
        <v>13897</v>
      </c>
      <c r="T11" s="19">
        <f>SUM(F11:N11)</f>
        <v>25635</v>
      </c>
    </row>
    <row r="12" spans="1:20" ht="14.25" customHeight="1">
      <c r="B12" s="19" t="s">
        <v>54</v>
      </c>
      <c r="F12" s="44">
        <v>43404</v>
      </c>
      <c r="G12" s="44">
        <v>20602</v>
      </c>
      <c r="H12" s="44">
        <v>45124</v>
      </c>
      <c r="I12" s="44">
        <v>38634</v>
      </c>
      <c r="J12" s="44">
        <v>36516</v>
      </c>
      <c r="K12" s="44">
        <v>2942</v>
      </c>
      <c r="L12" s="44">
        <f>[3]PwrCsOut!H365</f>
        <v>5930.3545000000004</v>
      </c>
      <c r="M12" s="44">
        <f>[3]PwrCsOut!I365</f>
        <v>4511.4979999999996</v>
      </c>
      <c r="N12" s="45">
        <f>[3]PwrCsOut!J365</f>
        <v>1928.9014999999999</v>
      </c>
      <c r="O12" s="44">
        <f>[3]PwrCsOut!K365</f>
        <v>106.1806875</v>
      </c>
      <c r="P12" s="44">
        <f>[3]PwrCsOut!L365</f>
        <v>414.18153124999998</v>
      </c>
      <c r="Q12" s="44">
        <f>[3]PwrCsOut!M365</f>
        <v>1702.5833749999999</v>
      </c>
      <c r="R12" s="44">
        <f>SUM(F12:Q12)</f>
        <v>201815.69959374997</v>
      </c>
      <c r="T12" s="44">
        <f>SUM(F12:N12)</f>
        <v>199592.75399999999</v>
      </c>
    </row>
    <row r="13" spans="1:20">
      <c r="N13" s="36"/>
    </row>
    <row r="14" spans="1:20">
      <c r="C14" s="19" t="s">
        <v>55</v>
      </c>
      <c r="F14" s="44">
        <f t="shared" ref="F14:R14" si="0">SUM(F8:F12)</f>
        <v>206251</v>
      </c>
      <c r="G14" s="44">
        <f t="shared" si="0"/>
        <v>137276</v>
      </c>
      <c r="H14" s="44">
        <f t="shared" si="0"/>
        <v>151687</v>
      </c>
      <c r="I14" s="44">
        <f t="shared" si="0"/>
        <v>196632</v>
      </c>
      <c r="J14" s="44">
        <f t="shared" si="0"/>
        <v>202012</v>
      </c>
      <c r="K14" s="44">
        <f t="shared" si="0"/>
        <v>172577</v>
      </c>
      <c r="L14" s="44">
        <f t="shared" si="0"/>
        <v>252723.77784570307</v>
      </c>
      <c r="M14" s="44">
        <f t="shared" si="0"/>
        <v>227287.67403710933</v>
      </c>
      <c r="N14" s="45">
        <f t="shared" si="0"/>
        <v>218617.2598632813</v>
      </c>
      <c r="O14" s="44">
        <f t="shared" si="0"/>
        <v>118417.70225585936</v>
      </c>
      <c r="P14" s="44">
        <f t="shared" si="0"/>
        <v>112493.3674609375</v>
      </c>
      <c r="Q14" s="44">
        <f t="shared" si="0"/>
        <v>133215.20344335935</v>
      </c>
      <c r="R14" s="44">
        <f t="shared" si="0"/>
        <v>2129189.9849062501</v>
      </c>
      <c r="T14" s="44">
        <f>SUM(T8:T12)</f>
        <v>1765063.7117460938</v>
      </c>
    </row>
    <row r="15" spans="1:20">
      <c r="N15" s="36"/>
    </row>
    <row r="16" spans="1:20">
      <c r="B16" s="19" t="s">
        <v>56</v>
      </c>
      <c r="F16" s="19">
        <v>2365</v>
      </c>
      <c r="G16" s="19">
        <v>2757</v>
      </c>
      <c r="H16" s="19">
        <v>3165</v>
      </c>
      <c r="I16" s="19">
        <v>3101</v>
      </c>
      <c r="J16" s="19">
        <v>3008</v>
      </c>
      <c r="K16" s="19">
        <v>3079</v>
      </c>
      <c r="L16" s="19">
        <f>[3]PwrCsOut!H362</f>
        <v>3197.8492500000002</v>
      </c>
      <c r="M16" s="19">
        <f>[3]PwrCsOut!I362</f>
        <v>3197.8492500000002</v>
      </c>
      <c r="N16" s="36">
        <f>[3]PwrCsOut!J362</f>
        <v>3195.7645000000002</v>
      </c>
      <c r="O16" s="19">
        <f>[3]PwrCsOut!K362</f>
        <v>4830.8320000000003</v>
      </c>
      <c r="P16" s="19">
        <f>[3]PwrCsOut!L362</f>
        <v>4828.8064999999997</v>
      </c>
      <c r="Q16" s="19">
        <f>[3]PwrCsOut!M362</f>
        <v>4614.8710000000001</v>
      </c>
      <c r="R16" s="19">
        <f>SUM(F16:Q16)</f>
        <v>41340.972499999996</v>
      </c>
      <c r="T16" s="19">
        <f>SUM(F16:N16)</f>
        <v>27066.463</v>
      </c>
    </row>
    <row r="17" spans="1:20">
      <c r="N17" s="36"/>
    </row>
    <row r="18" spans="1:20">
      <c r="A18" s="19" t="s">
        <v>57</v>
      </c>
      <c r="N18" s="36"/>
    </row>
    <row r="19" spans="1:20">
      <c r="B19" s="19" t="s">
        <v>58</v>
      </c>
      <c r="N19" s="36"/>
    </row>
    <row r="20" spans="1:20">
      <c r="C20" s="19" t="s">
        <v>59</v>
      </c>
      <c r="N20" s="36"/>
      <c r="R20" s="19">
        <f>SUM(F20:Q20)</f>
        <v>0</v>
      </c>
    </row>
    <row r="21" spans="1:20">
      <c r="C21" s="19" t="s">
        <v>60</v>
      </c>
      <c r="F21" s="19">
        <v>957</v>
      </c>
      <c r="G21" s="19">
        <v>1470</v>
      </c>
      <c r="H21" s="19">
        <v>1037</v>
      </c>
      <c r="I21" s="19">
        <v>722</v>
      </c>
      <c r="J21" s="19">
        <v>728</v>
      </c>
      <c r="K21" s="19">
        <v>1140</v>
      </c>
      <c r="L21" s="19">
        <f>[3]PwrCsOut!H24+[3]PwrCsOut!H23+[3]PwrCsOut!H349+[3]PwrCsOut!H356</f>
        <v>1188.2266269531249</v>
      </c>
      <c r="M21" s="19">
        <f>[3]PwrCsOut!I24+[3]PwrCsOut!I23+[3]PwrCsOut!I349+[3]PwrCsOut!I356</f>
        <v>1188.2266269531249</v>
      </c>
      <c r="N21" s="36">
        <f>[3]PwrCsOut!J24+[3]PwrCsOut!J23+[3]PwrCsOut!J349+[3]PwrCsOut!J356</f>
        <v>1158.8528027343748</v>
      </c>
      <c r="O21" s="19">
        <f>[3]PwrCsOut!K24+[3]PwrCsOut!K23+[3]PwrCsOut!K349+[3]PwrCsOut!K356</f>
        <v>1188.2266269531249</v>
      </c>
      <c r="P21" s="19">
        <f>[3]PwrCsOut!L24+[3]PwrCsOut!L23+[3]PwrCsOut!L349+[3]PwrCsOut!L356</f>
        <v>1158.8528027343748</v>
      </c>
      <c r="Q21" s="19">
        <f>[3]PwrCsOut!M24+[3]PwrCsOut!M23+[3]PwrCsOut!M349+[3]PwrCsOut!M356</f>
        <v>1188.2266269531249</v>
      </c>
      <c r="R21" s="19">
        <f>SUM(F21:Q21)</f>
        <v>13124.612113281248</v>
      </c>
      <c r="T21" s="19">
        <f>SUM(F21:N21)</f>
        <v>9589.3060566406239</v>
      </c>
    </row>
    <row r="22" spans="1:20">
      <c r="C22" s="19" t="s">
        <v>61</v>
      </c>
      <c r="F22" s="44">
        <v>2555</v>
      </c>
      <c r="G22" s="44">
        <v>2746</v>
      </c>
      <c r="H22" s="44">
        <v>3155</v>
      </c>
      <c r="I22" s="44">
        <v>2750</v>
      </c>
      <c r="J22" s="44">
        <v>1578</v>
      </c>
      <c r="K22" s="44">
        <v>1374</v>
      </c>
      <c r="L22" s="44">
        <f>[3]PwrCsOut!H20+[3]PwrCsOut!H350+[3]PwrCsOut!H351+[3]PwrCsOut!H352+[3]PwrCsOut!H355</f>
        <v>3114.9977910156254</v>
      </c>
      <c r="M22" s="44">
        <f>[3]PwrCsOut!I20+[3]PwrCsOut!I350+[3]PwrCsOut!I351+[3]PwrCsOut!I352+[3]PwrCsOut!I355</f>
        <v>3114.9977910156254</v>
      </c>
      <c r="N22" s="45">
        <f>[3]PwrCsOut!J20+[3]PwrCsOut!J350+[3]PwrCsOut!J351+[3]PwrCsOut!J352+[3]PwrCsOut!J355</f>
        <v>3021.4213085937499</v>
      </c>
      <c r="O22" s="44">
        <f>[3]PwrCsOut!K20+[3]PwrCsOut!K350+[3]PwrCsOut!K351+[3]PwrCsOut!K352+[3]PwrCsOut!K355</f>
        <v>3114.9977910156254</v>
      </c>
      <c r="P22" s="44">
        <f>[3]PwrCsOut!L20+[3]PwrCsOut!L350+[3]PwrCsOut!L351+[3]PwrCsOut!L352+[3]PwrCsOut!L355</f>
        <v>3021.4213085937499</v>
      </c>
      <c r="Q22" s="44">
        <f>[3]PwrCsOut!M20+[3]PwrCsOut!M350+[3]PwrCsOut!M351+[3]PwrCsOut!M352+[3]PwrCsOut!M355</f>
        <v>3114.9977910156254</v>
      </c>
      <c r="R22" s="44">
        <f>SUM(F22:Q22)</f>
        <v>32660.833781250007</v>
      </c>
      <c r="T22" s="44">
        <f>SUM(F22:N22)</f>
        <v>23409.416890625005</v>
      </c>
    </row>
    <row r="23" spans="1:20">
      <c r="N23" s="36"/>
    </row>
    <row r="24" spans="1:20">
      <c r="C24" s="19" t="s">
        <v>62</v>
      </c>
      <c r="F24" s="19">
        <f t="shared" ref="F24:Q24" si="1">SUM(F20:F23)</f>
        <v>3512</v>
      </c>
      <c r="G24" s="19">
        <f t="shared" si="1"/>
        <v>4216</v>
      </c>
      <c r="H24" s="19">
        <f t="shared" si="1"/>
        <v>4192</v>
      </c>
      <c r="I24" s="19">
        <f t="shared" si="1"/>
        <v>3472</v>
      </c>
      <c r="J24" s="19">
        <f t="shared" si="1"/>
        <v>2306</v>
      </c>
      <c r="K24" s="19">
        <f t="shared" si="1"/>
        <v>2514</v>
      </c>
      <c r="L24" s="19">
        <f t="shared" si="1"/>
        <v>4303.2244179687505</v>
      </c>
      <c r="M24" s="19">
        <f t="shared" si="1"/>
        <v>4303.2244179687505</v>
      </c>
      <c r="N24" s="36">
        <f t="shared" si="1"/>
        <v>4180.2741113281245</v>
      </c>
      <c r="O24" s="19">
        <f t="shared" si="1"/>
        <v>4303.2244179687505</v>
      </c>
      <c r="P24" s="19">
        <f t="shared" si="1"/>
        <v>4180.2741113281245</v>
      </c>
      <c r="Q24" s="19">
        <f t="shared" si="1"/>
        <v>4303.2244179687505</v>
      </c>
      <c r="R24" s="19">
        <f>SUM(F24:Q24)</f>
        <v>45785.445894531244</v>
      </c>
      <c r="T24" s="19">
        <f>SUM(T20:T23)</f>
        <v>32998.722947265633</v>
      </c>
    </row>
    <row r="25" spans="1:20">
      <c r="N25" s="36"/>
    </row>
    <row r="26" spans="1:20">
      <c r="B26" s="19" t="s">
        <v>63</v>
      </c>
      <c r="N26" s="36"/>
    </row>
    <row r="27" spans="1:20">
      <c r="N27" s="36"/>
    </row>
    <row r="28" spans="1:20">
      <c r="B28" s="19" t="s">
        <v>64</v>
      </c>
      <c r="N28" s="36"/>
    </row>
    <row r="29" spans="1:20">
      <c r="C29" s="19" t="s">
        <v>65</v>
      </c>
      <c r="F29" s="19">
        <v>23277</v>
      </c>
      <c r="G29" s="19">
        <v>14193</v>
      </c>
      <c r="H29" s="19">
        <v>16472</v>
      </c>
      <c r="I29" s="19">
        <v>11705</v>
      </c>
      <c r="J29" s="19">
        <v>9693</v>
      </c>
      <c r="K29" s="19">
        <v>11173</v>
      </c>
      <c r="L29" s="19">
        <f>[3]PwrCsOut!H27+[3]PwrCsOut!H28+[3]PwrCsOut!H357+[3]PwrCsOut!H60</f>
        <v>10465.83911328125</v>
      </c>
      <c r="M29" s="19">
        <f>[3]PwrCsOut!I27+[3]PwrCsOut!I28+[3]PwrCsOut!I357+[3]PwrCsOut!I60</f>
        <v>11176.726609375</v>
      </c>
      <c r="N29" s="36">
        <f>[3]PwrCsOut!J27+[3]PwrCsOut!J28+[3]PwrCsOut!J357+[3]PwrCsOut!J60</f>
        <v>10604.652453125</v>
      </c>
      <c r="O29" s="19">
        <f>[3]PwrCsOut!K27+[3]PwrCsOut!K28+[3]PwrCsOut!K357+[3]PwrCsOut!K60</f>
        <v>11523.477140625</v>
      </c>
      <c r="P29" s="19">
        <f>[3]PwrCsOut!L27+[3]PwrCsOut!L28+[3]PwrCsOut!L357+[3]PwrCsOut!L60</f>
        <v>16787.378234375003</v>
      </c>
      <c r="Q29" s="19">
        <f>[3]PwrCsOut!M27+[3]PwrCsOut!M28+[3]PwrCsOut!M357+[3]PwrCsOut!M60</f>
        <v>18506.88196875</v>
      </c>
      <c r="R29" s="19">
        <f t="shared" ref="R29:R35" si="2">SUM(F29:Q29)</f>
        <v>165577.95551953127</v>
      </c>
      <c r="T29" s="19">
        <f t="shared" ref="T29:T35" si="3">SUM(F29:N29)</f>
        <v>118760.21817578127</v>
      </c>
    </row>
    <row r="30" spans="1:20">
      <c r="C30" s="19" t="s">
        <v>66</v>
      </c>
      <c r="F30" s="19">
        <v>5167</v>
      </c>
      <c r="G30" s="19">
        <v>4626</v>
      </c>
      <c r="H30" s="19">
        <v>4783</v>
      </c>
      <c r="I30" s="19">
        <v>3562</v>
      </c>
      <c r="J30" s="19">
        <v>4649</v>
      </c>
      <c r="K30" s="19">
        <v>4069</v>
      </c>
      <c r="L30" s="19">
        <f>[3]PwrCsOut!H29+[3]PwrCsOut!H61</f>
        <v>2718.6688749999998</v>
      </c>
      <c r="M30" s="19">
        <f>[3]PwrCsOut!I29+[3]PwrCsOut!I61</f>
        <v>2730.7976250000002</v>
      </c>
      <c r="N30" s="36">
        <f>[3]PwrCsOut!J29+[3]PwrCsOut!J61</f>
        <v>2677.7053749999995</v>
      </c>
      <c r="O30" s="19">
        <f>[3]PwrCsOut!K29+[3]PwrCsOut!K61</f>
        <v>2804.1656250000001</v>
      </c>
      <c r="P30" s="19">
        <f>[3]PwrCsOut!L29+[3]PwrCsOut!L61</f>
        <v>4559.6863085937493</v>
      </c>
      <c r="Q30" s="19">
        <f>[3]PwrCsOut!M29+[3]PwrCsOut!M61</f>
        <v>4894.5546718749993</v>
      </c>
      <c r="R30" s="19">
        <f t="shared" si="2"/>
        <v>47241.57848046875</v>
      </c>
      <c r="T30" s="19">
        <f t="shared" si="3"/>
        <v>34983.171875</v>
      </c>
    </row>
    <row r="31" spans="1:20">
      <c r="C31" s="19" t="s">
        <v>67</v>
      </c>
      <c r="F31" s="19">
        <v>1386</v>
      </c>
      <c r="G31" s="19">
        <v>1241</v>
      </c>
      <c r="H31" s="19">
        <v>1527</v>
      </c>
      <c r="I31" s="19">
        <v>1403</v>
      </c>
      <c r="J31" s="19">
        <v>1325</v>
      </c>
      <c r="K31" s="19">
        <v>1307</v>
      </c>
      <c r="L31" s="19">
        <f>[3]PwrCsOut!H58+[3]PwrCsOut!H59+[3]PwrCsOut!H50+[3]PwrCsOut!H51</f>
        <v>1306.8493066406252</v>
      </c>
      <c r="M31" s="19">
        <f>[3]PwrCsOut!I58+[3]PwrCsOut!I59+[3]PwrCsOut!I50+[3]PwrCsOut!I51</f>
        <v>1306.8493066406252</v>
      </c>
      <c r="N31" s="36">
        <f>[3]PwrCsOut!J58+[3]PwrCsOut!J59+[3]PwrCsOut!J50+[3]PwrCsOut!J51</f>
        <v>1306.84776171875</v>
      </c>
      <c r="O31" s="19">
        <f>[3]PwrCsOut!K58+[3]PwrCsOut!K59+[3]PwrCsOut!K50+[3]PwrCsOut!K51</f>
        <v>1306.8493066406252</v>
      </c>
      <c r="P31" s="19">
        <f>[3]PwrCsOut!L58+[3]PwrCsOut!L59+[3]PwrCsOut!L50+[3]PwrCsOut!L51</f>
        <v>1306.84776171875</v>
      </c>
      <c r="Q31" s="19">
        <f>[3]PwrCsOut!M58+[3]PwrCsOut!M59+[3]PwrCsOut!M50+[3]PwrCsOut!M51</f>
        <v>1306.8493066406252</v>
      </c>
      <c r="R31" s="19">
        <f t="shared" si="2"/>
        <v>16030.092749999998</v>
      </c>
      <c r="T31" s="19">
        <f t="shared" si="3"/>
        <v>12109.546374999998</v>
      </c>
    </row>
    <row r="32" spans="1:20">
      <c r="C32" s="19" t="s">
        <v>68</v>
      </c>
      <c r="F32" s="19">
        <v>-5879</v>
      </c>
      <c r="G32" s="19">
        <v>-149</v>
      </c>
      <c r="H32" s="19">
        <v>1837</v>
      </c>
      <c r="I32" s="19">
        <v>-1265</v>
      </c>
      <c r="J32" s="19">
        <v>-978</v>
      </c>
      <c r="K32" s="19">
        <v>-1134</v>
      </c>
      <c r="L32" s="19">
        <f>[3]PwrCsOut!H62</f>
        <v>-3553.7572500000001</v>
      </c>
      <c r="M32" s="19">
        <f>[3]PwrCsOut!I62</f>
        <v>-3665.1297500000001</v>
      </c>
      <c r="N32" s="36">
        <f>[3]PwrCsOut!J62</f>
        <v>-3591.6804999999999</v>
      </c>
      <c r="O32" s="19">
        <f>[3]PwrCsOut!K62</f>
        <v>-4073.7727500000001</v>
      </c>
      <c r="P32" s="19">
        <f>[3]PwrCsOut!L62</f>
        <v>-2203.2995000000001</v>
      </c>
      <c r="Q32" s="19">
        <f>[3]PwrCsOut!M62</f>
        <v>-3026.3575000000001</v>
      </c>
      <c r="R32" s="19">
        <f t="shared" si="2"/>
        <v>-27681.99725</v>
      </c>
      <c r="T32" s="19">
        <f t="shared" si="3"/>
        <v>-18378.567500000001</v>
      </c>
    </row>
    <row r="33" spans="1:20">
      <c r="C33" s="86" t="s">
        <v>69</v>
      </c>
      <c r="F33" s="19">
        <v>-711</v>
      </c>
      <c r="G33" s="19">
        <v>-2289</v>
      </c>
      <c r="H33" s="19">
        <v>-289</v>
      </c>
      <c r="I33" s="19">
        <v>1243</v>
      </c>
      <c r="J33" s="19">
        <v>-707</v>
      </c>
      <c r="K33" s="19">
        <v>667</v>
      </c>
      <c r="L33" s="19">
        <v>101</v>
      </c>
      <c r="M33" s="19">
        <v>100</v>
      </c>
      <c r="N33" s="36">
        <v>96</v>
      </c>
      <c r="O33" s="19">
        <v>99</v>
      </c>
      <c r="P33" s="19">
        <v>-147</v>
      </c>
      <c r="Q33" s="19">
        <v>-150</v>
      </c>
      <c r="R33" s="19">
        <f t="shared" si="2"/>
        <v>-1987</v>
      </c>
      <c r="T33" s="19">
        <f t="shared" si="3"/>
        <v>-1789</v>
      </c>
    </row>
    <row r="34" spans="1:20">
      <c r="C34" s="86" t="s">
        <v>70</v>
      </c>
      <c r="F34" s="19">
        <v>2249</v>
      </c>
      <c r="G34" s="19">
        <v>1515</v>
      </c>
      <c r="H34" s="19">
        <v>-2736</v>
      </c>
      <c r="I34" s="19">
        <v>-1906</v>
      </c>
      <c r="J34" s="19">
        <v>-4350</v>
      </c>
      <c r="K34" s="19">
        <v>1773</v>
      </c>
      <c r="L34" s="19">
        <v>3640</v>
      </c>
      <c r="M34" s="19">
        <v>3529</v>
      </c>
      <c r="N34" s="36">
        <v>3361</v>
      </c>
      <c r="O34" s="19">
        <v>3124</v>
      </c>
      <c r="P34" s="19">
        <v>1503</v>
      </c>
      <c r="Q34" s="19">
        <f>1398-2</f>
        <v>1396</v>
      </c>
      <c r="R34" s="19">
        <f t="shared" si="2"/>
        <v>13098</v>
      </c>
      <c r="T34" s="44">
        <f t="shared" si="3"/>
        <v>7075</v>
      </c>
    </row>
    <row r="35" spans="1:20">
      <c r="C35" s="19" t="s">
        <v>71</v>
      </c>
      <c r="F35" s="44">
        <f t="shared" ref="F35:Q35" si="4">SUM(F29:F34)</f>
        <v>25489</v>
      </c>
      <c r="G35" s="44">
        <f t="shared" si="4"/>
        <v>19137</v>
      </c>
      <c r="H35" s="44">
        <f t="shared" si="4"/>
        <v>21594</v>
      </c>
      <c r="I35" s="44">
        <f t="shared" si="4"/>
        <v>14742</v>
      </c>
      <c r="J35" s="44">
        <f t="shared" si="4"/>
        <v>9632</v>
      </c>
      <c r="K35" s="44">
        <f t="shared" si="4"/>
        <v>17855</v>
      </c>
      <c r="L35" s="44">
        <f t="shared" si="4"/>
        <v>14678.600044921874</v>
      </c>
      <c r="M35" s="44">
        <f t="shared" si="4"/>
        <v>15178.243791015624</v>
      </c>
      <c r="N35" s="45">
        <f t="shared" si="4"/>
        <v>14454.52508984375</v>
      </c>
      <c r="O35" s="44">
        <f t="shared" si="4"/>
        <v>14783.719322265624</v>
      </c>
      <c r="P35" s="44">
        <f t="shared" si="4"/>
        <v>21806.612804687498</v>
      </c>
      <c r="Q35" s="44">
        <f t="shared" si="4"/>
        <v>22927.928447265622</v>
      </c>
      <c r="R35" s="44">
        <f t="shared" si="2"/>
        <v>212278.62949999998</v>
      </c>
      <c r="T35" s="48">
        <f t="shared" si="3"/>
        <v>152760.36892578125</v>
      </c>
    </row>
    <row r="36" spans="1:20">
      <c r="N36" s="36"/>
    </row>
    <row r="37" spans="1:20">
      <c r="C37" s="19" t="s">
        <v>72</v>
      </c>
      <c r="F37" s="44">
        <f t="shared" ref="F37:Q37" si="5">F24+F26+F35</f>
        <v>29001</v>
      </c>
      <c r="G37" s="44">
        <f t="shared" si="5"/>
        <v>23353</v>
      </c>
      <c r="H37" s="44">
        <f t="shared" si="5"/>
        <v>25786</v>
      </c>
      <c r="I37" s="44">
        <f t="shared" si="5"/>
        <v>18214</v>
      </c>
      <c r="J37" s="44">
        <f t="shared" si="5"/>
        <v>11938</v>
      </c>
      <c r="K37" s="44">
        <f t="shared" si="5"/>
        <v>20369</v>
      </c>
      <c r="L37" s="44">
        <f t="shared" si="5"/>
        <v>18981.824462890625</v>
      </c>
      <c r="M37" s="44">
        <f t="shared" si="5"/>
        <v>19481.468208984374</v>
      </c>
      <c r="N37" s="45">
        <f t="shared" si="5"/>
        <v>18634.799201171874</v>
      </c>
      <c r="O37" s="44">
        <f t="shared" si="5"/>
        <v>19086.943740234376</v>
      </c>
      <c r="P37" s="44">
        <f t="shared" si="5"/>
        <v>25986.886916015625</v>
      </c>
      <c r="Q37" s="44">
        <f t="shared" si="5"/>
        <v>27231.152865234373</v>
      </c>
      <c r="R37" s="44">
        <f>SUM(F37:Q37)</f>
        <v>258064.07539453125</v>
      </c>
      <c r="T37" s="44">
        <f>+T24+T35</f>
        <v>185759.09187304688</v>
      </c>
    </row>
    <row r="38" spans="1:20">
      <c r="N38" s="36"/>
    </row>
    <row r="39" spans="1:20">
      <c r="A39" s="19" t="s">
        <v>73</v>
      </c>
      <c r="F39" s="19">
        <f t="shared" ref="F39:Q39" si="6">F14+F16+F37</f>
        <v>237617</v>
      </c>
      <c r="G39" s="19">
        <f t="shared" si="6"/>
        <v>163386</v>
      </c>
      <c r="H39" s="19">
        <f t="shared" si="6"/>
        <v>180638</v>
      </c>
      <c r="I39" s="19">
        <f t="shared" si="6"/>
        <v>217947</v>
      </c>
      <c r="J39" s="19">
        <f t="shared" si="6"/>
        <v>216958</v>
      </c>
      <c r="K39" s="19">
        <f t="shared" si="6"/>
        <v>196025</v>
      </c>
      <c r="L39" s="19">
        <f t="shared" si="6"/>
        <v>274903.45155859366</v>
      </c>
      <c r="M39" s="19">
        <f t="shared" si="6"/>
        <v>249966.99149609372</v>
      </c>
      <c r="N39" s="36">
        <f t="shared" si="6"/>
        <v>240447.82356445317</v>
      </c>
      <c r="O39" s="19">
        <f t="shared" si="6"/>
        <v>142335.47799609374</v>
      </c>
      <c r="P39" s="19">
        <f t="shared" si="6"/>
        <v>143309.06087695312</v>
      </c>
      <c r="Q39" s="19">
        <f t="shared" si="6"/>
        <v>165061.22730859375</v>
      </c>
      <c r="R39" s="19">
        <f>SUM(F39:Q39)</f>
        <v>2428595.0328007811</v>
      </c>
      <c r="T39" s="19">
        <f>+T14+T16+T37</f>
        <v>1977889.2666191407</v>
      </c>
    </row>
    <row r="40" spans="1:20">
      <c r="N40" s="36"/>
    </row>
    <row r="41" spans="1:20">
      <c r="B41" s="19" t="s">
        <v>74</v>
      </c>
      <c r="F41" s="19">
        <v>-147729</v>
      </c>
      <c r="G41" s="19">
        <v>-155832</v>
      </c>
      <c r="H41" s="19">
        <v>-176370</v>
      </c>
      <c r="I41" s="19">
        <v>-218190</v>
      </c>
      <c r="J41" s="19">
        <v>-189150</v>
      </c>
      <c r="K41" s="19">
        <v>-174820</v>
      </c>
      <c r="L41" s="19">
        <f>[3]PwrCsOut!H347+[3]PwrCsOut!H366</f>
        <v>-197682.69</v>
      </c>
      <c r="M41" s="19">
        <f>[3]PwrCsOut!I347+[3]PwrCsOut!I366</f>
        <v>-176051.75400000002</v>
      </c>
      <c r="N41" s="36">
        <f>[3]PwrCsOut!J347+[3]PwrCsOut!J366</f>
        <v>-173239.147</v>
      </c>
      <c r="O41" s="19">
        <f>[3]PwrCsOut!K347+[3]PwrCsOut!K366</f>
        <v>-98748.895999999993</v>
      </c>
      <c r="P41" s="19">
        <f>[3]PwrCsOut!L347+[3]PwrCsOut!L366</f>
        <v>-83414.913</v>
      </c>
      <c r="Q41" s="19">
        <f>[3]PwrCsOut!M347+[3]PwrCsOut!M366</f>
        <v>-85142.36</v>
      </c>
      <c r="R41" s="19">
        <f>SUM(F41:Q41)</f>
        <v>-1876370.76</v>
      </c>
      <c r="T41" s="19">
        <f>SUM(F41:N41)</f>
        <v>-1609064.591</v>
      </c>
    </row>
    <row r="42" spans="1:20">
      <c r="B42" s="19" t="s">
        <v>75</v>
      </c>
      <c r="F42" s="44">
        <v>-2901</v>
      </c>
      <c r="G42" s="44">
        <v>-1482</v>
      </c>
      <c r="H42" s="44">
        <v>-844</v>
      </c>
      <c r="I42" s="44">
        <v>-1561</v>
      </c>
      <c r="J42" s="44">
        <v>-350</v>
      </c>
      <c r="K42" s="44">
        <v>-425</v>
      </c>
      <c r="L42" s="44"/>
      <c r="M42" s="44"/>
      <c r="N42" s="45"/>
      <c r="O42" s="44"/>
      <c r="P42" s="44"/>
      <c r="Q42" s="44"/>
      <c r="R42" s="44">
        <f>SUM(F42:Q42)</f>
        <v>-7563</v>
      </c>
      <c r="T42" s="44">
        <f>SUM(F42:N42)</f>
        <v>-7563</v>
      </c>
    </row>
    <row r="43" spans="1:20" ht="13.5" thickBot="1">
      <c r="N43" s="36"/>
    </row>
    <row r="44" spans="1:20" ht="13.5" thickBot="1">
      <c r="A44" s="18" t="s">
        <v>76</v>
      </c>
      <c r="F44" s="19">
        <f t="shared" ref="F44:Q44" si="7">F39+F41+F42</f>
        <v>86987</v>
      </c>
      <c r="G44" s="19">
        <f t="shared" si="7"/>
        <v>6072</v>
      </c>
      <c r="H44" s="19">
        <f t="shared" si="7"/>
        <v>3424</v>
      </c>
      <c r="I44" s="19">
        <f t="shared" si="7"/>
        <v>-1804</v>
      </c>
      <c r="J44" s="19">
        <f t="shared" si="7"/>
        <v>27458</v>
      </c>
      <c r="K44" s="19">
        <f t="shared" si="7"/>
        <v>20780</v>
      </c>
      <c r="L44" s="19">
        <f t="shared" si="7"/>
        <v>77220.761558593658</v>
      </c>
      <c r="M44" s="19">
        <f t="shared" si="7"/>
        <v>73915.237496093701</v>
      </c>
      <c r="N44" s="36">
        <f t="shared" si="7"/>
        <v>67208.67656445317</v>
      </c>
      <c r="O44" s="19">
        <f t="shared" si="7"/>
        <v>43586.581996093752</v>
      </c>
      <c r="P44" s="19">
        <f t="shared" si="7"/>
        <v>59894.147876953124</v>
      </c>
      <c r="Q44" s="19">
        <f t="shared" si="7"/>
        <v>79918.867308593748</v>
      </c>
      <c r="R44" s="49">
        <f>SUM(F44:Q44)</f>
        <v>544661.27280078107</v>
      </c>
      <c r="T44" s="18">
        <f>T39+T41+T42</f>
        <v>361261.67561914073</v>
      </c>
    </row>
    <row r="45" spans="1:20" s="24" customFormat="1" ht="16.5" thickBot="1">
      <c r="B45" s="50"/>
      <c r="D45" s="51"/>
      <c r="F45" s="52"/>
      <c r="G45" s="53"/>
      <c r="H45" s="53"/>
      <c r="I45" s="53"/>
      <c r="J45" s="53"/>
      <c r="K45" s="53"/>
      <c r="L45" s="53"/>
      <c r="M45" s="53"/>
      <c r="N45" s="54"/>
      <c r="O45" s="55"/>
      <c r="P45" s="53"/>
      <c r="Q45" s="53"/>
      <c r="R45" s="53"/>
      <c r="T45" s="53"/>
    </row>
    <row r="46" spans="1:20" s="24" customFormat="1" ht="15.75">
      <c r="A46" s="56" t="s">
        <v>77</v>
      </c>
      <c r="B46" s="57"/>
      <c r="C46" s="21"/>
      <c r="D46" s="58"/>
      <c r="E46" s="21"/>
      <c r="F46" s="59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0"/>
      <c r="R46" s="60"/>
      <c r="S46" s="21"/>
      <c r="T46" s="62"/>
    </row>
    <row r="47" spans="1:20" s="24" customFormat="1" ht="15">
      <c r="A47" s="63" t="s">
        <v>78</v>
      </c>
      <c r="B47" s="64"/>
      <c r="C47" s="64"/>
      <c r="D47" s="64"/>
      <c r="E47" s="64"/>
      <c r="F47" s="24">
        <v>4279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36">
        <v>0</v>
      </c>
      <c r="O47" s="24">
        <v>0</v>
      </c>
      <c r="P47" s="24">
        <v>0</v>
      </c>
      <c r="Q47" s="24">
        <v>0</v>
      </c>
      <c r="R47" s="24">
        <f t="shared" ref="R47:R52" si="8">SUM(F47:Q47)</f>
        <v>4279</v>
      </c>
      <c r="T47" s="28">
        <f>SUM(F47:N47)</f>
        <v>4279</v>
      </c>
    </row>
    <row r="48" spans="1:20" s="24" customFormat="1" ht="15">
      <c r="A48" s="63" t="s">
        <v>79</v>
      </c>
      <c r="B48" s="64"/>
      <c r="C48" s="64"/>
      <c r="D48" s="64"/>
      <c r="E48" s="64"/>
      <c r="F48" s="24">
        <v>424</v>
      </c>
      <c r="G48" s="24">
        <v>0</v>
      </c>
      <c r="H48" s="24">
        <f>2400+6000</f>
        <v>8400</v>
      </c>
      <c r="I48" s="24">
        <v>0</v>
      </c>
      <c r="J48" s="24">
        <v>-679.077</v>
      </c>
      <c r="K48" s="24">
        <v>0</v>
      </c>
      <c r="L48" s="24">
        <v>0</v>
      </c>
      <c r="M48" s="24">
        <v>0</v>
      </c>
      <c r="N48" s="36">
        <v>0</v>
      </c>
      <c r="O48" s="24">
        <v>0</v>
      </c>
      <c r="P48" s="24">
        <v>0</v>
      </c>
      <c r="Q48" s="24">
        <v>0</v>
      </c>
      <c r="R48" s="24">
        <f t="shared" si="8"/>
        <v>8144.9229999999998</v>
      </c>
      <c r="T48" s="28">
        <f>SUM(F48:N48)</f>
        <v>8144.9229999999998</v>
      </c>
    </row>
    <row r="49" spans="1:20">
      <c r="A49" s="63" t="s">
        <v>80</v>
      </c>
      <c r="B49" s="24"/>
      <c r="C49" s="24"/>
      <c r="D49" s="24"/>
      <c r="E49" s="24"/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6">
        <v>-6187</v>
      </c>
      <c r="O49" s="24">
        <v>0</v>
      </c>
      <c r="P49" s="24">
        <v>0</v>
      </c>
      <c r="Q49" s="24">
        <v>0</v>
      </c>
      <c r="R49" s="24">
        <f t="shared" si="8"/>
        <v>-6187</v>
      </c>
      <c r="S49" s="24"/>
      <c r="T49" s="28">
        <f>SUM(F49:N49)</f>
        <v>-6187</v>
      </c>
    </row>
    <row r="50" spans="1:20">
      <c r="A50" s="63" t="s">
        <v>81</v>
      </c>
      <c r="B50" s="24"/>
      <c r="C50" s="24"/>
      <c r="D50" s="24"/>
      <c r="E50" s="24"/>
      <c r="F50" s="65">
        <v>2109.2791755555554</v>
      </c>
      <c r="G50" s="65">
        <v>1962</v>
      </c>
      <c r="H50" s="65">
        <v>2134</v>
      </c>
      <c r="I50" s="65">
        <v>2085</v>
      </c>
      <c r="J50" s="65">
        <v>2178</v>
      </c>
      <c r="K50" s="65">
        <v>2274.3555555555554</v>
      </c>
      <c r="L50" s="65">
        <v>2249.1555555555556</v>
      </c>
      <c r="M50" s="65">
        <v>2301.2355555555555</v>
      </c>
      <c r="N50" s="66">
        <v>2274.3555555555554</v>
      </c>
      <c r="O50" s="24">
        <v>0</v>
      </c>
      <c r="P50" s="24">
        <v>0</v>
      </c>
      <c r="Q50" s="24">
        <v>0</v>
      </c>
      <c r="R50" s="24">
        <f t="shared" si="8"/>
        <v>19567.381397777775</v>
      </c>
      <c r="S50" s="24"/>
      <c r="T50" s="28">
        <f>SUM(F50:N50)</f>
        <v>19567.381397777775</v>
      </c>
    </row>
    <row r="51" spans="1:20">
      <c r="A51" s="67" t="s">
        <v>82</v>
      </c>
      <c r="B51" s="41"/>
      <c r="C51" s="41"/>
      <c r="D51" s="41"/>
      <c r="E51" s="41" t="s">
        <v>83</v>
      </c>
      <c r="F51" s="47">
        <f t="shared" ref="F51:Q51" si="9">+F34</f>
        <v>2249</v>
      </c>
      <c r="G51" s="47">
        <f t="shared" si="9"/>
        <v>1515</v>
      </c>
      <c r="H51" s="47">
        <f t="shared" si="9"/>
        <v>-2736</v>
      </c>
      <c r="I51" s="47">
        <f t="shared" si="9"/>
        <v>-1906</v>
      </c>
      <c r="J51" s="47">
        <f t="shared" si="9"/>
        <v>-4350</v>
      </c>
      <c r="K51" s="47">
        <f t="shared" si="9"/>
        <v>1773</v>
      </c>
      <c r="L51" s="47">
        <f t="shared" si="9"/>
        <v>3640</v>
      </c>
      <c r="M51" s="47">
        <f t="shared" si="9"/>
        <v>3529</v>
      </c>
      <c r="N51" s="68">
        <f t="shared" si="9"/>
        <v>3361</v>
      </c>
      <c r="O51" s="47">
        <f t="shared" si="9"/>
        <v>3124</v>
      </c>
      <c r="P51" s="47">
        <f t="shared" si="9"/>
        <v>1503</v>
      </c>
      <c r="Q51" s="47">
        <f t="shared" si="9"/>
        <v>1396</v>
      </c>
      <c r="R51" s="47">
        <f t="shared" si="8"/>
        <v>13098</v>
      </c>
      <c r="S51" s="41"/>
      <c r="T51" s="69">
        <f>SUM(F51:N51)</f>
        <v>7075</v>
      </c>
    </row>
    <row r="52" spans="1:20">
      <c r="A52" s="63"/>
      <c r="B52" s="24" t="s">
        <v>84</v>
      </c>
      <c r="C52" s="24"/>
      <c r="D52" s="24"/>
      <c r="E52" s="24"/>
      <c r="F52" s="24">
        <f t="shared" ref="F52:Q52" si="10">SUM(F47:F51)</f>
        <v>9061.2791755555554</v>
      </c>
      <c r="G52" s="24">
        <f t="shared" si="10"/>
        <v>3477</v>
      </c>
      <c r="H52" s="24">
        <f t="shared" si="10"/>
        <v>7798</v>
      </c>
      <c r="I52" s="24">
        <f t="shared" si="10"/>
        <v>179</v>
      </c>
      <c r="J52" s="24">
        <f t="shared" si="10"/>
        <v>-2851.0770000000002</v>
      </c>
      <c r="K52" s="24">
        <f t="shared" si="10"/>
        <v>4047.3555555555554</v>
      </c>
      <c r="L52" s="24">
        <f t="shared" si="10"/>
        <v>5889.1555555555551</v>
      </c>
      <c r="M52" s="24">
        <f t="shared" si="10"/>
        <v>5830.235555555555</v>
      </c>
      <c r="N52" s="36">
        <f t="shared" si="10"/>
        <v>-551.64444444444462</v>
      </c>
      <c r="O52" s="24">
        <f t="shared" si="10"/>
        <v>3124</v>
      </c>
      <c r="P52" s="24">
        <f t="shared" si="10"/>
        <v>1503</v>
      </c>
      <c r="Q52" s="24">
        <f t="shared" si="10"/>
        <v>1396</v>
      </c>
      <c r="R52" s="24">
        <f t="shared" si="8"/>
        <v>38902.304397777778</v>
      </c>
      <c r="S52" s="24"/>
      <c r="T52" s="28">
        <f>SUM(T47:T51)</f>
        <v>32879.304397777771</v>
      </c>
    </row>
    <row r="53" spans="1:20">
      <c r="A53" s="6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6"/>
      <c r="O53" s="24"/>
      <c r="P53" s="24"/>
      <c r="Q53" s="24"/>
      <c r="R53" s="24"/>
      <c r="S53" s="24"/>
      <c r="T53" s="28"/>
    </row>
    <row r="54" spans="1:20">
      <c r="A54" s="70" t="s">
        <v>85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6"/>
      <c r="O54" s="24"/>
      <c r="P54" s="24"/>
      <c r="Q54" s="24"/>
      <c r="R54" s="24"/>
      <c r="S54" s="24"/>
      <c r="T54" s="28"/>
    </row>
    <row r="55" spans="1:20">
      <c r="A55" s="67" t="s">
        <v>86</v>
      </c>
      <c r="B55" s="41"/>
      <c r="C55" s="41"/>
      <c r="D55" s="41"/>
      <c r="E55" s="41" t="s">
        <v>87</v>
      </c>
      <c r="F55" s="41">
        <f t="shared" ref="F55:Q55" si="11">+F11</f>
        <v>8135</v>
      </c>
      <c r="G55" s="41">
        <f t="shared" si="11"/>
        <v>-5059</v>
      </c>
      <c r="H55" s="41">
        <f t="shared" si="11"/>
        <v>-12505</v>
      </c>
      <c r="I55" s="41">
        <f t="shared" si="11"/>
        <v>-2611</v>
      </c>
      <c r="J55" s="41">
        <f t="shared" si="11"/>
        <v>-2008</v>
      </c>
      <c r="K55" s="41">
        <f t="shared" si="11"/>
        <v>-7909</v>
      </c>
      <c r="L55" s="41">
        <f t="shared" si="11"/>
        <v>14865</v>
      </c>
      <c r="M55" s="41">
        <f t="shared" si="11"/>
        <v>16642</v>
      </c>
      <c r="N55" s="42">
        <f t="shared" si="11"/>
        <v>16085</v>
      </c>
      <c r="O55" s="41">
        <f t="shared" si="11"/>
        <v>-4300</v>
      </c>
      <c r="P55" s="41">
        <f t="shared" si="11"/>
        <v>-3698</v>
      </c>
      <c r="Q55" s="41">
        <f t="shared" si="11"/>
        <v>-3740</v>
      </c>
      <c r="R55" s="41">
        <f>SUM(F55:Q55)</f>
        <v>13897</v>
      </c>
      <c r="S55" s="41"/>
      <c r="T55" s="71">
        <f>SUM(F55:N55)</f>
        <v>25635</v>
      </c>
    </row>
    <row r="56" spans="1:20">
      <c r="A56" s="67" t="s">
        <v>88</v>
      </c>
      <c r="B56" s="41"/>
      <c r="C56" s="41"/>
      <c r="D56" s="41"/>
      <c r="E56" s="41" t="s">
        <v>83</v>
      </c>
      <c r="F56" s="41">
        <f t="shared" ref="F56:Q56" si="12">+F33</f>
        <v>-711</v>
      </c>
      <c r="G56" s="41">
        <f t="shared" si="12"/>
        <v>-2289</v>
      </c>
      <c r="H56" s="41">
        <f t="shared" si="12"/>
        <v>-289</v>
      </c>
      <c r="I56" s="41">
        <f t="shared" si="12"/>
        <v>1243</v>
      </c>
      <c r="J56" s="41">
        <f t="shared" si="12"/>
        <v>-707</v>
      </c>
      <c r="K56" s="41">
        <f t="shared" si="12"/>
        <v>667</v>
      </c>
      <c r="L56" s="41">
        <f t="shared" si="12"/>
        <v>101</v>
      </c>
      <c r="M56" s="41">
        <f t="shared" si="12"/>
        <v>100</v>
      </c>
      <c r="N56" s="42">
        <f t="shared" si="12"/>
        <v>96</v>
      </c>
      <c r="O56" s="41">
        <f t="shared" si="12"/>
        <v>99</v>
      </c>
      <c r="P56" s="41">
        <f t="shared" si="12"/>
        <v>-147</v>
      </c>
      <c r="Q56" s="41">
        <f t="shared" si="12"/>
        <v>-150</v>
      </c>
      <c r="R56" s="41">
        <f>SUM(F56:Q56)</f>
        <v>-1987</v>
      </c>
      <c r="S56" s="41"/>
      <c r="T56" s="71">
        <f>SUM(F56:N56)</f>
        <v>-1789</v>
      </c>
    </row>
    <row r="57" spans="1:20">
      <c r="A57" s="63" t="s">
        <v>89</v>
      </c>
      <c r="B57" s="24"/>
      <c r="C57" s="24"/>
      <c r="D57" s="24"/>
      <c r="E57" s="24" t="s">
        <v>90</v>
      </c>
      <c r="F57" s="72">
        <v>2007.2039999999997</v>
      </c>
      <c r="G57" s="72">
        <v>2650</v>
      </c>
      <c r="H57" s="72">
        <v>8148</v>
      </c>
      <c r="I57" s="72">
        <v>7688</v>
      </c>
      <c r="J57" s="72">
        <v>7750</v>
      </c>
      <c r="K57" s="72">
        <v>8922</v>
      </c>
      <c r="L57" s="72">
        <v>-14966</v>
      </c>
      <c r="M57" s="72">
        <v>-16742</v>
      </c>
      <c r="N57" s="73">
        <v>-16182</v>
      </c>
      <c r="O57" s="72">
        <v>4201</v>
      </c>
      <c r="P57" s="72">
        <v>3845</v>
      </c>
      <c r="Q57" s="72">
        <f>3890+1</f>
        <v>3891</v>
      </c>
      <c r="R57" s="44">
        <f>SUM(F57:Q57)</f>
        <v>1212.2039999999979</v>
      </c>
      <c r="S57" s="24"/>
      <c r="T57" s="74">
        <f>SUM(F57:N57)</f>
        <v>-10724.796000000002</v>
      </c>
    </row>
    <row r="58" spans="1:20">
      <c r="A58" s="63"/>
      <c r="B58" s="24" t="s">
        <v>91</v>
      </c>
      <c r="C58" s="24"/>
      <c r="D58" s="24"/>
      <c r="E58" s="24"/>
      <c r="F58" s="24">
        <f t="shared" ref="F58:R58" si="13">SUM(F55:F57)</f>
        <v>9431.2039999999997</v>
      </c>
      <c r="G58" s="24">
        <f t="shared" si="13"/>
        <v>-4698</v>
      </c>
      <c r="H58" s="24">
        <f t="shared" si="13"/>
        <v>-4646</v>
      </c>
      <c r="I58" s="24">
        <f t="shared" si="13"/>
        <v>6320</v>
      </c>
      <c r="J58" s="24">
        <f t="shared" si="13"/>
        <v>5035</v>
      </c>
      <c r="K58" s="24">
        <f t="shared" si="13"/>
        <v>1680</v>
      </c>
      <c r="L58" s="24">
        <f t="shared" si="13"/>
        <v>0</v>
      </c>
      <c r="M58" s="24">
        <f t="shared" si="13"/>
        <v>0</v>
      </c>
      <c r="N58" s="36">
        <f t="shared" si="13"/>
        <v>-1</v>
      </c>
      <c r="O58" s="24">
        <f t="shared" si="13"/>
        <v>0</v>
      </c>
      <c r="P58" s="24">
        <f t="shared" si="13"/>
        <v>0</v>
      </c>
      <c r="Q58" s="24">
        <f t="shared" si="13"/>
        <v>1</v>
      </c>
      <c r="R58" s="24">
        <f t="shared" si="13"/>
        <v>13122.203999999998</v>
      </c>
      <c r="S58" s="24"/>
      <c r="T58" s="28">
        <f>SUM(T55:T57)</f>
        <v>13121.203999999998</v>
      </c>
    </row>
    <row r="59" spans="1:20" ht="13.5" thickBot="1">
      <c r="A59" s="6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75"/>
      <c r="P59" s="24"/>
      <c r="Q59" s="24"/>
      <c r="R59" s="24"/>
      <c r="S59" s="24"/>
      <c r="T59" s="28"/>
    </row>
    <row r="60" spans="1:20" ht="13.5" thickBot="1">
      <c r="A60" s="76" t="s">
        <v>92</v>
      </c>
      <c r="B60" s="24"/>
      <c r="C60" s="24"/>
      <c r="D60" s="24"/>
      <c r="E60" s="24"/>
      <c r="F60" s="24">
        <f t="shared" ref="F60:R60" si="14">+F44-F52-F58</f>
        <v>68494.51682444445</v>
      </c>
      <c r="G60" s="24">
        <f t="shared" si="14"/>
        <v>7293</v>
      </c>
      <c r="H60" s="24">
        <f t="shared" si="14"/>
        <v>272</v>
      </c>
      <c r="I60" s="24">
        <f t="shared" si="14"/>
        <v>-8303</v>
      </c>
      <c r="J60" s="24">
        <f t="shared" si="14"/>
        <v>25274.077000000001</v>
      </c>
      <c r="K60" s="24">
        <f t="shared" si="14"/>
        <v>15052.644444444446</v>
      </c>
      <c r="L60" s="24">
        <f t="shared" si="14"/>
        <v>71331.606003038105</v>
      </c>
      <c r="M60" s="24">
        <f t="shared" si="14"/>
        <v>68085.001940538146</v>
      </c>
      <c r="N60" s="24">
        <f t="shared" si="14"/>
        <v>67761.321008897619</v>
      </c>
      <c r="O60" s="75">
        <f t="shared" si="14"/>
        <v>40462.581996093752</v>
      </c>
      <c r="P60" s="24">
        <f t="shared" si="14"/>
        <v>58391.147876953124</v>
      </c>
      <c r="Q60" s="24">
        <f t="shared" si="14"/>
        <v>78521.867308593748</v>
      </c>
      <c r="R60" s="24">
        <f t="shared" si="14"/>
        <v>492636.76440300327</v>
      </c>
      <c r="S60" s="24"/>
      <c r="T60" s="49">
        <f>+T44-T52-T58</f>
        <v>315261.16722136294</v>
      </c>
    </row>
    <row r="61" spans="1:20" ht="13.5" thickBot="1">
      <c r="A61" s="77" t="s">
        <v>93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8"/>
      <c r="Q61" s="78"/>
      <c r="R61" s="78"/>
      <c r="S61" s="78"/>
      <c r="T61" s="80">
        <v>-85192</v>
      </c>
    </row>
    <row r="62" spans="1:20" ht="13.5" thickBot="1">
      <c r="N62" s="24"/>
      <c r="O62" s="75"/>
      <c r="T62" s="81"/>
    </row>
    <row r="63" spans="1:20" ht="13.5" thickBot="1">
      <c r="A63" s="18" t="s">
        <v>94</v>
      </c>
      <c r="F63" s="44">
        <v>107837.01969269788</v>
      </c>
      <c r="G63" s="44">
        <v>71459.832590283419</v>
      </c>
      <c r="H63" s="44">
        <v>50391.653537359409</v>
      </c>
      <c r="I63" s="44">
        <v>43889.244299400234</v>
      </c>
      <c r="J63" s="44">
        <v>26960.722950114854</v>
      </c>
      <c r="K63" s="44">
        <v>-1570.3183930835949</v>
      </c>
      <c r="L63" s="44">
        <v>69882.027479857177</v>
      </c>
      <c r="M63" s="44">
        <v>46260.949382071834</v>
      </c>
      <c r="N63" s="45">
        <v>53488.03437910309</v>
      </c>
      <c r="O63" s="44">
        <v>36290.872640038753</v>
      </c>
      <c r="P63" s="44">
        <v>64090.796623488895</v>
      </c>
      <c r="Q63" s="44">
        <v>92988.423993891091</v>
      </c>
      <c r="R63" s="82">
        <f>SUM(F63:Q63)</f>
        <v>661969.25917522307</v>
      </c>
      <c r="T63" s="81"/>
    </row>
    <row r="64" spans="1:20" ht="13.5" thickBot="1">
      <c r="A64" s="18" t="s">
        <v>95</v>
      </c>
      <c r="F64" s="19">
        <f t="shared" ref="F64:R64" si="15">+F44-F63</f>
        <v>-20850.019692697882</v>
      </c>
      <c r="G64" s="19">
        <f t="shared" si="15"/>
        <v>-65387.832590283419</v>
      </c>
      <c r="H64" s="19">
        <f t="shared" si="15"/>
        <v>-46967.653537359409</v>
      </c>
      <c r="I64" s="19">
        <f t="shared" si="15"/>
        <v>-45693.244299400234</v>
      </c>
      <c r="J64" s="19">
        <f t="shared" si="15"/>
        <v>497.27704988514597</v>
      </c>
      <c r="K64" s="19">
        <f t="shared" si="15"/>
        <v>22350.318393083595</v>
      </c>
      <c r="L64" s="19">
        <f t="shared" si="15"/>
        <v>7338.734078736481</v>
      </c>
      <c r="M64" s="19">
        <f t="shared" si="15"/>
        <v>27654.288114021867</v>
      </c>
      <c r="N64" s="36">
        <f t="shared" si="15"/>
        <v>13720.64218535008</v>
      </c>
      <c r="O64" s="24">
        <f t="shared" si="15"/>
        <v>7295.7093560549984</v>
      </c>
      <c r="P64" s="19">
        <f t="shared" si="15"/>
        <v>-4196.6487465357714</v>
      </c>
      <c r="Q64" s="19">
        <f t="shared" si="15"/>
        <v>-13069.556685297342</v>
      </c>
      <c r="R64" s="82">
        <f t="shared" si="15"/>
        <v>-117307.986374442</v>
      </c>
    </row>
    <row r="65" spans="1:20">
      <c r="T65" s="18"/>
    </row>
    <row r="66" spans="1:20" hidden="1">
      <c r="A66" s="18" t="s">
        <v>96</v>
      </c>
      <c r="F66" s="19">
        <v>149171.32339765626</v>
      </c>
      <c r="G66" s="19">
        <v>110740.35939335937</v>
      </c>
      <c r="H66" s="19">
        <v>89098.68818515625</v>
      </c>
      <c r="I66" s="19">
        <v>65141.071539453122</v>
      </c>
      <c r="J66" s="19">
        <v>74765.505207031252</v>
      </c>
      <c r="K66" s="19">
        <v>65596.758155078118</v>
      </c>
      <c r="L66" s="19">
        <v>92722.631316406245</v>
      </c>
      <c r="M66" s="19">
        <v>93228.52481640625</v>
      </c>
      <c r="N66" s="19">
        <v>86227.236580078141</v>
      </c>
      <c r="O66" s="19">
        <v>80088.362816406254</v>
      </c>
      <c r="P66" s="19">
        <v>86698.927295703121</v>
      </c>
      <c r="Q66" s="19">
        <v>102782.69506640626</v>
      </c>
      <c r="R66" s="83">
        <v>1096262.0837691405</v>
      </c>
    </row>
    <row r="67" spans="1:20" ht="13.5" hidden="1" thickBot="1">
      <c r="A67" s="18" t="s">
        <v>97</v>
      </c>
      <c r="F67" s="72">
        <v>134596.80366015623</v>
      </c>
      <c r="G67" s="72">
        <v>105048.41763085937</v>
      </c>
      <c r="H67" s="72">
        <v>80946.681660156246</v>
      </c>
      <c r="I67" s="72">
        <v>76387.550767578126</v>
      </c>
      <c r="J67" s="72">
        <v>77618.974910156248</v>
      </c>
      <c r="K67" s="72">
        <v>54122.03851757809</v>
      </c>
      <c r="L67" s="72">
        <v>84128.817941406247</v>
      </c>
      <c r="M67" s="72">
        <v>93289.793441406233</v>
      </c>
      <c r="N67" s="72">
        <v>78580.388205078139</v>
      </c>
      <c r="O67" s="72">
        <v>69963.870316406246</v>
      </c>
      <c r="P67" s="72">
        <v>75571.133955078112</v>
      </c>
      <c r="Q67" s="72">
        <v>83922.907941406258</v>
      </c>
      <c r="R67" s="84">
        <v>1014177.3789472654</v>
      </c>
    </row>
    <row r="68" spans="1:20" ht="13.5" hidden="1" thickBot="1">
      <c r="B68" s="18" t="s">
        <v>98</v>
      </c>
      <c r="F68" s="19">
        <f t="shared" ref="F68:R68" si="16">+F67-F66</f>
        <v>-14574.519737500028</v>
      </c>
      <c r="G68" s="19">
        <f t="shared" si="16"/>
        <v>-5691.9417624999915</v>
      </c>
      <c r="H68" s="19">
        <f t="shared" si="16"/>
        <v>-8152.0065250000043</v>
      </c>
      <c r="I68" s="19">
        <f t="shared" si="16"/>
        <v>11246.479228125005</v>
      </c>
      <c r="J68" s="19">
        <f t="shared" si="16"/>
        <v>2853.4697031249962</v>
      </c>
      <c r="K68" s="19">
        <f t="shared" si="16"/>
        <v>-11474.719637500028</v>
      </c>
      <c r="L68" s="19">
        <f t="shared" si="16"/>
        <v>-8593.8133749999979</v>
      </c>
      <c r="M68" s="19">
        <f t="shared" si="16"/>
        <v>61.268624999982421</v>
      </c>
      <c r="N68" s="19">
        <f t="shared" si="16"/>
        <v>-7646.8483750000014</v>
      </c>
      <c r="O68" s="19">
        <f t="shared" si="16"/>
        <v>-10124.492500000008</v>
      </c>
      <c r="P68" s="19">
        <f t="shared" si="16"/>
        <v>-11127.793340625009</v>
      </c>
      <c r="Q68" s="19">
        <f t="shared" si="16"/>
        <v>-18859.787125000003</v>
      </c>
      <c r="R68" s="85">
        <f t="shared" si="16"/>
        <v>-82084.704821875086</v>
      </c>
    </row>
  </sheetData>
  <pageMargins left="0.5" right="0.5" top="0.75" bottom="0.77" header="0.5" footer="0.5"/>
  <pageSetup scale="56" orientation="landscape" r:id="rId1"/>
  <headerFooter alignWithMargins="0">
    <oddHeader>&amp;C&amp;A</oddHeader>
    <oddFooter>&amp;C&amp;F&amp;R&amp;D&amp;T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E33" zoomScaleNormal="100" workbookViewId="0">
      <selection activeCell="C50" sqref="C50:K50"/>
    </sheetView>
  </sheetViews>
  <sheetFormatPr defaultRowHeight="15"/>
  <cols>
    <col min="1" max="1" width="5.85546875" style="5" customWidth="1"/>
    <col min="2" max="2" width="33.85546875" style="4" customWidth="1"/>
    <col min="3" max="3" width="11.7109375" style="3" bestFit="1" customWidth="1"/>
    <col min="4" max="4" width="10.85546875" style="3" bestFit="1" customWidth="1"/>
    <col min="5" max="5" width="11.140625" style="3" bestFit="1" customWidth="1"/>
    <col min="6" max="7" width="10.85546875" style="3" bestFit="1" customWidth="1"/>
    <col min="8" max="11" width="11.42578125" style="3" bestFit="1" customWidth="1"/>
    <col min="12" max="14" width="10.42578125" style="3" bestFit="1" customWidth="1"/>
    <col min="15" max="15" width="11.42578125" style="3" bestFit="1" customWidth="1"/>
    <col min="16" max="16" width="1.7109375" style="4" customWidth="1"/>
    <col min="17" max="16384" width="9.14062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03" t="s">
        <v>138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03" t="s">
        <v>138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31" spans="1:17" ht="15.75" thickBot="1">
      <c r="B31" s="6" t="s">
        <v>101</v>
      </c>
    </row>
    <row r="32" spans="1:17">
      <c r="A32" s="4"/>
      <c r="B32" s="87" t="s">
        <v>100</v>
      </c>
      <c r="C32" s="88">
        <v>68494.51682444445</v>
      </c>
      <c r="D32" s="88">
        <v>7293</v>
      </c>
      <c r="E32" s="88">
        <v>272</v>
      </c>
      <c r="F32" s="88">
        <v>-8303</v>
      </c>
      <c r="G32" s="88">
        <v>25274.077000000001</v>
      </c>
      <c r="H32" s="88">
        <v>15052.644444444446</v>
      </c>
      <c r="I32" s="88">
        <v>71331.606003038105</v>
      </c>
      <c r="J32" s="88">
        <v>68085.001940538146</v>
      </c>
      <c r="K32" s="89">
        <v>67761.321008897619</v>
      </c>
      <c r="L32" s="4"/>
      <c r="M32" s="4"/>
      <c r="N32" s="4"/>
      <c r="O32" s="4"/>
    </row>
    <row r="33" spans="1:15" s="4" customFormat="1" ht="15.75" thickBot="1">
      <c r="B33" s="98" t="s">
        <v>102</v>
      </c>
      <c r="C33" s="90">
        <f>+C32</f>
        <v>68494.51682444445</v>
      </c>
      <c r="D33" s="90">
        <f t="shared" ref="D33:K33" si="8">+C33+D32</f>
        <v>75787.51682444445</v>
      </c>
      <c r="E33" s="90">
        <f t="shared" si="8"/>
        <v>76059.51682444445</v>
      </c>
      <c r="F33" s="90">
        <f t="shared" si="8"/>
        <v>67756.51682444445</v>
      </c>
      <c r="G33" s="90">
        <f t="shared" si="8"/>
        <v>93030.593824444455</v>
      </c>
      <c r="H33" s="90">
        <f t="shared" si="8"/>
        <v>108083.2382688889</v>
      </c>
      <c r="I33" s="90">
        <f t="shared" si="8"/>
        <v>179414.84427192702</v>
      </c>
      <c r="J33" s="90">
        <f t="shared" si="8"/>
        <v>247499.84621246517</v>
      </c>
      <c r="K33" s="91">
        <f t="shared" si="8"/>
        <v>315261.16722136282</v>
      </c>
    </row>
    <row r="34" spans="1:15" s="4" customFormat="1" ht="15.75" thickBot="1">
      <c r="B34" s="98" t="s">
        <v>103</v>
      </c>
      <c r="C34" s="92">
        <f t="shared" ref="C34:K34" si="9">IF(C33&gt;C24,(C33-C24)*0.9+(C24-C25)*0.5,IF(C33&gt;C25,(C33-C25)*0.5,IF(C33&lt;C27,(C27-C33)*0.5,IF(C33&lt;C28,(C28-C33)*0.9+(C28-C27)*0.5,0))))</f>
        <v>6022.2768777878719</v>
      </c>
      <c r="D34" s="92">
        <f t="shared" si="9"/>
        <v>610.35978531985165</v>
      </c>
      <c r="E34" s="92">
        <f t="shared" si="9"/>
        <v>3231.8309718686651</v>
      </c>
      <c r="F34" s="92">
        <f t="shared" si="9"/>
        <v>3673.4441749158505</v>
      </c>
      <c r="G34" s="92">
        <f t="shared" si="9"/>
        <v>118.21082170036971</v>
      </c>
      <c r="H34" s="92">
        <f t="shared" si="9"/>
        <v>0</v>
      </c>
      <c r="I34" s="92">
        <f t="shared" si="9"/>
        <v>12197.39829524935</v>
      </c>
      <c r="J34" s="92">
        <f t="shared" si="9"/>
        <v>59836.34577752155</v>
      </c>
      <c r="K34" s="96">
        <f t="shared" si="9"/>
        <v>85191.679421317313</v>
      </c>
    </row>
    <row r="35" spans="1:15" s="4" customFormat="1" ht="15.75" thickBot="1">
      <c r="B35" s="93" t="s">
        <v>36</v>
      </c>
      <c r="C35" s="94"/>
      <c r="D35" s="94">
        <f t="shared" ref="D35:K35" si="10">+D34-C34</f>
        <v>-5411.9170924680202</v>
      </c>
      <c r="E35" s="94">
        <f t="shared" si="10"/>
        <v>2621.4711865488134</v>
      </c>
      <c r="F35" s="94">
        <f t="shared" si="10"/>
        <v>441.61320304718538</v>
      </c>
      <c r="G35" s="94">
        <f t="shared" si="10"/>
        <v>-3555.2333532154807</v>
      </c>
      <c r="H35" s="94">
        <f t="shared" si="10"/>
        <v>-118.21082170036971</v>
      </c>
      <c r="I35" s="94">
        <f t="shared" si="10"/>
        <v>12197.39829524935</v>
      </c>
      <c r="J35" s="94">
        <f t="shared" si="10"/>
        <v>47638.947482272197</v>
      </c>
      <c r="K35" s="95">
        <f t="shared" si="10"/>
        <v>25355.333643795762</v>
      </c>
    </row>
    <row r="36" spans="1:15" s="4" customFormat="1"/>
    <row r="37" spans="1:15" s="4" customFormat="1">
      <c r="B37" s="17" t="str">
        <f ca="1">CELL("filename")</f>
        <v>F:\E52702\[PCA Mechanism-June 19.xls]Summary</v>
      </c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 s="4" customFormat="1"/>
    <row r="41" spans="1:15" s="4" customFormat="1"/>
    <row r="42" spans="1:15" s="4" customFormat="1"/>
    <row r="43" spans="1:15" s="4" customFormat="1">
      <c r="B43" s="103" t="s">
        <v>137</v>
      </c>
    </row>
    <row r="44" spans="1:15" s="4" customFormat="1"/>
    <row r="45" spans="1:15" s="12" customFormat="1">
      <c r="B45" s="12" t="str">
        <f>+B24</f>
        <v>Upper Limit of 50/50 Sharing</v>
      </c>
      <c r="C45" s="12">
        <f>+C24</f>
        <v>63108.653626902371</v>
      </c>
      <c r="D45" s="12">
        <f t="shared" ref="D45:K45" si="11">+D24</f>
        <v>79266.797253804747</v>
      </c>
      <c r="E45" s="12">
        <f t="shared" si="11"/>
        <v>76645.85488070712</v>
      </c>
      <c r="F45" s="12">
        <f t="shared" si="11"/>
        <v>115836.73850760949</v>
      </c>
      <c r="G45" s="12">
        <f t="shared" si="11"/>
        <v>144183.68213451188</v>
      </c>
      <c r="H45" s="12">
        <f t="shared" si="11"/>
        <v>139945.41476141426</v>
      </c>
      <c r="I45" s="12">
        <f t="shared" si="11"/>
        <v>175001.06838831663</v>
      </c>
      <c r="J45" s="12">
        <f t="shared" si="11"/>
        <v>191459.462015219</v>
      </c>
      <c r="K45" s="12">
        <f t="shared" si="11"/>
        <v>232353.74564212136</v>
      </c>
    </row>
    <row r="46" spans="1:15" s="12" customFormat="1">
      <c r="B46" s="12" t="str">
        <f>+B25</f>
        <v>Upper Band</v>
      </c>
      <c r="C46" s="12">
        <f t="shared" ref="C46:K46" si="12">+C25</f>
        <v>60758.653626902371</v>
      </c>
      <c r="D46" s="12">
        <f t="shared" si="12"/>
        <v>74566.797253804747</v>
      </c>
      <c r="E46" s="12">
        <f t="shared" si="12"/>
        <v>69595.85488070712</v>
      </c>
      <c r="F46" s="12">
        <f t="shared" si="12"/>
        <v>106436.73850760949</v>
      </c>
      <c r="G46" s="12">
        <f t="shared" si="12"/>
        <v>132433.68213451188</v>
      </c>
      <c r="H46" s="12">
        <f t="shared" si="12"/>
        <v>125845.41476141426</v>
      </c>
      <c r="I46" s="12">
        <f t="shared" si="12"/>
        <v>158551.06838831663</v>
      </c>
      <c r="J46" s="12">
        <f t="shared" si="12"/>
        <v>172659.462015219</v>
      </c>
      <c r="K46" s="12">
        <f t="shared" si="12"/>
        <v>211203.74564212136</v>
      </c>
    </row>
    <row r="47" spans="1:15" s="12" customFormat="1">
      <c r="B47" s="12" t="str">
        <f>+B27</f>
        <v>Lower Band</v>
      </c>
      <c r="C47" s="12">
        <f>+C27</f>
        <v>52925.320293569042</v>
      </c>
      <c r="D47" s="12">
        <f t="shared" ref="D47:K47" si="13">+D27</f>
        <v>58900.130587138083</v>
      </c>
      <c r="E47" s="12">
        <f t="shared" si="13"/>
        <v>46095.85488070712</v>
      </c>
      <c r="F47" s="12">
        <f t="shared" si="13"/>
        <v>75103.405174276151</v>
      </c>
      <c r="G47" s="12">
        <f t="shared" si="13"/>
        <v>93267.015467845195</v>
      </c>
      <c r="H47" s="12">
        <f t="shared" si="13"/>
        <v>78845.414761414228</v>
      </c>
      <c r="I47" s="12">
        <f t="shared" si="13"/>
        <v>103717.73505498326</v>
      </c>
      <c r="J47" s="12">
        <f t="shared" si="13"/>
        <v>109992.7953485523</v>
      </c>
      <c r="K47" s="12">
        <f t="shared" si="13"/>
        <v>140703.74564212133</v>
      </c>
    </row>
    <row r="48" spans="1:15" s="12" customFormat="1">
      <c r="B48" s="12" t="str">
        <f>+B28</f>
        <v>Lower Limit of 50/50 Sharing</v>
      </c>
      <c r="C48" s="12">
        <f>+C28</f>
        <v>50575.320293569042</v>
      </c>
      <c r="D48" s="12">
        <f t="shared" ref="D48:K48" si="14">+D28</f>
        <v>54200.130587138083</v>
      </c>
      <c r="E48" s="12">
        <f t="shared" si="14"/>
        <v>39045.85488070712</v>
      </c>
      <c r="F48" s="12">
        <f t="shared" si="14"/>
        <v>65703.405174276151</v>
      </c>
      <c r="G48" s="12">
        <f t="shared" si="14"/>
        <v>81517.015467845195</v>
      </c>
      <c r="H48" s="12">
        <f t="shared" si="14"/>
        <v>64745.414761414235</v>
      </c>
      <c r="I48" s="12">
        <f t="shared" si="14"/>
        <v>87267.735054983263</v>
      </c>
      <c r="J48" s="12">
        <f t="shared" si="14"/>
        <v>91192.795348552303</v>
      </c>
      <c r="K48" s="12">
        <f t="shared" si="14"/>
        <v>119553.74564212134</v>
      </c>
    </row>
    <row r="49" spans="1:15" s="12" customFormat="1">
      <c r="A49" s="114"/>
      <c r="B49" s="12" t="s">
        <v>136</v>
      </c>
      <c r="C49" s="12">
        <f t="shared" ref="C49:K49" si="15">+C33</f>
        <v>68494.51682444445</v>
      </c>
      <c r="D49" s="12">
        <f t="shared" si="15"/>
        <v>75787.51682444445</v>
      </c>
      <c r="E49" s="12">
        <f t="shared" si="15"/>
        <v>76059.51682444445</v>
      </c>
      <c r="F49" s="12">
        <f t="shared" si="15"/>
        <v>67756.51682444445</v>
      </c>
      <c r="G49" s="12">
        <f t="shared" si="15"/>
        <v>93030.593824444455</v>
      </c>
      <c r="H49" s="12">
        <f t="shared" si="15"/>
        <v>108083.2382688889</v>
      </c>
      <c r="I49" s="12">
        <f t="shared" si="15"/>
        <v>179414.84427192702</v>
      </c>
      <c r="J49" s="12">
        <f t="shared" si="15"/>
        <v>247499.84621246517</v>
      </c>
      <c r="K49" s="12">
        <f t="shared" si="15"/>
        <v>315261.16722136282</v>
      </c>
    </row>
    <row r="50" spans="1:15">
      <c r="A50" s="4"/>
      <c r="B50" s="103" t="s">
        <v>139</v>
      </c>
      <c r="C50" s="115">
        <f>+C34</f>
        <v>6022.2768777878719</v>
      </c>
      <c r="D50" s="115">
        <f t="shared" ref="D50:K50" si="16">+D34</f>
        <v>610.35978531985165</v>
      </c>
      <c r="E50" s="115">
        <f t="shared" si="16"/>
        <v>3231.8309718686651</v>
      </c>
      <c r="F50" s="115">
        <f t="shared" si="16"/>
        <v>3673.4441749158505</v>
      </c>
      <c r="G50" s="115">
        <f t="shared" si="16"/>
        <v>118.21082170036971</v>
      </c>
      <c r="H50" s="115">
        <f t="shared" si="16"/>
        <v>0</v>
      </c>
      <c r="I50" s="115">
        <f t="shared" si="16"/>
        <v>12197.39829524935</v>
      </c>
      <c r="J50" s="115">
        <f t="shared" si="16"/>
        <v>59836.34577752155</v>
      </c>
      <c r="K50" s="115">
        <f t="shared" si="16"/>
        <v>85191.679421317313</v>
      </c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7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F21" zoomScaleNormal="100" workbookViewId="0">
      <selection activeCell="B29" sqref="B29"/>
    </sheetView>
  </sheetViews>
  <sheetFormatPr defaultRowHeight="15"/>
  <cols>
    <col min="1" max="1" width="5.85546875" style="5" customWidth="1"/>
    <col min="2" max="2" width="33.85546875" style="4" customWidth="1"/>
    <col min="3" max="3" width="11.5703125" style="3" bestFit="1" customWidth="1"/>
    <col min="4" max="4" width="10.7109375" style="3" bestFit="1" customWidth="1"/>
    <col min="5" max="5" width="10.42578125" style="3" bestFit="1" customWidth="1"/>
    <col min="6" max="7" width="10.7109375" style="3" bestFit="1" customWidth="1"/>
    <col min="8" max="8" width="10.5703125" style="3" bestFit="1" customWidth="1"/>
    <col min="9" max="11" width="10.7109375" style="3" bestFit="1" customWidth="1"/>
    <col min="12" max="14" width="10.42578125" style="3" bestFit="1" customWidth="1"/>
    <col min="15" max="15" width="11.42578125" style="3" bestFit="1" customWidth="1"/>
    <col min="16" max="16" width="1.7109375" style="4" customWidth="1"/>
    <col min="17" max="16384" width="9.14062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29" spans="1:17">
      <c r="B29" s="14"/>
    </row>
    <row r="31" spans="1:17" ht="15.75" thickBot="1">
      <c r="B31" s="6" t="s">
        <v>101</v>
      </c>
    </row>
    <row r="32" spans="1:17">
      <c r="A32" s="4"/>
      <c r="B32" s="97" t="s">
        <v>37</v>
      </c>
      <c r="C32" s="21">
        <v>99200</v>
      </c>
      <c r="D32" s="21">
        <v>65949</v>
      </c>
      <c r="E32" s="21">
        <v>48478</v>
      </c>
      <c r="F32" s="21">
        <v>41502</v>
      </c>
      <c r="G32" s="21">
        <v>25115</v>
      </c>
      <c r="H32" s="21">
        <v>-3841</v>
      </c>
      <c r="I32" s="21">
        <v>65183</v>
      </c>
      <c r="J32" s="21">
        <v>41519</v>
      </c>
      <c r="K32" s="22">
        <v>48854</v>
      </c>
      <c r="L32" s="4"/>
      <c r="M32" s="4"/>
      <c r="N32" s="4"/>
      <c r="O32" s="4"/>
    </row>
    <row r="33" spans="1:15" s="4" customFormat="1" ht="15.75" thickBot="1">
      <c r="B33" s="98" t="s">
        <v>102</v>
      </c>
      <c r="C33" s="90">
        <f>+C32</f>
        <v>99200</v>
      </c>
      <c r="D33" s="90">
        <f t="shared" ref="D33:K33" si="8">+C33+D32</f>
        <v>165149</v>
      </c>
      <c r="E33" s="90">
        <f t="shared" si="8"/>
        <v>213627</v>
      </c>
      <c r="F33" s="90">
        <f t="shared" si="8"/>
        <v>255129</v>
      </c>
      <c r="G33" s="90">
        <f t="shared" si="8"/>
        <v>280244</v>
      </c>
      <c r="H33" s="90">
        <f t="shared" si="8"/>
        <v>276403</v>
      </c>
      <c r="I33" s="90">
        <f t="shared" si="8"/>
        <v>341586</v>
      </c>
      <c r="J33" s="90">
        <f t="shared" si="8"/>
        <v>383105</v>
      </c>
      <c r="K33" s="91">
        <f t="shared" si="8"/>
        <v>431959</v>
      </c>
    </row>
    <row r="34" spans="1:15" s="4" customFormat="1" ht="15.75" thickBot="1">
      <c r="B34" s="98" t="s">
        <v>103</v>
      </c>
      <c r="C34" s="92">
        <f t="shared" ref="C34:K34" si="9">IF(C33&gt;C24,(C33-C24)*0.9+(C24-C25)*0.5,IF(C33&gt;C25,(C33-C25)*0.5,IF(C33&lt;C27,(C27-C33)*0.5,IF(C33&lt;C28,(C28-C33)*0.9+(C28-C27)*0.5,0))))</f>
        <v>33657.211735787867</v>
      </c>
      <c r="D34" s="92">
        <f t="shared" si="9"/>
        <v>79643.982471575728</v>
      </c>
      <c r="E34" s="92">
        <f t="shared" si="9"/>
        <v>126808.0306073636</v>
      </c>
      <c r="F34" s="92">
        <f t="shared" si="9"/>
        <v>130063.03534315145</v>
      </c>
      <c r="G34" s="92">
        <f t="shared" si="9"/>
        <v>128329.28607893932</v>
      </c>
      <c r="H34" s="92">
        <f t="shared" si="9"/>
        <v>129861.82671472717</v>
      </c>
      <c r="I34" s="92">
        <f t="shared" si="9"/>
        <v>158151.43845051504</v>
      </c>
      <c r="J34" s="92">
        <f t="shared" si="9"/>
        <v>181880.9841863029</v>
      </c>
      <c r="K34" s="96">
        <f t="shared" si="9"/>
        <v>190219.72892209078</v>
      </c>
    </row>
    <row r="35" spans="1:15" s="4" customFormat="1" ht="15.75" thickBot="1">
      <c r="B35" s="93" t="s">
        <v>36</v>
      </c>
      <c r="C35" s="94"/>
      <c r="D35" s="94">
        <f t="shared" ref="D35:K35" si="10">+D34-C34</f>
        <v>45986.770735787861</v>
      </c>
      <c r="E35" s="94">
        <f t="shared" si="10"/>
        <v>47164.048135787874</v>
      </c>
      <c r="F35" s="94">
        <f t="shared" si="10"/>
        <v>3255.0047357878502</v>
      </c>
      <c r="G35" s="94">
        <f t="shared" si="10"/>
        <v>-1733.749264212136</v>
      </c>
      <c r="H35" s="94">
        <f t="shared" si="10"/>
        <v>1532.5406357878528</v>
      </c>
      <c r="I35" s="94">
        <f t="shared" si="10"/>
        <v>28289.611735787868</v>
      </c>
      <c r="J35" s="94">
        <f t="shared" si="10"/>
        <v>23729.545735787862</v>
      </c>
      <c r="K35" s="95">
        <f t="shared" si="10"/>
        <v>8338.7447357878846</v>
      </c>
    </row>
    <row r="36" spans="1:15" s="4" customFormat="1"/>
    <row r="37" spans="1:15" s="4" customFormat="1">
      <c r="B37" s="17" t="str">
        <f ca="1">CELL("filename")</f>
        <v>F:\E52702\[PCA Mechanism-June 19.xls]Summary</v>
      </c>
      <c r="C37" s="104" t="s">
        <v>113</v>
      </c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 s="4" customFormat="1"/>
    <row r="41" spans="1:15" s="4" customFormat="1"/>
    <row r="42" spans="1:15" s="4" customFormat="1"/>
    <row r="43" spans="1:15" s="4" customFormat="1"/>
    <row r="44" spans="1:15" s="4" customFormat="1"/>
    <row r="45" spans="1:15" s="4" customFormat="1"/>
    <row r="46" spans="1:15" s="4" customFormat="1"/>
    <row r="47" spans="1:15" s="4" customFormat="1"/>
    <row r="48" spans="1:15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8"/>
  <sheetViews>
    <sheetView zoomScale="75" workbookViewId="0">
      <pane xSplit="5" ySplit="5" topLeftCell="L44" activePane="bottomRight" state="frozenSplit"/>
      <selection activeCell="J55" sqref="J55"/>
      <selection pane="topRight" activeCell="J55" sqref="J55"/>
      <selection pane="bottomLeft" activeCell="J55" sqref="J55"/>
      <selection pane="bottomRight" activeCell="T61" sqref="T61"/>
    </sheetView>
  </sheetViews>
  <sheetFormatPr defaultRowHeight="12.75"/>
  <cols>
    <col min="1" max="2" width="5" style="19" customWidth="1"/>
    <col min="3" max="5" width="9.140625" style="19"/>
    <col min="6" max="6" width="12.42578125" style="19" customWidth="1"/>
    <col min="7" max="7" width="13.42578125" style="19" bestFit="1" customWidth="1"/>
    <col min="8" max="8" width="10.85546875" style="19" customWidth="1"/>
    <col min="9" max="9" width="10.28515625" style="19" bestFit="1" customWidth="1"/>
    <col min="10" max="10" width="11.42578125" style="19" bestFit="1" customWidth="1"/>
    <col min="11" max="11" width="10.28515625" style="19" bestFit="1" customWidth="1"/>
    <col min="12" max="12" width="10.7109375" style="19" customWidth="1"/>
    <col min="13" max="14" width="10.140625" style="19" customWidth="1"/>
    <col min="15" max="15" width="10.28515625" style="19" customWidth="1"/>
    <col min="16" max="17" width="9.7109375" style="19" customWidth="1"/>
    <col min="18" max="18" width="13.7109375" style="19" bestFit="1" customWidth="1"/>
    <col min="19" max="19" width="9.140625" style="19"/>
    <col min="20" max="20" width="12" style="19" customWidth="1"/>
    <col min="21" max="16384" width="9.140625" style="19"/>
  </cols>
  <sheetData>
    <row r="1" spans="1:20" ht="26.25">
      <c r="A1" s="18" t="s">
        <v>38</v>
      </c>
      <c r="B1" s="18"/>
      <c r="C1" s="18"/>
      <c r="F1" s="20" t="s">
        <v>39</v>
      </c>
      <c r="G1" s="21"/>
      <c r="H1" s="21"/>
      <c r="I1" s="22"/>
      <c r="J1" s="23" t="s">
        <v>40</v>
      </c>
      <c r="K1" s="24"/>
      <c r="L1" s="25" t="s">
        <v>41</v>
      </c>
    </row>
    <row r="2" spans="1:20">
      <c r="A2" s="26" t="s">
        <v>42</v>
      </c>
      <c r="B2" s="18"/>
      <c r="C2" s="18"/>
      <c r="F2" s="27" t="s">
        <v>43</v>
      </c>
      <c r="G2" s="24"/>
      <c r="H2" s="24"/>
      <c r="I2" s="28"/>
      <c r="J2" s="23"/>
      <c r="K2" s="24"/>
      <c r="N2" s="29"/>
    </row>
    <row r="3" spans="1:20" ht="13.5" thickBot="1">
      <c r="F3" s="30" t="s">
        <v>44</v>
      </c>
      <c r="G3" s="31"/>
      <c r="H3" s="32"/>
      <c r="I3" s="33"/>
      <c r="J3" s="24"/>
      <c r="K3" s="24"/>
      <c r="L3" s="34"/>
      <c r="M3" s="34"/>
      <c r="N3" s="23"/>
      <c r="O3" s="35"/>
      <c r="P3" s="34"/>
    </row>
    <row r="4" spans="1:20">
      <c r="N4" s="36"/>
    </row>
    <row r="5" spans="1:20">
      <c r="F5" s="37" t="s">
        <v>16</v>
      </c>
      <c r="G5" s="37" t="s">
        <v>17</v>
      </c>
      <c r="H5" s="37" t="s">
        <v>45</v>
      </c>
      <c r="I5" s="37" t="s">
        <v>19</v>
      </c>
      <c r="J5" s="37" t="s">
        <v>46</v>
      </c>
      <c r="K5" s="37" t="s">
        <v>21</v>
      </c>
      <c r="L5" s="37" t="s">
        <v>22</v>
      </c>
      <c r="M5" s="37" t="s">
        <v>23</v>
      </c>
      <c r="N5" s="38" t="s">
        <v>24</v>
      </c>
      <c r="O5" s="37" t="s">
        <v>25</v>
      </c>
      <c r="P5" s="37" t="s">
        <v>26</v>
      </c>
      <c r="Q5" s="37" t="s">
        <v>27</v>
      </c>
      <c r="R5" s="37" t="s">
        <v>47</v>
      </c>
      <c r="T5" s="39" t="s">
        <v>48</v>
      </c>
    </row>
    <row r="6" spans="1:20">
      <c r="N6" s="36"/>
    </row>
    <row r="7" spans="1:20">
      <c r="A7" s="19" t="s">
        <v>49</v>
      </c>
      <c r="N7" s="36"/>
    </row>
    <row r="8" spans="1:20">
      <c r="B8" s="19" t="s">
        <v>50</v>
      </c>
      <c r="F8" s="19">
        <v>150083</v>
      </c>
      <c r="G8" s="19">
        <v>127850</v>
      </c>
      <c r="H8" s="19">
        <v>115264</v>
      </c>
      <c r="I8" s="19">
        <v>157783</v>
      </c>
      <c r="J8" s="19">
        <v>158516</v>
      </c>
      <c r="K8" s="19">
        <v>167744</v>
      </c>
      <c r="L8" s="19">
        <f>[1]PwrCsOut!H39+[1]PwrCsOut!H46+[1]PwrCsOut!H267-[1]PwrCsOut!H50-[1]PwrCsOut!H51-[1]PwrCsOut!H58-[1]PwrCsOut!H59-[1]PwrCsOut!H60-[1]PwrCsOut!H61-[1]PwrCsOut!H62</f>
        <v>228882.69366210932</v>
      </c>
      <c r="M8" s="19">
        <f>[1]PwrCsOut!I39+[1]PwrCsOut!I46+[1]PwrCsOut!I267-[1]PwrCsOut!I50-[1]PwrCsOut!I51-[1]PwrCsOut!I58-[1]PwrCsOut!I59-[1]PwrCsOut!I60-[1]PwrCsOut!I61-[1]PwrCsOut!I62</f>
        <v>209927.65425585935</v>
      </c>
      <c r="N8" s="36">
        <f>[1]PwrCsOut!J39+[1]PwrCsOut!J46+[1]PwrCsOut!J267-[1]PwrCsOut!J50-[1]PwrCsOut!J51-[1]PwrCsOut!J58-[1]PwrCsOut!J59-[1]PwrCsOut!J60-[1]PwrCsOut!J61-[1]PwrCsOut!J62</f>
        <v>196115.90467578126</v>
      </c>
      <c r="O8" s="19">
        <f>[1]PwrCsOut!K39+[1]PwrCsOut!K46+[1]PwrCsOut!K267-[1]PwrCsOut!K50-[1]PwrCsOut!K51-[1]PwrCsOut!K58-[1]PwrCsOut!K59-[1]PwrCsOut!K60-[1]PwrCsOut!K61-[1]PwrCsOut!K62</f>
        <v>128422.62094335936</v>
      </c>
      <c r="P8" s="19">
        <f>[1]PwrCsOut!L39+[1]PwrCsOut!L46+[1]PwrCsOut!L267-[1]PwrCsOut!L50-[1]PwrCsOut!L51-[1]PwrCsOut!L58-[1]PwrCsOut!L59-[1]PwrCsOut!L60-[1]PwrCsOut!L61-[1]PwrCsOut!L62</f>
        <v>121670.092234375</v>
      </c>
      <c r="Q8" s="19">
        <f>[1]PwrCsOut!M39+[1]PwrCsOut!M46+[1]PwrCsOut!M267-[1]PwrCsOut!M50-[1]PwrCsOut!M51-[1]PwrCsOut!M58-[1]PwrCsOut!M59-[1]PwrCsOut!M60-[1]PwrCsOut!M61-[1]PwrCsOut!M62</f>
        <v>137807.21161523435</v>
      </c>
      <c r="R8" s="19">
        <f>SUM(F8:Q8)</f>
        <v>1900066.1773867186</v>
      </c>
      <c r="T8" s="19">
        <f>SUM(F8:N8)</f>
        <v>1512166.2525937499</v>
      </c>
    </row>
    <row r="9" spans="1:20">
      <c r="B9" s="19" t="s">
        <v>51</v>
      </c>
      <c r="F9" s="19">
        <v>2778</v>
      </c>
      <c r="G9" s="19">
        <v>-6816</v>
      </c>
      <c r="H9" s="19">
        <v>2750</v>
      </c>
      <c r="I9" s="19">
        <v>-1255</v>
      </c>
      <c r="J9" s="19">
        <v>2720</v>
      </c>
      <c r="N9" s="36"/>
      <c r="R9" s="19">
        <f>SUM(F9:Q9)</f>
        <v>177</v>
      </c>
      <c r="T9" s="19">
        <f>SUM(F9:N9)</f>
        <v>177</v>
      </c>
    </row>
    <row r="10" spans="1:20" s="24" customFormat="1">
      <c r="B10" s="24" t="s">
        <v>52</v>
      </c>
      <c r="F10" s="24">
        <v>1851</v>
      </c>
      <c r="G10" s="24">
        <v>699</v>
      </c>
      <c r="H10" s="24">
        <v>1054</v>
      </c>
      <c r="I10" s="24">
        <v>4081</v>
      </c>
      <c r="J10" s="24">
        <v>6268</v>
      </c>
      <c r="K10" s="24">
        <v>5800</v>
      </c>
      <c r="N10" s="36"/>
      <c r="R10" s="24">
        <f>SUM(F10:Q10)</f>
        <v>19753</v>
      </c>
      <c r="T10" s="19">
        <f>SUM(F10:N10)</f>
        <v>19753</v>
      </c>
    </row>
    <row r="11" spans="1:20" s="24" customFormat="1">
      <c r="B11" s="40" t="s">
        <v>53</v>
      </c>
      <c r="C11" s="41"/>
      <c r="D11" s="41"/>
      <c r="E11" s="41"/>
      <c r="F11" s="41">
        <v>8135</v>
      </c>
      <c r="G11" s="41">
        <v>-5059</v>
      </c>
      <c r="H11" s="41">
        <v>-12505</v>
      </c>
      <c r="I11" s="41">
        <v>-2611</v>
      </c>
      <c r="J11" s="41">
        <v>-2008</v>
      </c>
      <c r="K11" s="41">
        <v>-10724</v>
      </c>
      <c r="L11" s="41">
        <v>15163</v>
      </c>
      <c r="M11" s="41">
        <v>17630</v>
      </c>
      <c r="N11" s="42">
        <v>15985</v>
      </c>
      <c r="O11" s="41">
        <v>-2840</v>
      </c>
      <c r="P11" s="41">
        <v>-3594</v>
      </c>
      <c r="Q11" s="41">
        <f>-3673+1</f>
        <v>-3672</v>
      </c>
      <c r="R11" s="41">
        <f>SUM(F11:Q11)</f>
        <v>13900</v>
      </c>
      <c r="S11" s="41"/>
      <c r="T11" s="43">
        <f>SUM(F11:N11)</f>
        <v>24006</v>
      </c>
    </row>
    <row r="12" spans="1:20" ht="14.25" customHeight="1">
      <c r="B12" s="19" t="s">
        <v>54</v>
      </c>
      <c r="F12" s="44">
        <v>43404</v>
      </c>
      <c r="G12" s="44">
        <v>20602</v>
      </c>
      <c r="H12" s="44">
        <v>45124</v>
      </c>
      <c r="I12" s="44">
        <v>38634</v>
      </c>
      <c r="J12" s="44">
        <v>36516</v>
      </c>
      <c r="K12" s="44">
        <v>7094</v>
      </c>
      <c r="L12" s="44">
        <f>[1]PwrCsOut!H446</f>
        <v>6074.51</v>
      </c>
      <c r="M12" s="44">
        <f>[1]PwrCsOut!I446</f>
        <v>6220.4970000000003</v>
      </c>
      <c r="N12" s="45">
        <f>[1]PwrCsOut!J446</f>
        <v>2896.2289999999998</v>
      </c>
      <c r="O12" s="44">
        <f>[1]PwrCsOut!K446</f>
        <v>36.852492187499998</v>
      </c>
      <c r="P12" s="44">
        <f>[1]PwrCsOut!L446</f>
        <v>313.65978124999998</v>
      </c>
      <c r="Q12" s="44">
        <f>[1]PwrCsOut!M446</f>
        <v>1070.262375</v>
      </c>
      <c r="R12" s="44">
        <f>SUM(F12:Q12)</f>
        <v>207986.01064843748</v>
      </c>
      <c r="T12" s="44">
        <f>SUM(F12:N12)</f>
        <v>206565.236</v>
      </c>
    </row>
    <row r="13" spans="1:20">
      <c r="N13" s="36"/>
    </row>
    <row r="14" spans="1:20">
      <c r="C14" s="19" t="s">
        <v>55</v>
      </c>
      <c r="F14" s="44">
        <f t="shared" ref="F14:R14" si="0">SUM(F8:F12)</f>
        <v>206251</v>
      </c>
      <c r="G14" s="44">
        <f t="shared" si="0"/>
        <v>137276</v>
      </c>
      <c r="H14" s="44">
        <f t="shared" si="0"/>
        <v>151687</v>
      </c>
      <c r="I14" s="44">
        <f t="shared" si="0"/>
        <v>196632</v>
      </c>
      <c r="J14" s="44">
        <f t="shared" si="0"/>
        <v>202012</v>
      </c>
      <c r="K14" s="44">
        <f t="shared" si="0"/>
        <v>169914</v>
      </c>
      <c r="L14" s="44">
        <f t="shared" si="0"/>
        <v>250120.20366210933</v>
      </c>
      <c r="M14" s="44">
        <f t="shared" si="0"/>
        <v>233778.15125585935</v>
      </c>
      <c r="N14" s="45">
        <f t="shared" si="0"/>
        <v>214997.13367578125</v>
      </c>
      <c r="O14" s="44">
        <f t="shared" si="0"/>
        <v>125619.47343554687</v>
      </c>
      <c r="P14" s="44">
        <f t="shared" si="0"/>
        <v>118389.752015625</v>
      </c>
      <c r="Q14" s="44">
        <f t="shared" si="0"/>
        <v>135205.47399023434</v>
      </c>
      <c r="R14" s="44">
        <f t="shared" si="0"/>
        <v>2141882.1880351561</v>
      </c>
      <c r="T14" s="44">
        <f>SUM(T8:T12)</f>
        <v>1762667.4885937499</v>
      </c>
    </row>
    <row r="15" spans="1:20">
      <c r="N15" s="36"/>
    </row>
    <row r="16" spans="1:20">
      <c r="B16" s="19" t="s">
        <v>56</v>
      </c>
      <c r="F16" s="19">
        <v>2365</v>
      </c>
      <c r="G16" s="19">
        <v>2757</v>
      </c>
      <c r="H16" s="19">
        <v>3165</v>
      </c>
      <c r="I16" s="19">
        <v>3101</v>
      </c>
      <c r="J16" s="19">
        <v>3008</v>
      </c>
      <c r="K16" s="19">
        <v>3079</v>
      </c>
      <c r="L16" s="19">
        <f>[1]PwrCsOut!H443</f>
        <v>3197.8492500000002</v>
      </c>
      <c r="M16" s="19">
        <f>[1]PwrCsOut!I443</f>
        <v>3197.8492500000002</v>
      </c>
      <c r="N16" s="36">
        <f>[1]PwrCsOut!J443</f>
        <v>3195.7645000000002</v>
      </c>
      <c r="O16" s="19">
        <f>[1]PwrCsOut!K443</f>
        <v>4830.8320000000003</v>
      </c>
      <c r="P16" s="19">
        <f>[1]PwrCsOut!L443</f>
        <v>4828.8064999999997</v>
      </c>
      <c r="Q16" s="19">
        <f>[1]PwrCsOut!M443</f>
        <v>4614.8710000000001</v>
      </c>
      <c r="R16" s="19">
        <f>SUM(F16:Q16)</f>
        <v>41340.972499999996</v>
      </c>
      <c r="T16" s="19">
        <f>SUM(F16:N16)</f>
        <v>27066.463</v>
      </c>
    </row>
    <row r="17" spans="1:20">
      <c r="N17" s="36"/>
    </row>
    <row r="18" spans="1:20">
      <c r="A18" s="19" t="s">
        <v>57</v>
      </c>
      <c r="N18" s="36"/>
    </row>
    <row r="19" spans="1:20">
      <c r="B19" s="19" t="s">
        <v>58</v>
      </c>
      <c r="N19" s="36"/>
    </row>
    <row r="20" spans="1:20">
      <c r="C20" s="19" t="s">
        <v>59</v>
      </c>
      <c r="N20" s="36"/>
      <c r="R20" s="19">
        <f>SUM(F20:Q20)</f>
        <v>0</v>
      </c>
    </row>
    <row r="21" spans="1:20">
      <c r="C21" s="19" t="s">
        <v>60</v>
      </c>
      <c r="F21" s="19">
        <v>957</v>
      </c>
      <c r="G21" s="19">
        <v>1470</v>
      </c>
      <c r="H21" s="19">
        <v>1037</v>
      </c>
      <c r="I21" s="19">
        <v>722</v>
      </c>
      <c r="J21" s="19">
        <v>728</v>
      </c>
      <c r="K21" s="19">
        <v>1056</v>
      </c>
      <c r="L21" s="19">
        <f>[1]PwrCsOut!H24+[1]PwrCsOut!H23+[1]PwrCsOut!H430+[1]PwrCsOut!H437</f>
        <v>1188.2266269531249</v>
      </c>
      <c r="M21" s="19">
        <f>[1]PwrCsOut!I24+[1]PwrCsOut!I23+[1]PwrCsOut!I430+[1]PwrCsOut!I437</f>
        <v>1188.2266269531249</v>
      </c>
      <c r="N21" s="36">
        <f>[1]PwrCsOut!J24+[1]PwrCsOut!J23+[1]PwrCsOut!J430+[1]PwrCsOut!J437</f>
        <v>1158.8528027343748</v>
      </c>
      <c r="O21" s="19">
        <f>[1]PwrCsOut!K24+[1]PwrCsOut!K23+[1]PwrCsOut!K430+[1]PwrCsOut!K437</f>
        <v>1188.2266269531249</v>
      </c>
      <c r="P21" s="19">
        <f>[1]PwrCsOut!L24+[1]PwrCsOut!L23+[1]PwrCsOut!L430+[1]PwrCsOut!L437</f>
        <v>1158.8528027343748</v>
      </c>
      <c r="Q21" s="19">
        <f>[1]PwrCsOut!M24+[1]PwrCsOut!M23+[1]PwrCsOut!M430+[1]PwrCsOut!M437</f>
        <v>1188.2266269531249</v>
      </c>
      <c r="R21" s="19">
        <f>SUM(F21:Q21)</f>
        <v>13040.612113281248</v>
      </c>
      <c r="T21" s="19">
        <f>SUM(F21:N21)</f>
        <v>9505.3060566406239</v>
      </c>
    </row>
    <row r="22" spans="1:20">
      <c r="C22" s="19" t="s">
        <v>61</v>
      </c>
      <c r="F22" s="44">
        <v>2555</v>
      </c>
      <c r="G22" s="44">
        <v>2746</v>
      </c>
      <c r="H22" s="44">
        <v>3155</v>
      </c>
      <c r="I22" s="44">
        <v>2750</v>
      </c>
      <c r="J22" s="44">
        <v>1578</v>
      </c>
      <c r="K22" s="44">
        <v>1719</v>
      </c>
      <c r="L22" s="44">
        <f>[1]PwrCsOut!H20+[1]PwrCsOut!H431+[1]PwrCsOut!H432+[1]PwrCsOut!H433+[1]PwrCsOut!H436</f>
        <v>3114.9977910156254</v>
      </c>
      <c r="M22" s="44">
        <f>[1]PwrCsOut!I20+[1]PwrCsOut!I431+[1]PwrCsOut!I432+[1]PwrCsOut!I433+[1]PwrCsOut!I436</f>
        <v>3114.9977910156254</v>
      </c>
      <c r="N22" s="45">
        <f>[1]PwrCsOut!J20+[1]PwrCsOut!J431+[1]PwrCsOut!J432+[1]PwrCsOut!J433+[1]PwrCsOut!J436</f>
        <v>3021.4213085937499</v>
      </c>
      <c r="O22" s="44">
        <f>[1]PwrCsOut!K20+[1]PwrCsOut!K431+[1]PwrCsOut!K432+[1]PwrCsOut!K433+[1]PwrCsOut!K436</f>
        <v>3114.9977910156254</v>
      </c>
      <c r="P22" s="44">
        <f>[1]PwrCsOut!L20+[1]PwrCsOut!L431+[1]PwrCsOut!L432+[1]PwrCsOut!L433+[1]PwrCsOut!L436</f>
        <v>3021.4213085937499</v>
      </c>
      <c r="Q22" s="44">
        <f>[1]PwrCsOut!M20+[1]PwrCsOut!M431+[1]PwrCsOut!M432+[1]PwrCsOut!M433+[1]PwrCsOut!M436</f>
        <v>3114.9977910156254</v>
      </c>
      <c r="R22" s="44">
        <f>SUM(F22:Q22)</f>
        <v>33005.833781250003</v>
      </c>
      <c r="T22" s="44">
        <f>SUM(F22:N22)</f>
        <v>23754.416890625005</v>
      </c>
    </row>
    <row r="23" spans="1:20">
      <c r="N23" s="36"/>
    </row>
    <row r="24" spans="1:20">
      <c r="C24" s="19" t="s">
        <v>62</v>
      </c>
      <c r="F24" s="19">
        <f t="shared" ref="F24:Q24" si="1">SUM(F20:F23)</f>
        <v>3512</v>
      </c>
      <c r="G24" s="19">
        <f t="shared" si="1"/>
        <v>4216</v>
      </c>
      <c r="H24" s="19">
        <f t="shared" si="1"/>
        <v>4192</v>
      </c>
      <c r="I24" s="19">
        <f t="shared" si="1"/>
        <v>3472</v>
      </c>
      <c r="J24" s="19">
        <f t="shared" si="1"/>
        <v>2306</v>
      </c>
      <c r="K24" s="19">
        <f t="shared" si="1"/>
        <v>2775</v>
      </c>
      <c r="L24" s="19">
        <f t="shared" si="1"/>
        <v>4303.2244179687505</v>
      </c>
      <c r="M24" s="19">
        <f t="shared" si="1"/>
        <v>4303.2244179687505</v>
      </c>
      <c r="N24" s="36">
        <f t="shared" si="1"/>
        <v>4180.2741113281245</v>
      </c>
      <c r="O24" s="19">
        <f t="shared" si="1"/>
        <v>4303.2244179687505</v>
      </c>
      <c r="P24" s="19">
        <f t="shared" si="1"/>
        <v>4180.2741113281245</v>
      </c>
      <c r="Q24" s="19">
        <f t="shared" si="1"/>
        <v>4303.2244179687505</v>
      </c>
      <c r="R24" s="19">
        <f>SUM(F24:Q24)</f>
        <v>46046.445894531244</v>
      </c>
      <c r="T24" s="19">
        <f>SUM(T20:T23)</f>
        <v>33259.722947265633</v>
      </c>
    </row>
    <row r="25" spans="1:20">
      <c r="N25" s="36"/>
    </row>
    <row r="26" spans="1:20">
      <c r="B26" s="19" t="s">
        <v>63</v>
      </c>
      <c r="N26" s="36"/>
    </row>
    <row r="27" spans="1:20">
      <c r="N27" s="36"/>
    </row>
    <row r="28" spans="1:20">
      <c r="B28" s="19" t="s">
        <v>64</v>
      </c>
      <c r="N28" s="36"/>
    </row>
    <row r="29" spans="1:20">
      <c r="C29" s="19" t="s">
        <v>65</v>
      </c>
      <c r="F29" s="19">
        <v>23277</v>
      </c>
      <c r="G29" s="19">
        <v>14193</v>
      </c>
      <c r="H29" s="19">
        <v>16472</v>
      </c>
      <c r="I29" s="19">
        <v>11705</v>
      </c>
      <c r="J29" s="19">
        <v>9693</v>
      </c>
      <c r="K29" s="19">
        <v>10196</v>
      </c>
      <c r="L29" s="19">
        <f>[1]PwrCsOut!H27+[1]PwrCsOut!H28+[1]PwrCsOut!H438+[1]PwrCsOut!H60</f>
        <v>10525.525296875001</v>
      </c>
      <c r="M29" s="19">
        <f>[1]PwrCsOut!I27+[1]PwrCsOut!I28+[1]PwrCsOut!I438+[1]PwrCsOut!I60</f>
        <v>11264.678953125001</v>
      </c>
      <c r="N29" s="36">
        <f>[1]PwrCsOut!J27+[1]PwrCsOut!J28+[1]PwrCsOut!J438+[1]PwrCsOut!J60</f>
        <v>10674.680796874998</v>
      </c>
      <c r="O29" s="19">
        <f>[1]PwrCsOut!K27+[1]PwrCsOut!K28+[1]PwrCsOut!K438+[1]PwrCsOut!K60</f>
        <v>11822.996578125001</v>
      </c>
      <c r="P29" s="19">
        <f>[1]PwrCsOut!L27+[1]PwrCsOut!L28+[1]PwrCsOut!L438+[1]PwrCsOut!L60</f>
        <v>17874.802421875</v>
      </c>
      <c r="Q29" s="19">
        <f>[1]PwrCsOut!M27+[1]PwrCsOut!M28+[1]PwrCsOut!M438+[1]PwrCsOut!M60</f>
        <v>19741.317265624999</v>
      </c>
      <c r="R29" s="19">
        <f t="shared" ref="R29:R35" si="2">SUM(F29:Q29)</f>
        <v>167440.00131249998</v>
      </c>
      <c r="T29" s="19">
        <f t="shared" ref="T29:T35" si="3">SUM(F29:N29)</f>
        <v>118000.88504687499</v>
      </c>
    </row>
    <row r="30" spans="1:20">
      <c r="C30" s="19" t="s">
        <v>66</v>
      </c>
      <c r="F30" s="19">
        <v>5167</v>
      </c>
      <c r="G30" s="19">
        <v>4626</v>
      </c>
      <c r="H30" s="19">
        <v>4783</v>
      </c>
      <c r="I30" s="19">
        <v>3562</v>
      </c>
      <c r="J30" s="19">
        <v>4649</v>
      </c>
      <c r="K30" s="19">
        <v>3607</v>
      </c>
      <c r="L30" s="19">
        <f>[1]PwrCsOut!H29+[1]PwrCsOut!H61</f>
        <v>2709.2368750000005</v>
      </c>
      <c r="M30" s="19">
        <f>[1]PwrCsOut!I29+[1]PwrCsOut!I61</f>
        <v>2722.2397499999997</v>
      </c>
      <c r="N30" s="36">
        <f>[1]PwrCsOut!J29+[1]PwrCsOut!J61</f>
        <v>2671.2628750000003</v>
      </c>
      <c r="O30" s="19">
        <f>[1]PwrCsOut!K29+[1]PwrCsOut!K61</f>
        <v>2799.3127500000001</v>
      </c>
      <c r="P30" s="19">
        <f>[1]PwrCsOut!L29+[1]PwrCsOut!L61</f>
        <v>4564.7577539062504</v>
      </c>
      <c r="Q30" s="19">
        <f>[1]PwrCsOut!M29+[1]PwrCsOut!M61</f>
        <v>4885.4045781249997</v>
      </c>
      <c r="R30" s="19">
        <f t="shared" si="2"/>
        <v>46746.214582031251</v>
      </c>
      <c r="T30" s="19">
        <f t="shared" si="3"/>
        <v>34496.739500000003</v>
      </c>
    </row>
    <row r="31" spans="1:20">
      <c r="C31" s="19" t="s">
        <v>67</v>
      </c>
      <c r="F31" s="19">
        <v>1386</v>
      </c>
      <c r="G31" s="19">
        <v>1241</v>
      </c>
      <c r="H31" s="19">
        <v>1527</v>
      </c>
      <c r="I31" s="19">
        <v>1403</v>
      </c>
      <c r="J31" s="19">
        <v>1325</v>
      </c>
      <c r="K31" s="19">
        <f>[1]PwrCsOut!G58+[1]PwrCsOut!G59+[1]PwrCsOut!G50+[1]PwrCsOut!G51</f>
        <v>1306.84776171875</v>
      </c>
      <c r="L31" s="19">
        <f>[1]PwrCsOut!H58+[1]PwrCsOut!H59+[1]PwrCsOut!H50+[1]PwrCsOut!H51</f>
        <v>1306.8493066406252</v>
      </c>
      <c r="M31" s="19">
        <f>[1]PwrCsOut!I58+[1]PwrCsOut!I59+[1]PwrCsOut!I50+[1]PwrCsOut!I51</f>
        <v>1306.8493066406252</v>
      </c>
      <c r="N31" s="36">
        <f>[1]PwrCsOut!J58+[1]PwrCsOut!J59+[1]PwrCsOut!J50+[1]PwrCsOut!J51</f>
        <v>1306.84776171875</v>
      </c>
      <c r="O31" s="19">
        <f>[1]PwrCsOut!K58+[1]PwrCsOut!K59+[1]PwrCsOut!K50+[1]PwrCsOut!K51</f>
        <v>1306.8493066406252</v>
      </c>
      <c r="P31" s="19">
        <f>[1]PwrCsOut!L58+[1]PwrCsOut!L59+[1]PwrCsOut!L50+[1]PwrCsOut!L51</f>
        <v>1306.84776171875</v>
      </c>
      <c r="Q31" s="19">
        <f>[1]PwrCsOut!M58+[1]PwrCsOut!M59+[1]PwrCsOut!M50+[1]PwrCsOut!M51</f>
        <v>1306.8493066406252</v>
      </c>
      <c r="R31" s="19">
        <f t="shared" si="2"/>
        <v>16029.940511718751</v>
      </c>
      <c r="T31" s="19">
        <f t="shared" si="3"/>
        <v>12109.394136718751</v>
      </c>
    </row>
    <row r="32" spans="1:20">
      <c r="C32" s="19" t="s">
        <v>68</v>
      </c>
      <c r="F32" s="19">
        <v>-5879</v>
      </c>
      <c r="G32" s="19">
        <v>-149</v>
      </c>
      <c r="H32" s="19">
        <v>1837</v>
      </c>
      <c r="I32" s="19">
        <v>-1265</v>
      </c>
      <c r="J32" s="19">
        <v>-978</v>
      </c>
      <c r="K32" s="19">
        <v>-1134</v>
      </c>
      <c r="L32" s="19">
        <f>[1]PwrCsOut!H62</f>
        <v>-3492.5250000000001</v>
      </c>
      <c r="M32" s="19">
        <f>[1]PwrCsOut!I62</f>
        <v>-3611.616</v>
      </c>
      <c r="N32" s="36">
        <f>[1]PwrCsOut!J62</f>
        <v>-3738.6475</v>
      </c>
      <c r="O32" s="19">
        <f>[1]PwrCsOut!K62</f>
        <v>-4458.1899999999996</v>
      </c>
      <c r="P32" s="19">
        <f>[1]PwrCsOut!L62</f>
        <v>-2910.0752499999999</v>
      </c>
      <c r="Q32" s="19">
        <f>[1]PwrCsOut!M62</f>
        <v>-3309.442</v>
      </c>
      <c r="R32" s="19">
        <f t="shared" si="2"/>
        <v>-29088.495749999998</v>
      </c>
      <c r="T32" s="19">
        <f t="shared" si="3"/>
        <v>-18410.788499999999</v>
      </c>
    </row>
    <row r="33" spans="1:20">
      <c r="C33" s="46" t="s">
        <v>69</v>
      </c>
      <c r="D33" s="43"/>
      <c r="E33" s="43"/>
      <c r="F33" s="43">
        <v>-711</v>
      </c>
      <c r="G33" s="43">
        <v>-2289</v>
      </c>
      <c r="H33" s="43">
        <v>-289</v>
      </c>
      <c r="I33" s="43">
        <v>1243</v>
      </c>
      <c r="J33" s="43">
        <v>-707</v>
      </c>
      <c r="K33" s="43">
        <v>74</v>
      </c>
      <c r="L33" s="43">
        <v>113</v>
      </c>
      <c r="M33" s="43">
        <v>100</v>
      </c>
      <c r="N33" s="42">
        <v>93</v>
      </c>
      <c r="O33" s="43">
        <v>7</v>
      </c>
      <c r="P33" s="43">
        <v>-51</v>
      </c>
      <c r="Q33" s="43">
        <v>-52</v>
      </c>
      <c r="R33" s="43">
        <f t="shared" si="2"/>
        <v>-2469</v>
      </c>
      <c r="S33" s="43"/>
      <c r="T33" s="43">
        <f t="shared" si="3"/>
        <v>-2373</v>
      </c>
    </row>
    <row r="34" spans="1:20">
      <c r="C34" s="46" t="s">
        <v>70</v>
      </c>
      <c r="D34" s="43"/>
      <c r="E34" s="43"/>
      <c r="F34" s="43">
        <v>2249</v>
      </c>
      <c r="G34" s="43">
        <v>1515</v>
      </c>
      <c r="H34" s="43">
        <v>-2736</v>
      </c>
      <c r="I34" s="43">
        <v>-1906</v>
      </c>
      <c r="J34" s="43">
        <v>-4350</v>
      </c>
      <c r="K34" s="43">
        <v>793</v>
      </c>
      <c r="L34" s="43">
        <v>3590</v>
      </c>
      <c r="M34" s="43">
        <v>3537</v>
      </c>
      <c r="N34" s="42">
        <v>3389</v>
      </c>
      <c r="O34" s="43">
        <v>3186</v>
      </c>
      <c r="P34" s="43">
        <v>1640</v>
      </c>
      <c r="Q34" s="43">
        <v>1542</v>
      </c>
      <c r="R34" s="43">
        <f t="shared" si="2"/>
        <v>12449</v>
      </c>
      <c r="S34" s="43"/>
      <c r="T34" s="47">
        <f t="shared" si="3"/>
        <v>6081</v>
      </c>
    </row>
    <row r="35" spans="1:20">
      <c r="C35" s="19" t="s">
        <v>71</v>
      </c>
      <c r="F35" s="44">
        <f t="shared" ref="F35:Q35" si="4">SUM(F29:F34)</f>
        <v>25489</v>
      </c>
      <c r="G35" s="44">
        <f t="shared" si="4"/>
        <v>19137</v>
      </c>
      <c r="H35" s="44">
        <f t="shared" si="4"/>
        <v>21594</v>
      </c>
      <c r="I35" s="44">
        <f t="shared" si="4"/>
        <v>14742</v>
      </c>
      <c r="J35" s="44">
        <f t="shared" si="4"/>
        <v>9632</v>
      </c>
      <c r="K35" s="44">
        <f t="shared" si="4"/>
        <v>14842.847761718749</v>
      </c>
      <c r="L35" s="44">
        <f t="shared" si="4"/>
        <v>14752.086478515626</v>
      </c>
      <c r="M35" s="44">
        <f t="shared" si="4"/>
        <v>15319.152009765625</v>
      </c>
      <c r="N35" s="45">
        <f t="shared" si="4"/>
        <v>14396.14393359375</v>
      </c>
      <c r="O35" s="44">
        <f t="shared" si="4"/>
        <v>14663.968634765624</v>
      </c>
      <c r="P35" s="44">
        <f t="shared" si="4"/>
        <v>22425.332687499998</v>
      </c>
      <c r="Q35" s="44">
        <f t="shared" si="4"/>
        <v>24114.129150390625</v>
      </c>
      <c r="R35" s="44">
        <f t="shared" si="2"/>
        <v>211107.66065624999</v>
      </c>
      <c r="T35" s="48">
        <f t="shared" si="3"/>
        <v>149904.23018359375</v>
      </c>
    </row>
    <row r="36" spans="1:20">
      <c r="N36" s="36"/>
    </row>
    <row r="37" spans="1:20">
      <c r="C37" s="19" t="s">
        <v>72</v>
      </c>
      <c r="F37" s="44">
        <f t="shared" ref="F37:Q37" si="5">F24+F26+F35</f>
        <v>29001</v>
      </c>
      <c r="G37" s="44">
        <f t="shared" si="5"/>
        <v>23353</v>
      </c>
      <c r="H37" s="44">
        <f t="shared" si="5"/>
        <v>25786</v>
      </c>
      <c r="I37" s="44">
        <f t="shared" si="5"/>
        <v>18214</v>
      </c>
      <c r="J37" s="44">
        <f t="shared" si="5"/>
        <v>11938</v>
      </c>
      <c r="K37" s="44">
        <f t="shared" si="5"/>
        <v>17617.847761718749</v>
      </c>
      <c r="L37" s="44">
        <f t="shared" si="5"/>
        <v>19055.310896484378</v>
      </c>
      <c r="M37" s="44">
        <f t="shared" si="5"/>
        <v>19622.376427734376</v>
      </c>
      <c r="N37" s="45">
        <f t="shared" si="5"/>
        <v>18576.418044921877</v>
      </c>
      <c r="O37" s="44">
        <f t="shared" si="5"/>
        <v>18967.193052734376</v>
      </c>
      <c r="P37" s="44">
        <f t="shared" si="5"/>
        <v>26605.606798828121</v>
      </c>
      <c r="Q37" s="44">
        <f t="shared" si="5"/>
        <v>28417.353568359376</v>
      </c>
      <c r="R37" s="44">
        <f>SUM(F37:Q37)</f>
        <v>257154.10655078123</v>
      </c>
      <c r="T37" s="44">
        <f>+T24+T35</f>
        <v>183163.95313085939</v>
      </c>
    </row>
    <row r="38" spans="1:20">
      <c r="N38" s="36"/>
    </row>
    <row r="39" spans="1:20">
      <c r="A39" s="19" t="s">
        <v>73</v>
      </c>
      <c r="F39" s="19">
        <f t="shared" ref="F39:Q39" si="6">F14+F16+F37</f>
        <v>237617</v>
      </c>
      <c r="G39" s="19">
        <f t="shared" si="6"/>
        <v>163386</v>
      </c>
      <c r="H39" s="19">
        <f t="shared" si="6"/>
        <v>180638</v>
      </c>
      <c r="I39" s="19">
        <f t="shared" si="6"/>
        <v>217947</v>
      </c>
      <c r="J39" s="19">
        <f t="shared" si="6"/>
        <v>216958</v>
      </c>
      <c r="K39" s="19">
        <f t="shared" si="6"/>
        <v>190610.84776171876</v>
      </c>
      <c r="L39" s="19">
        <f t="shared" si="6"/>
        <v>272373.36380859371</v>
      </c>
      <c r="M39" s="19">
        <f t="shared" si="6"/>
        <v>256598.37693359374</v>
      </c>
      <c r="N39" s="36">
        <f t="shared" si="6"/>
        <v>236769.31622070313</v>
      </c>
      <c r="O39" s="19">
        <f t="shared" si="6"/>
        <v>149417.49848828124</v>
      </c>
      <c r="P39" s="19">
        <f t="shared" si="6"/>
        <v>149824.16531445313</v>
      </c>
      <c r="Q39" s="19">
        <f t="shared" si="6"/>
        <v>168237.69855859372</v>
      </c>
      <c r="R39" s="19">
        <f>SUM(F39:Q39)</f>
        <v>2440377.2670859373</v>
      </c>
      <c r="T39" s="19">
        <f>+T14+T16+T37</f>
        <v>1972897.9047246093</v>
      </c>
    </row>
    <row r="40" spans="1:20">
      <c r="N40" s="36"/>
    </row>
    <row r="41" spans="1:20">
      <c r="B41" s="19" t="s">
        <v>74</v>
      </c>
      <c r="F41" s="19">
        <v>-147729</v>
      </c>
      <c r="G41" s="19">
        <v>-155832</v>
      </c>
      <c r="H41" s="19">
        <v>-176370</v>
      </c>
      <c r="I41" s="19">
        <v>-218190</v>
      </c>
      <c r="J41" s="19">
        <v>-189150</v>
      </c>
      <c r="K41" s="19">
        <v>-174897</v>
      </c>
      <c r="L41" s="19">
        <f>[1]PwrCsOut!H428+[1]PwrCsOut!H447</f>
        <v>-200826.658</v>
      </c>
      <c r="M41" s="19">
        <f>[1]PwrCsOut!I428+[1]PwrCsOut!I447</f>
        <v>-191444.03999999998</v>
      </c>
      <c r="N41" s="36">
        <f>[1]PwrCsOut!J428+[1]PwrCsOut!J447</f>
        <v>-173682.736</v>
      </c>
      <c r="O41" s="19">
        <f>[1]PwrCsOut!K428+[1]PwrCsOut!K447</f>
        <v>-105177.986</v>
      </c>
      <c r="P41" s="19">
        <f>[1]PwrCsOut!L428+[1]PwrCsOut!L447</f>
        <v>-89044.948000000004</v>
      </c>
      <c r="Q41" s="19">
        <f>[1]PwrCsOut!M428+[1]PwrCsOut!M447</f>
        <v>-87443.09</v>
      </c>
      <c r="R41" s="19">
        <f>SUM(F41:Q41)</f>
        <v>-1909787.4580000003</v>
      </c>
      <c r="T41" s="19">
        <f>SUM(F41:N41)</f>
        <v>-1628121.4340000001</v>
      </c>
    </row>
    <row r="42" spans="1:20">
      <c r="B42" s="19" t="s">
        <v>75</v>
      </c>
      <c r="F42" s="44">
        <v>-2901</v>
      </c>
      <c r="G42" s="44">
        <v>-1482</v>
      </c>
      <c r="H42" s="44">
        <v>-844</v>
      </c>
      <c r="I42" s="44">
        <v>-1561</v>
      </c>
      <c r="J42" s="44">
        <v>-350</v>
      </c>
      <c r="K42" s="44">
        <v>-425</v>
      </c>
      <c r="L42" s="44"/>
      <c r="M42" s="44"/>
      <c r="N42" s="45"/>
      <c r="O42" s="44"/>
      <c r="P42" s="44"/>
      <c r="Q42" s="44"/>
      <c r="R42" s="44">
        <f>SUM(F42:Q42)</f>
        <v>-7563</v>
      </c>
      <c r="T42" s="44">
        <f>SUM(F42:N42)</f>
        <v>-7563</v>
      </c>
    </row>
    <row r="43" spans="1:20" ht="13.5" thickBot="1">
      <c r="N43" s="36"/>
    </row>
    <row r="44" spans="1:20" ht="13.5" thickBot="1">
      <c r="A44" s="18" t="s">
        <v>76</v>
      </c>
      <c r="F44" s="19">
        <f t="shared" ref="F44:Q44" si="7">F39+F41+F42</f>
        <v>86987</v>
      </c>
      <c r="G44" s="19">
        <f t="shared" si="7"/>
        <v>6072</v>
      </c>
      <c r="H44" s="19">
        <f t="shared" si="7"/>
        <v>3424</v>
      </c>
      <c r="I44" s="19">
        <f t="shared" si="7"/>
        <v>-1804</v>
      </c>
      <c r="J44" s="19">
        <f t="shared" si="7"/>
        <v>27458</v>
      </c>
      <c r="K44" s="19">
        <f t="shared" si="7"/>
        <v>15288.84776171876</v>
      </c>
      <c r="L44" s="19">
        <f t="shared" si="7"/>
        <v>71546.705808593717</v>
      </c>
      <c r="M44" s="19">
        <f t="shared" si="7"/>
        <v>65154.33693359376</v>
      </c>
      <c r="N44" s="36">
        <f t="shared" si="7"/>
        <v>63086.580220703123</v>
      </c>
      <c r="O44" s="19">
        <f t="shared" si="7"/>
        <v>44239.512488281238</v>
      </c>
      <c r="P44" s="19">
        <f t="shared" si="7"/>
        <v>60779.217314453126</v>
      </c>
      <c r="Q44" s="19">
        <f t="shared" si="7"/>
        <v>80794.608558593725</v>
      </c>
      <c r="R44" s="49">
        <f>SUM(F44:Q44)</f>
        <v>523026.80908593739</v>
      </c>
      <c r="T44" s="18">
        <f>T39+T41+T42</f>
        <v>337213.47072460921</v>
      </c>
    </row>
    <row r="45" spans="1:20" s="24" customFormat="1" ht="16.5" thickBot="1">
      <c r="B45" s="50"/>
      <c r="D45" s="51"/>
      <c r="F45" s="52"/>
      <c r="G45" s="53"/>
      <c r="H45" s="53"/>
      <c r="I45" s="53"/>
      <c r="J45" s="53"/>
      <c r="K45" s="53"/>
      <c r="L45" s="53"/>
      <c r="M45" s="53"/>
      <c r="N45" s="54"/>
      <c r="O45" s="55"/>
      <c r="P45" s="53"/>
      <c r="Q45" s="53"/>
      <c r="R45" s="53"/>
      <c r="T45" s="53"/>
    </row>
    <row r="46" spans="1:20" s="24" customFormat="1" ht="15.75">
      <c r="A46" s="56" t="s">
        <v>77</v>
      </c>
      <c r="B46" s="57"/>
      <c r="C46" s="21"/>
      <c r="D46" s="58"/>
      <c r="E46" s="21"/>
      <c r="F46" s="59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0"/>
      <c r="R46" s="60"/>
      <c r="S46" s="21"/>
      <c r="T46" s="62"/>
    </row>
    <row r="47" spans="1:20" s="24" customFormat="1" ht="15">
      <c r="A47" s="63" t="s">
        <v>78</v>
      </c>
      <c r="B47" s="64"/>
      <c r="C47" s="64"/>
      <c r="D47" s="64"/>
      <c r="E47" s="64"/>
      <c r="F47" s="24">
        <v>4279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36">
        <v>0</v>
      </c>
      <c r="O47" s="24">
        <v>0</v>
      </c>
      <c r="P47" s="24">
        <v>0</v>
      </c>
      <c r="Q47" s="24">
        <v>0</v>
      </c>
      <c r="R47" s="24">
        <f t="shared" ref="R47:R52" si="8">SUM(F47:Q47)</f>
        <v>4279</v>
      </c>
      <c r="T47" s="28">
        <f>SUM(F47:N47)</f>
        <v>4279</v>
      </c>
    </row>
    <row r="48" spans="1:20" s="24" customFormat="1" ht="15">
      <c r="A48" s="63" t="s">
        <v>79</v>
      </c>
      <c r="B48" s="64"/>
      <c r="C48" s="64"/>
      <c r="D48" s="64"/>
      <c r="E48" s="64"/>
      <c r="F48" s="24">
        <v>424</v>
      </c>
      <c r="G48" s="24">
        <v>0</v>
      </c>
      <c r="H48" s="24">
        <f>2400+6000</f>
        <v>8400</v>
      </c>
      <c r="I48" s="24">
        <v>0</v>
      </c>
      <c r="J48" s="24">
        <v>-679</v>
      </c>
      <c r="K48" s="24">
        <v>0</v>
      </c>
      <c r="L48" s="24">
        <v>0</v>
      </c>
      <c r="M48" s="24">
        <v>0</v>
      </c>
      <c r="N48" s="36">
        <v>0</v>
      </c>
      <c r="O48" s="24">
        <v>0</v>
      </c>
      <c r="P48" s="24">
        <v>0</v>
      </c>
      <c r="Q48" s="24">
        <v>0</v>
      </c>
      <c r="R48" s="24">
        <f t="shared" si="8"/>
        <v>8145</v>
      </c>
      <c r="T48" s="28">
        <f>SUM(F48:N48)</f>
        <v>8145</v>
      </c>
    </row>
    <row r="49" spans="1:21">
      <c r="A49" s="63" t="s">
        <v>80</v>
      </c>
      <c r="B49" s="24"/>
      <c r="C49" s="24"/>
      <c r="D49" s="24"/>
      <c r="E49" s="24"/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6">
        <v>-6187</v>
      </c>
      <c r="O49" s="24">
        <v>0</v>
      </c>
      <c r="P49" s="24">
        <v>0</v>
      </c>
      <c r="Q49" s="24">
        <v>0</v>
      </c>
      <c r="R49" s="24">
        <f t="shared" si="8"/>
        <v>-6187</v>
      </c>
      <c r="S49" s="24"/>
      <c r="T49" s="28">
        <f>SUM(F49:N49)</f>
        <v>-6187</v>
      </c>
      <c r="U49" s="19" t="s">
        <v>133</v>
      </c>
    </row>
    <row r="50" spans="1:21">
      <c r="A50" s="63" t="s">
        <v>81</v>
      </c>
      <c r="B50" s="24"/>
      <c r="C50" s="24"/>
      <c r="D50" s="24"/>
      <c r="E50" s="24"/>
      <c r="F50" s="65">
        <v>2109.2791755555554</v>
      </c>
      <c r="G50" s="65">
        <v>1962</v>
      </c>
      <c r="H50" s="65">
        <v>2134</v>
      </c>
      <c r="I50" s="65">
        <v>2085</v>
      </c>
      <c r="J50" s="65">
        <v>2178</v>
      </c>
      <c r="K50" s="65">
        <v>2274.3555555555554</v>
      </c>
      <c r="L50" s="65">
        <v>2249.1555555555556</v>
      </c>
      <c r="M50" s="65">
        <v>2301.2355555555555</v>
      </c>
      <c r="N50" s="66">
        <v>2274.3555555555554</v>
      </c>
      <c r="O50" s="24">
        <v>0</v>
      </c>
      <c r="P50" s="24">
        <v>0</v>
      </c>
      <c r="Q50" s="24">
        <v>0</v>
      </c>
      <c r="R50" s="24">
        <f t="shared" si="8"/>
        <v>19567.381397777775</v>
      </c>
      <c r="S50" s="24"/>
      <c r="T50" s="28">
        <f>SUM(F50:N50)</f>
        <v>19567.381397777775</v>
      </c>
    </row>
    <row r="51" spans="1:21">
      <c r="A51" s="67" t="s">
        <v>82</v>
      </c>
      <c r="B51" s="41"/>
      <c r="C51" s="41"/>
      <c r="D51" s="41"/>
      <c r="E51" s="41" t="s">
        <v>83</v>
      </c>
      <c r="F51" s="47">
        <f t="shared" ref="F51:Q51" si="9">+F34</f>
        <v>2249</v>
      </c>
      <c r="G51" s="47">
        <f t="shared" si="9"/>
        <v>1515</v>
      </c>
      <c r="H51" s="47">
        <f t="shared" si="9"/>
        <v>-2736</v>
      </c>
      <c r="I51" s="47">
        <f t="shared" si="9"/>
        <v>-1906</v>
      </c>
      <c r="J51" s="47">
        <f t="shared" si="9"/>
        <v>-4350</v>
      </c>
      <c r="K51" s="47">
        <f t="shared" si="9"/>
        <v>793</v>
      </c>
      <c r="L51" s="47">
        <f t="shared" si="9"/>
        <v>3590</v>
      </c>
      <c r="M51" s="47">
        <f t="shared" si="9"/>
        <v>3537</v>
      </c>
      <c r="N51" s="68">
        <f t="shared" si="9"/>
        <v>3389</v>
      </c>
      <c r="O51" s="47">
        <f t="shared" si="9"/>
        <v>3186</v>
      </c>
      <c r="P51" s="47">
        <f t="shared" si="9"/>
        <v>1640</v>
      </c>
      <c r="Q51" s="47">
        <f t="shared" si="9"/>
        <v>1542</v>
      </c>
      <c r="R51" s="47">
        <f t="shared" si="8"/>
        <v>12449</v>
      </c>
      <c r="S51" s="41"/>
      <c r="T51" s="69">
        <f>SUM(F51:N51)</f>
        <v>6081</v>
      </c>
    </row>
    <row r="52" spans="1:21">
      <c r="A52" s="63"/>
      <c r="B52" s="24" t="s">
        <v>84</v>
      </c>
      <c r="C52" s="24"/>
      <c r="D52" s="24"/>
      <c r="E52" s="24"/>
      <c r="F52" s="24">
        <f t="shared" ref="F52:Q52" si="10">SUM(F47:F51)</f>
        <v>9061.2791755555554</v>
      </c>
      <c r="G52" s="24">
        <f t="shared" si="10"/>
        <v>3477</v>
      </c>
      <c r="H52" s="24">
        <f t="shared" si="10"/>
        <v>7798</v>
      </c>
      <c r="I52" s="24">
        <f t="shared" si="10"/>
        <v>179</v>
      </c>
      <c r="J52" s="24">
        <f t="shared" si="10"/>
        <v>-2851</v>
      </c>
      <c r="K52" s="24">
        <f t="shared" si="10"/>
        <v>3067.3555555555554</v>
      </c>
      <c r="L52" s="24">
        <f t="shared" si="10"/>
        <v>5839.1555555555551</v>
      </c>
      <c r="M52" s="24">
        <f t="shared" si="10"/>
        <v>5838.235555555555</v>
      </c>
      <c r="N52" s="36">
        <f t="shared" si="10"/>
        <v>-523.64444444444462</v>
      </c>
      <c r="O52" s="24">
        <f t="shared" si="10"/>
        <v>3186</v>
      </c>
      <c r="P52" s="24">
        <f t="shared" si="10"/>
        <v>1640</v>
      </c>
      <c r="Q52" s="24">
        <f t="shared" si="10"/>
        <v>1542</v>
      </c>
      <c r="R52" s="24">
        <f t="shared" si="8"/>
        <v>38253.381397777775</v>
      </c>
      <c r="S52" s="24"/>
      <c r="T52" s="28">
        <f>SUM(T47:T51)</f>
        <v>31885.381397777775</v>
      </c>
    </row>
    <row r="53" spans="1:21">
      <c r="A53" s="6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6"/>
      <c r="O53" s="24"/>
      <c r="P53" s="24"/>
      <c r="Q53" s="24"/>
      <c r="R53" s="24"/>
      <c r="S53" s="24"/>
      <c r="T53" s="28"/>
    </row>
    <row r="54" spans="1:21">
      <c r="A54" s="70" t="s">
        <v>85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6"/>
      <c r="O54" s="24"/>
      <c r="P54" s="24"/>
      <c r="Q54" s="24"/>
      <c r="R54" s="24"/>
      <c r="S54" s="24"/>
      <c r="T54" s="28"/>
    </row>
    <row r="55" spans="1:21">
      <c r="A55" s="67" t="s">
        <v>86</v>
      </c>
      <c r="B55" s="41"/>
      <c r="C55" s="41"/>
      <c r="D55" s="41"/>
      <c r="E55" s="41" t="s">
        <v>87</v>
      </c>
      <c r="F55" s="41">
        <f t="shared" ref="F55:Q55" si="11">+F11</f>
        <v>8135</v>
      </c>
      <c r="G55" s="41">
        <f t="shared" si="11"/>
        <v>-5059</v>
      </c>
      <c r="H55" s="41">
        <f t="shared" si="11"/>
        <v>-12505</v>
      </c>
      <c r="I55" s="41">
        <f t="shared" si="11"/>
        <v>-2611</v>
      </c>
      <c r="J55" s="41">
        <f t="shared" si="11"/>
        <v>-2008</v>
      </c>
      <c r="K55" s="41">
        <f t="shared" si="11"/>
        <v>-10724</v>
      </c>
      <c r="L55" s="41">
        <f t="shared" si="11"/>
        <v>15163</v>
      </c>
      <c r="M55" s="41">
        <f t="shared" si="11"/>
        <v>17630</v>
      </c>
      <c r="N55" s="42">
        <f t="shared" si="11"/>
        <v>15985</v>
      </c>
      <c r="O55" s="41">
        <f t="shared" si="11"/>
        <v>-2840</v>
      </c>
      <c r="P55" s="41">
        <f t="shared" si="11"/>
        <v>-3594</v>
      </c>
      <c r="Q55" s="41">
        <f t="shared" si="11"/>
        <v>-3672</v>
      </c>
      <c r="R55" s="41">
        <f>SUM(F55:Q55)</f>
        <v>13900</v>
      </c>
      <c r="S55" s="41"/>
      <c r="T55" s="71">
        <f>SUM(F55:N55)</f>
        <v>24006</v>
      </c>
    </row>
    <row r="56" spans="1:21">
      <c r="A56" s="67" t="s">
        <v>88</v>
      </c>
      <c r="B56" s="41"/>
      <c r="C56" s="41"/>
      <c r="D56" s="41"/>
      <c r="E56" s="41" t="s">
        <v>83</v>
      </c>
      <c r="F56" s="41">
        <f t="shared" ref="F56:Q56" si="12">+F33</f>
        <v>-711</v>
      </c>
      <c r="G56" s="41">
        <f t="shared" si="12"/>
        <v>-2289</v>
      </c>
      <c r="H56" s="41">
        <f t="shared" si="12"/>
        <v>-289</v>
      </c>
      <c r="I56" s="41">
        <f t="shared" si="12"/>
        <v>1243</v>
      </c>
      <c r="J56" s="41">
        <f t="shared" si="12"/>
        <v>-707</v>
      </c>
      <c r="K56" s="41">
        <f t="shared" si="12"/>
        <v>74</v>
      </c>
      <c r="L56" s="41">
        <f t="shared" si="12"/>
        <v>113</v>
      </c>
      <c r="M56" s="41">
        <f t="shared" si="12"/>
        <v>100</v>
      </c>
      <c r="N56" s="42">
        <f t="shared" si="12"/>
        <v>93</v>
      </c>
      <c r="O56" s="41">
        <f t="shared" si="12"/>
        <v>7</v>
      </c>
      <c r="P56" s="41">
        <f t="shared" si="12"/>
        <v>-51</v>
      </c>
      <c r="Q56" s="41">
        <f t="shared" si="12"/>
        <v>-52</v>
      </c>
      <c r="R56" s="41">
        <f>SUM(F56:Q56)</f>
        <v>-2469</v>
      </c>
      <c r="S56" s="41"/>
      <c r="T56" s="71">
        <f>SUM(F56:N56)</f>
        <v>-2373</v>
      </c>
    </row>
    <row r="57" spans="1:21">
      <c r="A57" s="63" t="s">
        <v>89</v>
      </c>
      <c r="B57" s="24"/>
      <c r="C57" s="24"/>
      <c r="D57" s="24"/>
      <c r="E57" s="24" t="s">
        <v>90</v>
      </c>
      <c r="F57" s="72">
        <v>2007.2039999999997</v>
      </c>
      <c r="G57" s="72">
        <v>2650</v>
      </c>
      <c r="H57" s="72">
        <v>8148</v>
      </c>
      <c r="I57" s="72">
        <v>7688</v>
      </c>
      <c r="J57" s="72">
        <v>7750</v>
      </c>
      <c r="K57" s="72">
        <v>10649</v>
      </c>
      <c r="L57" s="72">
        <v>-15276</v>
      </c>
      <c r="M57" s="72">
        <v>-17730</v>
      </c>
      <c r="N57" s="73">
        <v>-16078</v>
      </c>
      <c r="O57" s="72">
        <v>2833</v>
      </c>
      <c r="P57" s="72">
        <v>3644</v>
      </c>
      <c r="Q57" s="72">
        <f>3725-1</f>
        <v>3724</v>
      </c>
      <c r="R57" s="44">
        <f>SUM(F57:Q57)</f>
        <v>9.2039999999979045</v>
      </c>
      <c r="S57" s="24"/>
      <c r="T57" s="74">
        <f>SUM(F57:N57)</f>
        <v>-10191.796000000002</v>
      </c>
    </row>
    <row r="58" spans="1:21">
      <c r="A58" s="63"/>
      <c r="B58" s="24" t="s">
        <v>91</v>
      </c>
      <c r="C58" s="24"/>
      <c r="D58" s="24"/>
      <c r="E58" s="24"/>
      <c r="F58" s="24">
        <f t="shared" ref="F58:R58" si="13">SUM(F55:F57)</f>
        <v>9431.2039999999997</v>
      </c>
      <c r="G58" s="24">
        <f t="shared" si="13"/>
        <v>-4698</v>
      </c>
      <c r="H58" s="24">
        <f t="shared" si="13"/>
        <v>-4646</v>
      </c>
      <c r="I58" s="24">
        <f t="shared" si="13"/>
        <v>6320</v>
      </c>
      <c r="J58" s="24">
        <f t="shared" si="13"/>
        <v>5035</v>
      </c>
      <c r="K58" s="24">
        <f t="shared" si="13"/>
        <v>-1</v>
      </c>
      <c r="L58" s="24">
        <f t="shared" si="13"/>
        <v>0</v>
      </c>
      <c r="M58" s="24">
        <f t="shared" si="13"/>
        <v>0</v>
      </c>
      <c r="N58" s="36">
        <f t="shared" si="13"/>
        <v>0</v>
      </c>
      <c r="O58" s="24">
        <f t="shared" si="13"/>
        <v>0</v>
      </c>
      <c r="P58" s="24">
        <f t="shared" si="13"/>
        <v>-1</v>
      </c>
      <c r="Q58" s="24">
        <f t="shared" si="13"/>
        <v>0</v>
      </c>
      <c r="R58" s="24">
        <f t="shared" si="13"/>
        <v>11440.203999999998</v>
      </c>
      <c r="S58" s="24"/>
      <c r="T58" s="28">
        <f>SUM(T55:T57)</f>
        <v>11441.203999999998</v>
      </c>
    </row>
    <row r="59" spans="1:21" ht="13.5" thickBot="1">
      <c r="A59" s="6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75"/>
      <c r="P59" s="24"/>
      <c r="Q59" s="24"/>
      <c r="R59" s="24"/>
      <c r="S59" s="24"/>
      <c r="T59" s="28"/>
    </row>
    <row r="60" spans="1:21" ht="13.5" thickBot="1">
      <c r="A60" s="76" t="s">
        <v>92</v>
      </c>
      <c r="B60" s="24"/>
      <c r="C60" s="24"/>
      <c r="D60" s="24"/>
      <c r="E60" s="24"/>
      <c r="F60" s="24">
        <f t="shared" ref="F60:R60" si="14">+F44-F52-F58</f>
        <v>68494.51682444445</v>
      </c>
      <c r="G60" s="24">
        <f t="shared" si="14"/>
        <v>7293</v>
      </c>
      <c r="H60" s="24">
        <f t="shared" si="14"/>
        <v>272</v>
      </c>
      <c r="I60" s="24">
        <f t="shared" si="14"/>
        <v>-8303</v>
      </c>
      <c r="J60" s="24">
        <f t="shared" si="14"/>
        <v>25274</v>
      </c>
      <c r="K60" s="24">
        <f t="shared" si="14"/>
        <v>12222.492206163204</v>
      </c>
      <c r="L60" s="24">
        <f t="shared" si="14"/>
        <v>65707.550253038164</v>
      </c>
      <c r="M60" s="24">
        <f t="shared" si="14"/>
        <v>59316.101378038205</v>
      </c>
      <c r="N60" s="24">
        <f t="shared" si="14"/>
        <v>63610.224665147565</v>
      </c>
      <c r="O60" s="75">
        <f t="shared" si="14"/>
        <v>41053.512488281238</v>
      </c>
      <c r="P60" s="24">
        <f t="shared" si="14"/>
        <v>59140.217314453126</v>
      </c>
      <c r="Q60" s="24">
        <f t="shared" si="14"/>
        <v>79252.608558593725</v>
      </c>
      <c r="R60" s="24">
        <f t="shared" si="14"/>
        <v>473333.2236881596</v>
      </c>
      <c r="S60" s="24"/>
      <c r="T60" s="49">
        <f>+T44-T52-T58</f>
        <v>293886.88532683149</v>
      </c>
    </row>
    <row r="61" spans="1:21" ht="13.5" thickBot="1">
      <c r="A61" s="77" t="s">
        <v>93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8"/>
      <c r="Q61" s="78"/>
      <c r="R61" s="78"/>
      <c r="S61" s="78"/>
      <c r="T61" s="80">
        <f>-'June 7 deferral'!K34</f>
        <v>-65954.825716239226</v>
      </c>
    </row>
    <row r="62" spans="1:21" ht="13.5" thickBot="1">
      <c r="N62" s="24"/>
      <c r="O62" s="75"/>
      <c r="T62" s="81"/>
    </row>
    <row r="63" spans="1:21" ht="13.5" thickBot="1">
      <c r="A63" s="18" t="s">
        <v>94</v>
      </c>
      <c r="F63" s="44">
        <v>107837.01969269788</v>
      </c>
      <c r="G63" s="44">
        <v>71459.832590283419</v>
      </c>
      <c r="H63" s="44">
        <v>50391.653537359409</v>
      </c>
      <c r="I63" s="44">
        <v>43889.244299400234</v>
      </c>
      <c r="J63" s="44">
        <v>26960.722950114854</v>
      </c>
      <c r="K63" s="44">
        <v>-1570.3183930835949</v>
      </c>
      <c r="L63" s="44">
        <v>69882.027479857177</v>
      </c>
      <c r="M63" s="44">
        <v>46260.949382071834</v>
      </c>
      <c r="N63" s="45">
        <v>53488.03437910309</v>
      </c>
      <c r="O63" s="44">
        <v>36290.872640038753</v>
      </c>
      <c r="P63" s="44">
        <v>64090.796623488895</v>
      </c>
      <c r="Q63" s="44">
        <v>92988.423993891091</v>
      </c>
      <c r="R63" s="82">
        <f>SUM(F63:Q63)</f>
        <v>661969.25917522307</v>
      </c>
      <c r="T63" s="81"/>
    </row>
    <row r="64" spans="1:21" ht="13.5" thickBot="1">
      <c r="A64" s="18" t="s">
        <v>95</v>
      </c>
      <c r="F64" s="19">
        <f t="shared" ref="F64:R64" si="15">+F44-F63</f>
        <v>-20850.019692697882</v>
      </c>
      <c r="G64" s="19">
        <f t="shared" si="15"/>
        <v>-65387.832590283419</v>
      </c>
      <c r="H64" s="19">
        <f t="shared" si="15"/>
        <v>-46967.653537359409</v>
      </c>
      <c r="I64" s="19">
        <f t="shared" si="15"/>
        <v>-45693.244299400234</v>
      </c>
      <c r="J64" s="19">
        <f t="shared" si="15"/>
        <v>497.27704988514597</v>
      </c>
      <c r="K64" s="19">
        <f t="shared" si="15"/>
        <v>16859.166154802355</v>
      </c>
      <c r="L64" s="19">
        <f t="shared" si="15"/>
        <v>1664.6783287365397</v>
      </c>
      <c r="M64" s="19">
        <f t="shared" si="15"/>
        <v>18893.387551521926</v>
      </c>
      <c r="N64" s="36">
        <f t="shared" si="15"/>
        <v>9598.5458416000329</v>
      </c>
      <c r="O64" s="24">
        <f t="shared" si="15"/>
        <v>7948.6398482424847</v>
      </c>
      <c r="P64" s="19">
        <f t="shared" si="15"/>
        <v>-3311.5793090357693</v>
      </c>
      <c r="Q64" s="19">
        <f t="shared" si="15"/>
        <v>-12193.815435297365</v>
      </c>
      <c r="R64" s="82">
        <f t="shared" si="15"/>
        <v>-138942.45008928567</v>
      </c>
    </row>
    <row r="65" spans="1:20">
      <c r="T65" s="18"/>
    </row>
    <row r="66" spans="1:20" hidden="1">
      <c r="A66" s="18" t="s">
        <v>96</v>
      </c>
      <c r="F66" s="19">
        <v>149171.32339765626</v>
      </c>
      <c r="G66" s="19">
        <v>110740.35939335937</v>
      </c>
      <c r="H66" s="19">
        <v>89098.68818515625</v>
      </c>
      <c r="I66" s="19">
        <v>65141.071539453122</v>
      </c>
      <c r="J66" s="19">
        <v>74765.505207031252</v>
      </c>
      <c r="K66" s="19">
        <v>65596.758155078118</v>
      </c>
      <c r="L66" s="19">
        <v>92722.631316406245</v>
      </c>
      <c r="M66" s="19">
        <v>93228.52481640625</v>
      </c>
      <c r="N66" s="19">
        <v>86227.236580078141</v>
      </c>
      <c r="O66" s="19">
        <v>80088.362816406254</v>
      </c>
      <c r="P66" s="19">
        <v>86698.927295703121</v>
      </c>
      <c r="Q66" s="19">
        <v>102782.69506640626</v>
      </c>
      <c r="R66" s="83">
        <v>1096262.0837691405</v>
      </c>
    </row>
    <row r="67" spans="1:20" ht="13.5" hidden="1" thickBot="1">
      <c r="A67" s="18" t="s">
        <v>97</v>
      </c>
      <c r="F67" s="72">
        <v>134596.80366015623</v>
      </c>
      <c r="G67" s="72">
        <v>105048.41763085937</v>
      </c>
      <c r="H67" s="72">
        <v>80946.681660156246</v>
      </c>
      <c r="I67" s="72">
        <v>76387.550767578126</v>
      </c>
      <c r="J67" s="72">
        <v>77618.974910156248</v>
      </c>
      <c r="K67" s="72">
        <v>54122.03851757809</v>
      </c>
      <c r="L67" s="72">
        <v>84128.817941406247</v>
      </c>
      <c r="M67" s="72">
        <v>93289.793441406233</v>
      </c>
      <c r="N67" s="72">
        <v>78580.388205078139</v>
      </c>
      <c r="O67" s="72">
        <v>69963.870316406246</v>
      </c>
      <c r="P67" s="72">
        <v>75571.133955078112</v>
      </c>
      <c r="Q67" s="72">
        <v>83922.907941406258</v>
      </c>
      <c r="R67" s="84">
        <v>1014177.3789472654</v>
      </c>
    </row>
    <row r="68" spans="1:20" ht="13.5" hidden="1" thickBot="1">
      <c r="B68" s="18" t="s">
        <v>98</v>
      </c>
      <c r="F68" s="19">
        <f t="shared" ref="F68:R68" si="16">+F67-F66</f>
        <v>-14574.519737500028</v>
      </c>
      <c r="G68" s="19">
        <f t="shared" si="16"/>
        <v>-5691.9417624999915</v>
      </c>
      <c r="H68" s="19">
        <f t="shared" si="16"/>
        <v>-8152.0065250000043</v>
      </c>
      <c r="I68" s="19">
        <f t="shared" si="16"/>
        <v>11246.479228125005</v>
      </c>
      <c r="J68" s="19">
        <f t="shared" si="16"/>
        <v>2853.4697031249962</v>
      </c>
      <c r="K68" s="19">
        <f t="shared" si="16"/>
        <v>-11474.719637500028</v>
      </c>
      <c r="L68" s="19">
        <f t="shared" si="16"/>
        <v>-8593.8133749999979</v>
      </c>
      <c r="M68" s="19">
        <f t="shared" si="16"/>
        <v>61.268624999982421</v>
      </c>
      <c r="N68" s="19">
        <f t="shared" si="16"/>
        <v>-7646.8483750000014</v>
      </c>
      <c r="O68" s="19">
        <f t="shared" si="16"/>
        <v>-10124.492500000008</v>
      </c>
      <c r="P68" s="19">
        <f t="shared" si="16"/>
        <v>-11127.793340625009</v>
      </c>
      <c r="Q68" s="19">
        <f t="shared" si="16"/>
        <v>-18859.787125000003</v>
      </c>
      <c r="R68" s="85">
        <f t="shared" si="16"/>
        <v>-82084.704821875086</v>
      </c>
    </row>
  </sheetData>
  <pageMargins left="0.5" right="0.5" top="0.75" bottom="0.77" header="0.5" footer="0.5"/>
  <pageSetup scale="56" orientation="landscape" r:id="rId1"/>
  <headerFooter alignWithMargins="0">
    <oddHeader>&amp;C&amp;A</oddHeader>
    <oddFooter>&amp;C&amp;F&amp;R&amp;D&amp;T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F21" zoomScaleNormal="100" workbookViewId="0">
      <selection activeCell="L36" sqref="L36"/>
    </sheetView>
  </sheetViews>
  <sheetFormatPr defaultRowHeight="15"/>
  <cols>
    <col min="1" max="1" width="5.85546875" style="5" customWidth="1"/>
    <col min="2" max="2" width="33.85546875" style="4" customWidth="1"/>
    <col min="3" max="3" width="11.5703125" style="3" bestFit="1" customWidth="1"/>
    <col min="4" max="4" width="10.7109375" style="3" bestFit="1" customWidth="1"/>
    <col min="5" max="5" width="10.42578125" style="3" bestFit="1" customWidth="1"/>
    <col min="6" max="7" width="10.7109375" style="3" bestFit="1" customWidth="1"/>
    <col min="8" max="8" width="10.5703125" style="3" bestFit="1" customWidth="1"/>
    <col min="9" max="11" width="10.7109375" style="3" bestFit="1" customWidth="1"/>
    <col min="12" max="14" width="10.42578125" style="3" bestFit="1" customWidth="1"/>
    <col min="15" max="15" width="11.42578125" style="3" bestFit="1" customWidth="1"/>
    <col min="16" max="16" width="1.7109375" style="4" customWidth="1"/>
    <col min="17" max="16384" width="9.14062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7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ref="D28:K28" si="8">+C28+D21</f>
        <v>54200.130587138083</v>
      </c>
      <c r="E28" s="3">
        <f t="shared" si="8"/>
        <v>39045.85488070712</v>
      </c>
      <c r="F28" s="3">
        <f t="shared" si="8"/>
        <v>65703.405174276151</v>
      </c>
      <c r="G28" s="3">
        <f t="shared" si="8"/>
        <v>81517.015467845195</v>
      </c>
      <c r="H28" s="3">
        <f t="shared" si="8"/>
        <v>64745.414761414235</v>
      </c>
      <c r="I28" s="3">
        <f t="shared" si="8"/>
        <v>87267.735054983263</v>
      </c>
      <c r="J28" s="3">
        <f t="shared" si="8"/>
        <v>91192.795348552303</v>
      </c>
      <c r="K28" s="3">
        <f t="shared" si="8"/>
        <v>119553.74564212134</v>
      </c>
      <c r="O28" s="15"/>
    </row>
    <row r="29" spans="1:17">
      <c r="B29" s="14"/>
    </row>
    <row r="31" spans="1:17" ht="15.75" thickBot="1">
      <c r="B31" s="6" t="s">
        <v>101</v>
      </c>
    </row>
    <row r="32" spans="1:17">
      <c r="A32" s="4"/>
      <c r="B32" s="87" t="s">
        <v>134</v>
      </c>
      <c r="C32" s="88">
        <f>+'June 7 Power Cost Forecast'!F60</f>
        <v>68494.51682444445</v>
      </c>
      <c r="D32" s="88">
        <f>+'June 7 Power Cost Forecast'!G60</f>
        <v>7293</v>
      </c>
      <c r="E32" s="88">
        <f>+'June 7 Power Cost Forecast'!H60</f>
        <v>272</v>
      </c>
      <c r="F32" s="88">
        <f>+'June 7 Power Cost Forecast'!I60</f>
        <v>-8303</v>
      </c>
      <c r="G32" s="88">
        <f>+'June 7 Power Cost Forecast'!J60</f>
        <v>25274</v>
      </c>
      <c r="H32" s="88">
        <f>+'June 7 Power Cost Forecast'!K60</f>
        <v>12222.492206163204</v>
      </c>
      <c r="I32" s="88">
        <f>+'June 7 Power Cost Forecast'!L60</f>
        <v>65707.550253038164</v>
      </c>
      <c r="J32" s="88">
        <f>+'June 7 Power Cost Forecast'!M60</f>
        <v>59316.101378038205</v>
      </c>
      <c r="K32" s="88">
        <f>+'June 7 Power Cost Forecast'!N60</f>
        <v>63610.224665147565</v>
      </c>
      <c r="L32" s="4"/>
      <c r="M32" s="4"/>
      <c r="N32" s="4"/>
      <c r="O32" s="4"/>
    </row>
    <row r="33" spans="1:15" s="4" customFormat="1" ht="15.75" thickBot="1">
      <c r="B33" s="98" t="s">
        <v>102</v>
      </c>
      <c r="C33" s="90">
        <f>+C32</f>
        <v>68494.51682444445</v>
      </c>
      <c r="D33" s="90">
        <f>+C33+D32</f>
        <v>75787.51682444445</v>
      </c>
      <c r="E33" s="90">
        <f t="shared" ref="E33:K33" si="9">+D33+E32</f>
        <v>76059.51682444445</v>
      </c>
      <c r="F33" s="90">
        <f t="shared" si="9"/>
        <v>67756.51682444445</v>
      </c>
      <c r="G33" s="90">
        <f t="shared" si="9"/>
        <v>93030.51682444445</v>
      </c>
      <c r="H33" s="90">
        <f t="shared" si="9"/>
        <v>105253.00903060766</v>
      </c>
      <c r="I33" s="90">
        <f t="shared" si="9"/>
        <v>170960.55928364582</v>
      </c>
      <c r="J33" s="90">
        <f t="shared" si="9"/>
        <v>230276.66066168403</v>
      </c>
      <c r="K33" s="91">
        <f t="shared" si="9"/>
        <v>293886.8853268316</v>
      </c>
    </row>
    <row r="34" spans="1:15" s="4" customFormat="1" ht="15.75" thickBot="1">
      <c r="B34" s="98" t="s">
        <v>103</v>
      </c>
      <c r="C34" s="92">
        <f>IF(C33&gt;C24,(C33-C24)*0.9+(C24-C25)*0.5,IF(C33&gt;C25,(C33-C25)*0.5,IF(C33&lt;C27,(C27-C33)*0.5,IF(C33&lt;C28,(C28-C33)*0.9+(C28-C27)*0.5,0))))</f>
        <v>6022.2768777878719</v>
      </c>
      <c r="D34" s="92">
        <f t="shared" ref="D34:K34" si="10">IF(D33&gt;D24,(D33-D24)*0.9+(D24-D25)*0.5,IF(D33&gt;D25,(D33-D25)*0.5,IF(D33&lt;D27,(D27-D33)*0.5,IF(D33&lt;D28,(D28-D33)*0.9+(D28-D27)*0.5,0))))</f>
        <v>610.35978531985165</v>
      </c>
      <c r="E34" s="92">
        <f t="shared" si="10"/>
        <v>3231.8309718686651</v>
      </c>
      <c r="F34" s="92">
        <f t="shared" si="10"/>
        <v>3673.4441749158505</v>
      </c>
      <c r="G34" s="92">
        <f t="shared" si="10"/>
        <v>118.24932170037209</v>
      </c>
      <c r="H34" s="92">
        <f t="shared" si="10"/>
        <v>0</v>
      </c>
      <c r="I34" s="92">
        <f t="shared" si="10"/>
        <v>6204.7454476645944</v>
      </c>
      <c r="J34" s="92">
        <f t="shared" si="10"/>
        <v>44335.478781818521</v>
      </c>
      <c r="K34" s="96">
        <f t="shared" si="10"/>
        <v>65954.825716239226</v>
      </c>
    </row>
    <row r="35" spans="1:15" s="4" customFormat="1" ht="15.75" thickBot="1">
      <c r="B35" s="93" t="s">
        <v>36</v>
      </c>
      <c r="C35" s="94"/>
      <c r="D35" s="94">
        <f>+D34-C34</f>
        <v>-5411.9170924680202</v>
      </c>
      <c r="E35" s="94">
        <f t="shared" ref="E35:K35" si="11">+E34-D34</f>
        <v>2621.4711865488134</v>
      </c>
      <c r="F35" s="94">
        <f t="shared" si="11"/>
        <v>441.61320304718538</v>
      </c>
      <c r="G35" s="94">
        <f t="shared" si="11"/>
        <v>-3555.1948532154784</v>
      </c>
      <c r="H35" s="94">
        <f t="shared" si="11"/>
        <v>-118.24932170037209</v>
      </c>
      <c r="I35" s="94">
        <f t="shared" si="11"/>
        <v>6204.7454476645944</v>
      </c>
      <c r="J35" s="94">
        <f t="shared" si="11"/>
        <v>38130.733334153927</v>
      </c>
      <c r="K35" s="95">
        <f t="shared" si="11"/>
        <v>21619.346934420704</v>
      </c>
    </row>
    <row r="36" spans="1:15" s="4" customFormat="1"/>
    <row r="37" spans="1:15" s="4" customFormat="1">
      <c r="B37" s="17" t="str">
        <f ca="1">CELL("filename")</f>
        <v>F:\E52702\[PCA Mechanism-June 19.xls]Summary</v>
      </c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 s="4" customFormat="1"/>
    <row r="41" spans="1:15" s="4" customFormat="1"/>
    <row r="42" spans="1:15" s="4" customFormat="1"/>
    <row r="43" spans="1:15" s="4" customFormat="1"/>
    <row r="44" spans="1:15" s="4" customFormat="1"/>
    <row r="45" spans="1:15" s="4" customFormat="1"/>
    <row r="46" spans="1:15" s="4" customFormat="1"/>
    <row r="47" spans="1:15" s="4" customFormat="1"/>
    <row r="48" spans="1:15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T65"/>
  <sheetViews>
    <sheetView zoomScale="75" workbookViewId="0">
      <pane xSplit="5" ySplit="5" topLeftCell="P43" activePane="bottomRight" state="frozenSplit"/>
      <selection pane="topRight" activeCell="F1" sqref="F1"/>
      <selection pane="bottomLeft" activeCell="A6" sqref="A6"/>
      <selection pane="bottomRight" activeCell="T61" sqref="T61"/>
    </sheetView>
  </sheetViews>
  <sheetFormatPr defaultRowHeight="12.75"/>
  <cols>
    <col min="1" max="2" width="5" style="19" customWidth="1"/>
    <col min="3" max="5" width="9.140625" style="19"/>
    <col min="6" max="6" width="9.7109375" style="19" customWidth="1"/>
    <col min="7" max="7" width="13.42578125" style="19" bestFit="1" customWidth="1"/>
    <col min="8" max="8" width="10.85546875" style="19" customWidth="1"/>
    <col min="9" max="10" width="9.7109375" style="19" customWidth="1"/>
    <col min="11" max="11" width="9.7109375" style="19" bestFit="1" customWidth="1"/>
    <col min="12" max="17" width="9.7109375" style="19" customWidth="1"/>
    <col min="18" max="18" width="13.7109375" style="19" bestFit="1" customWidth="1"/>
    <col min="19" max="19" width="9.140625" style="19"/>
    <col min="20" max="20" width="12" style="19" customWidth="1"/>
    <col min="21" max="16384" width="9.140625" style="19"/>
  </cols>
  <sheetData>
    <row r="1" spans="1:20" ht="26.25">
      <c r="A1" s="18" t="s">
        <v>38</v>
      </c>
      <c r="B1" s="18"/>
      <c r="C1" s="18"/>
      <c r="F1" s="20" t="s">
        <v>104</v>
      </c>
      <c r="G1" s="21"/>
      <c r="H1" s="21"/>
      <c r="I1" s="22"/>
      <c r="J1" s="23" t="s">
        <v>40</v>
      </c>
      <c r="K1" s="24"/>
      <c r="L1" s="25" t="s">
        <v>105</v>
      </c>
    </row>
    <row r="2" spans="1:20">
      <c r="A2" s="26" t="s">
        <v>42</v>
      </c>
      <c r="B2" s="18"/>
      <c r="C2" s="18"/>
      <c r="F2" s="27" t="s">
        <v>106</v>
      </c>
      <c r="G2" s="24"/>
      <c r="H2" s="24"/>
      <c r="I2" s="28"/>
      <c r="J2" s="23"/>
      <c r="K2" s="24"/>
      <c r="N2" s="29"/>
    </row>
    <row r="3" spans="1:20" ht="13.5" thickBot="1">
      <c r="F3" s="30" t="s">
        <v>107</v>
      </c>
      <c r="G3" s="31"/>
      <c r="H3" s="32"/>
      <c r="I3" s="33"/>
      <c r="J3" s="24"/>
      <c r="K3" s="24"/>
      <c r="L3" s="34"/>
      <c r="M3" s="34"/>
      <c r="N3" s="29"/>
      <c r="O3" s="34"/>
      <c r="P3" s="34"/>
    </row>
    <row r="4" spans="1:20">
      <c r="N4" s="36"/>
    </row>
    <row r="5" spans="1:20">
      <c r="F5" s="37" t="s">
        <v>16</v>
      </c>
      <c r="G5" s="37" t="s">
        <v>17</v>
      </c>
      <c r="H5" s="37" t="s">
        <v>45</v>
      </c>
      <c r="I5" s="37" t="s">
        <v>19</v>
      </c>
      <c r="J5" s="37" t="s">
        <v>46</v>
      </c>
      <c r="K5" s="37" t="s">
        <v>21</v>
      </c>
      <c r="L5" s="37" t="s">
        <v>22</v>
      </c>
      <c r="M5" s="37" t="s">
        <v>23</v>
      </c>
      <c r="N5" s="38" t="s">
        <v>24</v>
      </c>
      <c r="O5" s="37" t="s">
        <v>25</v>
      </c>
      <c r="P5" s="37" t="s">
        <v>26</v>
      </c>
      <c r="Q5" s="37" t="s">
        <v>27</v>
      </c>
      <c r="R5" s="37" t="s">
        <v>47</v>
      </c>
      <c r="T5" s="39" t="s">
        <v>48</v>
      </c>
    </row>
    <row r="6" spans="1:20">
      <c r="N6" s="36"/>
    </row>
    <row r="7" spans="1:20">
      <c r="A7" s="19" t="s">
        <v>49</v>
      </c>
      <c r="N7" s="36"/>
    </row>
    <row r="8" spans="1:20">
      <c r="B8" s="19" t="s">
        <v>50</v>
      </c>
      <c r="F8" s="19">
        <v>150083</v>
      </c>
      <c r="G8" s="19">
        <v>127850</v>
      </c>
      <c r="H8" s="19">
        <v>115264</v>
      </c>
      <c r="I8" s="19">
        <v>157783</v>
      </c>
      <c r="J8" s="19">
        <v>160256</v>
      </c>
      <c r="K8" s="19">
        <f>[4]PwrCsOut!G39+[4]PwrCsOut!G46+[4]PwrCsOut!G261-[4]PwrCsOut!G50-[4]PwrCsOut!G51-[4]PwrCsOut!G58-[4]PwrCsOut!G59-[4]PwrCsOut!G60-[4]PwrCsOut!G61-[4]PwrCsOut!G62</f>
        <v>152518.58073828131</v>
      </c>
      <c r="L8" s="19">
        <f>[4]PwrCsOut!H39+[4]PwrCsOut!H46+[4]PwrCsOut!H261-[4]PwrCsOut!H50-[4]PwrCsOut!H51-[4]PwrCsOut!H58-[4]PwrCsOut!H59-[4]PwrCsOut!H60-[4]PwrCsOut!H61-[4]PwrCsOut!H62</f>
        <v>211445.60394335934</v>
      </c>
      <c r="M8" s="19">
        <f>[4]PwrCsOut!I39+[4]PwrCsOut!I46+[4]PwrCsOut!I261-[4]PwrCsOut!I50-[4]PwrCsOut!I51-[4]PwrCsOut!I58-[4]PwrCsOut!I59-[4]PwrCsOut!I60-[4]PwrCsOut!I61-[4]PwrCsOut!I62</f>
        <v>191944.70831835933</v>
      </c>
      <c r="N8" s="36">
        <f>[4]PwrCsOut!J39+[4]PwrCsOut!J46+[4]PwrCsOut!J261-[4]PwrCsOut!J50-[4]PwrCsOut!J51-[4]PwrCsOut!J58-[4]PwrCsOut!J59-[4]PwrCsOut!J60-[4]PwrCsOut!J61-[4]PwrCsOut!J62</f>
        <v>170769.60036328126</v>
      </c>
      <c r="O8" s="19">
        <f>[4]PwrCsOut!K39+[4]PwrCsOut!K46+[4]PwrCsOut!K261-[4]PwrCsOut!K50-[4]PwrCsOut!K51-[4]PwrCsOut!K58-[4]PwrCsOut!K59-[4]PwrCsOut!K60-[4]PwrCsOut!K61-[4]PwrCsOut!K62</f>
        <v>155845.61894335935</v>
      </c>
      <c r="P8" s="19">
        <f>[4]PwrCsOut!L39+[4]PwrCsOut!L46+[4]PwrCsOut!L261-[4]PwrCsOut!L50-[4]PwrCsOut!L51-[4]PwrCsOut!L58-[4]PwrCsOut!L59-[4]PwrCsOut!L60-[4]PwrCsOut!L61-[4]PwrCsOut!L62</f>
        <v>141285.63526953125</v>
      </c>
      <c r="Q8" s="19">
        <f>[4]PwrCsOut!M39+[4]PwrCsOut!M46+[4]PwrCsOut!M261-[4]PwrCsOut!M50-[4]PwrCsOut!M51-[4]PwrCsOut!M58-[4]PwrCsOut!M59-[4]PwrCsOut!M60-[4]PwrCsOut!M61-[4]PwrCsOut!M62</f>
        <v>160871.35088085933</v>
      </c>
      <c r="R8" s="19">
        <f>SUM(F8:Q8)</f>
        <v>1895917.0984570317</v>
      </c>
      <c r="T8" s="19">
        <f>SUM(F8:N8)</f>
        <v>1437914.4933632815</v>
      </c>
    </row>
    <row r="9" spans="1:20">
      <c r="B9" s="19" t="s">
        <v>51</v>
      </c>
      <c r="F9" s="19">
        <v>2778</v>
      </c>
      <c r="G9" s="19">
        <v>-6816</v>
      </c>
      <c r="H9" s="19">
        <v>2750</v>
      </c>
      <c r="I9" s="19">
        <v>-1255</v>
      </c>
      <c r="N9" s="36"/>
      <c r="R9" s="19">
        <f>SUM(F9:Q9)</f>
        <v>-2543</v>
      </c>
      <c r="T9" s="19">
        <f>SUM(F9:N9)</f>
        <v>-2543</v>
      </c>
    </row>
    <row r="10" spans="1:20" s="24" customFormat="1">
      <c r="B10" s="24" t="s">
        <v>52</v>
      </c>
      <c r="F10" s="24">
        <v>1851</v>
      </c>
      <c r="G10" s="24">
        <v>699</v>
      </c>
      <c r="H10" s="24">
        <v>1054</v>
      </c>
      <c r="I10" s="24">
        <v>4081</v>
      </c>
      <c r="J10" s="24">
        <v>7500</v>
      </c>
      <c r="N10" s="36"/>
      <c r="R10" s="24">
        <f>SUM(F10:Q10)</f>
        <v>15185</v>
      </c>
      <c r="T10" s="19">
        <f>SUM(F10:N10)</f>
        <v>15185</v>
      </c>
    </row>
    <row r="11" spans="1:20" s="24" customFormat="1">
      <c r="B11" s="40" t="s">
        <v>53</v>
      </c>
      <c r="C11" s="41"/>
      <c r="D11" s="41"/>
      <c r="E11" s="41"/>
      <c r="F11" s="41">
        <v>8135</v>
      </c>
      <c r="G11" s="41">
        <v>-5059</v>
      </c>
      <c r="H11" s="41">
        <v>-12505</v>
      </c>
      <c r="I11" s="41">
        <v>-2611</v>
      </c>
      <c r="J11" s="41">
        <v>-7602</v>
      </c>
      <c r="K11" s="41">
        <v>-9788</v>
      </c>
      <c r="L11" s="41">
        <v>14440</v>
      </c>
      <c r="M11" s="41">
        <v>18644</v>
      </c>
      <c r="N11" s="42">
        <v>16230</v>
      </c>
      <c r="O11" s="41">
        <v>-602</v>
      </c>
      <c r="P11" s="41">
        <v>-1951</v>
      </c>
      <c r="Q11" s="41">
        <v>-2745</v>
      </c>
      <c r="R11" s="41">
        <f>SUM(F11:Q11)</f>
        <v>14586</v>
      </c>
      <c r="S11" s="41"/>
      <c r="T11" s="43">
        <f>SUM(F11:N11)</f>
        <v>19884</v>
      </c>
    </row>
    <row r="12" spans="1:20" ht="14.25" customHeight="1">
      <c r="B12" s="19" t="s">
        <v>54</v>
      </c>
      <c r="F12" s="44">
        <v>43404</v>
      </c>
      <c r="G12" s="44">
        <v>20602</v>
      </c>
      <c r="H12" s="44">
        <v>45124</v>
      </c>
      <c r="I12" s="44">
        <v>38634</v>
      </c>
      <c r="J12" s="44">
        <v>13124</v>
      </c>
      <c r="K12" s="44">
        <f>[4]PwrCsOut!G415</f>
        <v>10772.4</v>
      </c>
      <c r="L12" s="44">
        <f>[4]PwrCsOut!H415</f>
        <v>13292.074000000001</v>
      </c>
      <c r="M12" s="44">
        <f>[4]PwrCsOut!I415</f>
        <v>16093.633</v>
      </c>
      <c r="N12" s="45">
        <f>[4]PwrCsOut!J415</f>
        <v>3838.0365000000002</v>
      </c>
      <c r="O12" s="44">
        <f>[4]PwrCsOut!K415</f>
        <v>1737.2808749999999</v>
      </c>
      <c r="P12" s="44">
        <f>[4]PwrCsOut!L415</f>
        <v>1771.24225</v>
      </c>
      <c r="Q12" s="44">
        <f>[4]PwrCsOut!M415</f>
        <v>3193.0464999999999</v>
      </c>
      <c r="R12" s="44">
        <f>SUM(F12:Q12)</f>
        <v>211585.71312499998</v>
      </c>
      <c r="T12" s="44">
        <f>SUM(F12:N12)</f>
        <v>204884.14349999998</v>
      </c>
    </row>
    <row r="13" spans="1:20">
      <c r="N13" s="36"/>
    </row>
    <row r="14" spans="1:20">
      <c r="C14" s="19" t="s">
        <v>55</v>
      </c>
      <c r="F14" s="44">
        <f t="shared" ref="F14:R14" si="0">SUM(F8:F12)</f>
        <v>206251</v>
      </c>
      <c r="G14" s="44">
        <f t="shared" si="0"/>
        <v>137276</v>
      </c>
      <c r="H14" s="44">
        <f t="shared" si="0"/>
        <v>151687</v>
      </c>
      <c r="I14" s="44">
        <f t="shared" si="0"/>
        <v>196632</v>
      </c>
      <c r="J14" s="44">
        <f t="shared" si="0"/>
        <v>173278</v>
      </c>
      <c r="K14" s="44">
        <f t="shared" si="0"/>
        <v>153502.9807382813</v>
      </c>
      <c r="L14" s="44">
        <f t="shared" si="0"/>
        <v>239177.67794335933</v>
      </c>
      <c r="M14" s="44">
        <f t="shared" si="0"/>
        <v>226682.34131835934</v>
      </c>
      <c r="N14" s="45">
        <f t="shared" si="0"/>
        <v>190837.63686328125</v>
      </c>
      <c r="O14" s="44">
        <f t="shared" si="0"/>
        <v>156980.89981835935</v>
      </c>
      <c r="P14" s="44">
        <f t="shared" si="0"/>
        <v>141105.87751953126</v>
      </c>
      <c r="Q14" s="44">
        <f t="shared" si="0"/>
        <v>161319.39738085933</v>
      </c>
      <c r="R14" s="44">
        <f t="shared" si="0"/>
        <v>2134730.8115820317</v>
      </c>
      <c r="T14" s="44">
        <f>SUM(T8:T12)</f>
        <v>1675324.6368632815</v>
      </c>
    </row>
    <row r="15" spans="1:20">
      <c r="N15" s="36"/>
    </row>
    <row r="16" spans="1:20">
      <c r="B16" s="19" t="s">
        <v>56</v>
      </c>
      <c r="F16" s="19">
        <v>2365</v>
      </c>
      <c r="G16" s="19">
        <v>2757</v>
      </c>
      <c r="H16" s="19">
        <v>3165</v>
      </c>
      <c r="I16" s="19">
        <v>3101</v>
      </c>
      <c r="J16" s="19">
        <v>3079</v>
      </c>
      <c r="K16" s="19">
        <f>[4]PwrCsOut!G412</f>
        <v>2979.76775</v>
      </c>
      <c r="L16" s="19">
        <f>[4]PwrCsOut!H412</f>
        <v>3197.8492500000002</v>
      </c>
      <c r="M16" s="19">
        <f>[4]PwrCsOut!I412</f>
        <v>3197.8492500000002</v>
      </c>
      <c r="N16" s="36">
        <f>[4]PwrCsOut!J412</f>
        <v>3195.7645000000002</v>
      </c>
      <c r="O16" s="19">
        <f>[4]PwrCsOut!K412</f>
        <v>4830.8320000000003</v>
      </c>
      <c r="P16" s="19">
        <f>[4]PwrCsOut!L412</f>
        <v>4828.8064999999997</v>
      </c>
      <c r="Q16" s="19">
        <f>[4]PwrCsOut!M412</f>
        <v>4614.8710000000001</v>
      </c>
      <c r="R16" s="19">
        <f>SUM(F16:Q16)</f>
        <v>41312.740249999995</v>
      </c>
      <c r="T16" s="19">
        <f>SUM(F16:N16)</f>
        <v>27038.230749999999</v>
      </c>
    </row>
    <row r="17" spans="1:20">
      <c r="N17" s="36"/>
    </row>
    <row r="18" spans="1:20">
      <c r="A18" s="19" t="s">
        <v>57</v>
      </c>
      <c r="N18" s="36"/>
    </row>
    <row r="19" spans="1:20">
      <c r="B19" s="19" t="s">
        <v>58</v>
      </c>
      <c r="N19" s="36"/>
    </row>
    <row r="20" spans="1:20">
      <c r="C20" s="19" t="s">
        <v>59</v>
      </c>
      <c r="N20" s="36"/>
      <c r="R20" s="19">
        <f>SUM(F20:Q20)</f>
        <v>0</v>
      </c>
    </row>
    <row r="21" spans="1:20">
      <c r="C21" s="19" t="s">
        <v>60</v>
      </c>
      <c r="F21" s="19">
        <v>957</v>
      </c>
      <c r="G21" s="19">
        <v>1470</v>
      </c>
      <c r="H21" s="19">
        <v>1037</v>
      </c>
      <c r="I21" s="19">
        <v>722</v>
      </c>
      <c r="J21" s="19">
        <v>889</v>
      </c>
      <c r="K21" s="19">
        <f>[4]PwrCsOut!G24+[4]PwrCsOut!G23+[4]PwrCsOut!G399+[4]PwrCsOut!G406</f>
        <v>1216.587693359375</v>
      </c>
      <c r="L21" s="19">
        <f>[4]PwrCsOut!H24+[4]PwrCsOut!H23+[4]PwrCsOut!H399+[4]PwrCsOut!H406</f>
        <v>1188.2266269531249</v>
      </c>
      <c r="M21" s="19">
        <f>[4]PwrCsOut!I24+[4]PwrCsOut!I23+[4]PwrCsOut!I399+[4]PwrCsOut!I406</f>
        <v>1188.2266269531249</v>
      </c>
      <c r="N21" s="36">
        <f>[4]PwrCsOut!J24+[4]PwrCsOut!J23+[4]PwrCsOut!J399+[4]PwrCsOut!J406</f>
        <v>1158.8528027343748</v>
      </c>
      <c r="O21" s="19">
        <f>[4]PwrCsOut!K24+[4]PwrCsOut!K23+[4]PwrCsOut!K399+[4]PwrCsOut!K406</f>
        <v>1188.2266269531249</v>
      </c>
      <c r="P21" s="19">
        <f>[4]PwrCsOut!L24+[4]PwrCsOut!L23+[4]PwrCsOut!L399+[4]PwrCsOut!L406</f>
        <v>1158.8528027343748</v>
      </c>
      <c r="Q21" s="19">
        <f>[4]PwrCsOut!M24+[4]PwrCsOut!M23+[4]PwrCsOut!M399+[4]PwrCsOut!M406</f>
        <v>1188.2266269531249</v>
      </c>
      <c r="R21" s="19">
        <f>SUM(F21:Q21)</f>
        <v>13362.199806640623</v>
      </c>
      <c r="T21" s="19">
        <f>SUM(F21:N21)</f>
        <v>9826.8937499999993</v>
      </c>
    </row>
    <row r="22" spans="1:20">
      <c r="C22" s="19" t="s">
        <v>61</v>
      </c>
      <c r="F22" s="44">
        <v>2555</v>
      </c>
      <c r="G22" s="44">
        <v>2746</v>
      </c>
      <c r="H22" s="44">
        <v>3155</v>
      </c>
      <c r="I22" s="44">
        <v>2750</v>
      </c>
      <c r="J22" s="44">
        <v>1516</v>
      </c>
      <c r="K22" s="44">
        <f>[4]PwrCsOut!G20+[4]PwrCsOut!G400+[4]PwrCsOut!G401+[4]PwrCsOut!G402+[4]PwrCsOut!G405</f>
        <v>2088.4703085937499</v>
      </c>
      <c r="L22" s="44">
        <f>[4]PwrCsOut!H20+[4]PwrCsOut!H400+[4]PwrCsOut!H401+[4]PwrCsOut!H402+[4]PwrCsOut!H405</f>
        <v>3114.9977910156254</v>
      </c>
      <c r="M22" s="44">
        <f>[4]PwrCsOut!I20+[4]PwrCsOut!I400+[4]PwrCsOut!I401+[4]PwrCsOut!I402+[4]PwrCsOut!I405</f>
        <v>3114.9977910156254</v>
      </c>
      <c r="N22" s="45">
        <f>[4]PwrCsOut!J20+[4]PwrCsOut!J400+[4]PwrCsOut!J401+[4]PwrCsOut!J402+[4]PwrCsOut!J405</f>
        <v>3021.4213085937499</v>
      </c>
      <c r="O22" s="44">
        <f>[4]PwrCsOut!K20+[4]PwrCsOut!K400+[4]PwrCsOut!K401+[4]PwrCsOut!K402+[4]PwrCsOut!K405</f>
        <v>3114.9977910156254</v>
      </c>
      <c r="P22" s="44">
        <f>[4]PwrCsOut!L20+[4]PwrCsOut!L400+[4]PwrCsOut!L401+[4]PwrCsOut!L402+[4]PwrCsOut!L405</f>
        <v>3021.4213085937499</v>
      </c>
      <c r="Q22" s="44">
        <f>[4]PwrCsOut!M20+[4]PwrCsOut!M400+[4]PwrCsOut!M401+[4]PwrCsOut!M402+[4]PwrCsOut!M405</f>
        <v>3114.9977910156254</v>
      </c>
      <c r="R22" s="44">
        <f>SUM(F22:Q22)</f>
        <v>33313.304089843754</v>
      </c>
      <c r="T22" s="44">
        <f>SUM(F22:N22)</f>
        <v>24061.887199218756</v>
      </c>
    </row>
    <row r="23" spans="1:20">
      <c r="N23" s="36"/>
    </row>
    <row r="24" spans="1:20">
      <c r="C24" s="19" t="s">
        <v>62</v>
      </c>
      <c r="F24" s="19">
        <f t="shared" ref="F24:Q24" si="1">SUM(F20:F23)</f>
        <v>3512</v>
      </c>
      <c r="G24" s="19">
        <f t="shared" si="1"/>
        <v>4216</v>
      </c>
      <c r="H24" s="19">
        <f t="shared" si="1"/>
        <v>4192</v>
      </c>
      <c r="I24" s="19">
        <f t="shared" si="1"/>
        <v>3472</v>
      </c>
      <c r="J24" s="19">
        <f t="shared" si="1"/>
        <v>2405</v>
      </c>
      <c r="K24" s="19">
        <f t="shared" si="1"/>
        <v>3305.0580019531249</v>
      </c>
      <c r="L24" s="19">
        <f t="shared" si="1"/>
        <v>4303.2244179687505</v>
      </c>
      <c r="M24" s="19">
        <f t="shared" si="1"/>
        <v>4303.2244179687505</v>
      </c>
      <c r="N24" s="36">
        <f t="shared" si="1"/>
        <v>4180.2741113281245</v>
      </c>
      <c r="O24" s="19">
        <f t="shared" si="1"/>
        <v>4303.2244179687505</v>
      </c>
      <c r="P24" s="19">
        <f t="shared" si="1"/>
        <v>4180.2741113281245</v>
      </c>
      <c r="Q24" s="19">
        <f t="shared" si="1"/>
        <v>4303.2244179687505</v>
      </c>
      <c r="R24" s="19">
        <f>SUM(F24:Q24)</f>
        <v>46675.50389648437</v>
      </c>
      <c r="T24" s="19">
        <f>SUM(T20:T23)</f>
        <v>33888.780949218752</v>
      </c>
    </row>
    <row r="25" spans="1:20">
      <c r="N25" s="36"/>
    </row>
    <row r="26" spans="1:20">
      <c r="B26" s="19" t="s">
        <v>63</v>
      </c>
      <c r="N26" s="36"/>
    </row>
    <row r="27" spans="1:20">
      <c r="N27" s="36"/>
    </row>
    <row r="28" spans="1:20">
      <c r="B28" s="19" t="s">
        <v>64</v>
      </c>
      <c r="N28" s="36"/>
    </row>
    <row r="29" spans="1:20">
      <c r="C29" s="19" t="s">
        <v>65</v>
      </c>
      <c r="F29" s="19">
        <v>23277</v>
      </c>
      <c r="G29" s="19">
        <v>14193</v>
      </c>
      <c r="H29" s="19">
        <v>16472</v>
      </c>
      <c r="I29" s="19">
        <v>11705</v>
      </c>
      <c r="J29" s="19">
        <v>11041</v>
      </c>
      <c r="K29" s="19">
        <f>[4]PwrCsOut!G27+[4]PwrCsOut!G28+[4]PwrCsOut!G407+[4]PwrCsOut!G60</f>
        <v>11116.565921874999</v>
      </c>
      <c r="L29" s="19">
        <f>[4]PwrCsOut!H27+[4]PwrCsOut!H28+[4]PwrCsOut!H407+[4]PwrCsOut!H60</f>
        <v>11503.562640625001</v>
      </c>
      <c r="M29" s="19">
        <f>[4]PwrCsOut!I27+[4]PwrCsOut!I28+[4]PwrCsOut!I407+[4]PwrCsOut!I60</f>
        <v>11894.207015625001</v>
      </c>
      <c r="N29" s="36">
        <f>[4]PwrCsOut!J27+[4]PwrCsOut!J28+[4]PwrCsOut!J407+[4]PwrCsOut!J60</f>
        <v>11593.705984374999</v>
      </c>
      <c r="O29" s="19">
        <f>[4]PwrCsOut!K27+[4]PwrCsOut!K28+[4]PwrCsOut!K407+[4]PwrCsOut!K60</f>
        <v>12006.917453125001</v>
      </c>
      <c r="P29" s="19">
        <f>[4]PwrCsOut!L27+[4]PwrCsOut!L28+[4]PwrCsOut!L407+[4]PwrCsOut!L60</f>
        <v>20661.856859374999</v>
      </c>
      <c r="Q29" s="19">
        <f>[4]PwrCsOut!M27+[4]PwrCsOut!M28+[4]PwrCsOut!M407+[4]PwrCsOut!M60</f>
        <v>22604.394765624998</v>
      </c>
      <c r="R29" s="19">
        <f t="shared" ref="R29:R35" si="2">SUM(F29:Q29)</f>
        <v>178069.21064062501</v>
      </c>
      <c r="T29" s="19">
        <f t="shared" ref="T29:T35" si="3">SUM(F29:N29)</f>
        <v>122796.0415625</v>
      </c>
    </row>
    <row r="30" spans="1:20">
      <c r="C30" s="19" t="s">
        <v>66</v>
      </c>
      <c r="F30" s="19">
        <v>5167</v>
      </c>
      <c r="G30" s="19">
        <v>4626</v>
      </c>
      <c r="H30" s="19">
        <v>4783</v>
      </c>
      <c r="I30" s="19">
        <v>3562</v>
      </c>
      <c r="J30" s="19">
        <v>4103</v>
      </c>
      <c r="K30" s="19">
        <f>[4]PwrCsOut!G29+[4]PwrCsOut!G61</f>
        <v>2552.8188750000004</v>
      </c>
      <c r="L30" s="19">
        <f>[4]PwrCsOut!H29+[4]PwrCsOut!H61</f>
        <v>2640.5197499999995</v>
      </c>
      <c r="M30" s="19">
        <f>[4]PwrCsOut!I29+[4]PwrCsOut!I61</f>
        <v>2657.7181249999999</v>
      </c>
      <c r="N30" s="36">
        <f>[4]PwrCsOut!J29+[4]PwrCsOut!J61</f>
        <v>2613.7986249999999</v>
      </c>
      <c r="O30" s="19">
        <f>[4]PwrCsOut!K29+[4]PwrCsOut!K61</f>
        <v>1907.3249999999998</v>
      </c>
      <c r="P30" s="19">
        <f>[4]PwrCsOut!L29+[4]PwrCsOut!L61</f>
        <v>4848.6459687500001</v>
      </c>
      <c r="Q30" s="19">
        <f>[4]PwrCsOut!M29+[4]PwrCsOut!M61</f>
        <v>5164.7243125000005</v>
      </c>
      <c r="R30" s="19">
        <f t="shared" si="2"/>
        <v>44626.550656250001</v>
      </c>
      <c r="T30" s="19">
        <f t="shared" si="3"/>
        <v>32705.855374999999</v>
      </c>
    </row>
    <row r="31" spans="1:20">
      <c r="C31" s="19" t="s">
        <v>67</v>
      </c>
      <c r="F31" s="19">
        <v>1386</v>
      </c>
      <c r="G31" s="19">
        <v>1241</v>
      </c>
      <c r="H31" s="19">
        <v>1527</v>
      </c>
      <c r="I31" s="19">
        <v>1403</v>
      </c>
      <c r="J31" s="19">
        <f>[4]PwrCsOut!F58+[4]PwrCsOut!F59+[4]PwrCsOut!F50+[4]PwrCsOut!F51</f>
        <v>1306.8493066406252</v>
      </c>
      <c r="K31" s="19">
        <f>[4]PwrCsOut!G58+[4]PwrCsOut!G59+[4]PwrCsOut!G50+[4]PwrCsOut!G51</f>
        <v>1306.84776171875</v>
      </c>
      <c r="L31" s="19">
        <f>[4]PwrCsOut!H58+[4]PwrCsOut!H59+[4]PwrCsOut!H50+[4]PwrCsOut!H51</f>
        <v>1306.8493066406252</v>
      </c>
      <c r="M31" s="19">
        <f>[4]PwrCsOut!I58+[4]PwrCsOut!I59+[4]PwrCsOut!I50+[4]PwrCsOut!I51</f>
        <v>1306.8493066406252</v>
      </c>
      <c r="N31" s="36">
        <f>[4]PwrCsOut!J58+[4]PwrCsOut!J59+[4]PwrCsOut!J50+[4]PwrCsOut!J51</f>
        <v>1306.84776171875</v>
      </c>
      <c r="O31" s="19">
        <f>[4]PwrCsOut!K58+[4]PwrCsOut!K59+[4]PwrCsOut!K50+[4]PwrCsOut!K51</f>
        <v>1306.8493066406252</v>
      </c>
      <c r="P31" s="19">
        <f>[4]PwrCsOut!L58+[4]PwrCsOut!L59+[4]PwrCsOut!L50+[4]PwrCsOut!L51</f>
        <v>1306.84776171875</v>
      </c>
      <c r="Q31" s="19">
        <f>[4]PwrCsOut!M58+[4]PwrCsOut!M59+[4]PwrCsOut!M50+[4]PwrCsOut!M51</f>
        <v>1306.8493066406252</v>
      </c>
      <c r="R31" s="19">
        <f t="shared" si="2"/>
        <v>16011.789818359373</v>
      </c>
      <c r="T31" s="19">
        <f t="shared" si="3"/>
        <v>12091.243443359373</v>
      </c>
    </row>
    <row r="32" spans="1:20">
      <c r="C32" s="19" t="s">
        <v>68</v>
      </c>
      <c r="F32" s="19">
        <v>-5879</v>
      </c>
      <c r="G32" s="19">
        <v>-149</v>
      </c>
      <c r="H32" s="19">
        <v>1837</v>
      </c>
      <c r="I32" s="19">
        <v>-1265</v>
      </c>
      <c r="J32" s="19">
        <v>-1143</v>
      </c>
      <c r="K32" s="19">
        <f>[4]PwrCsOut!G62</f>
        <v>-1308.032375</v>
      </c>
      <c r="L32" s="19">
        <f>[4]PwrCsOut!H62</f>
        <v>-4653.3879999999999</v>
      </c>
      <c r="M32" s="19">
        <f>[4]PwrCsOut!I62</f>
        <v>-4707.6625000000004</v>
      </c>
      <c r="N32" s="36">
        <f>[4]PwrCsOut!J62</f>
        <v>-4593.2790000000005</v>
      </c>
      <c r="O32" s="19">
        <f>[4]PwrCsOut!K62</f>
        <v>-4773.4960000000001</v>
      </c>
      <c r="P32" s="19">
        <f>[4]PwrCsOut!L62</f>
        <v>-6191.1584999999995</v>
      </c>
      <c r="Q32" s="19">
        <f>[4]PwrCsOut!M62</f>
        <v>-6871.8429999999998</v>
      </c>
      <c r="R32" s="19">
        <f t="shared" si="2"/>
        <v>-39697.859375</v>
      </c>
      <c r="T32" s="19">
        <f t="shared" si="3"/>
        <v>-21861.361875000002</v>
      </c>
    </row>
    <row r="33" spans="1:20">
      <c r="C33" s="46" t="s">
        <v>69</v>
      </c>
      <c r="D33" s="43"/>
      <c r="E33" s="43"/>
      <c r="F33" s="43">
        <v>-711</v>
      </c>
      <c r="G33" s="43">
        <v>-2289</v>
      </c>
      <c r="H33" s="43">
        <v>-289</v>
      </c>
      <c r="I33" s="43">
        <v>1243</v>
      </c>
      <c r="J33" s="43">
        <v>74</v>
      </c>
      <c r="K33" s="43">
        <v>25</v>
      </c>
      <c r="L33" s="43">
        <v>-81</v>
      </c>
      <c r="M33" s="43">
        <v>51</v>
      </c>
      <c r="N33" s="42">
        <v>53</v>
      </c>
      <c r="O33" s="43">
        <v>59</v>
      </c>
      <c r="P33" s="43">
        <v>-88</v>
      </c>
      <c r="Q33" s="43">
        <v>-42</v>
      </c>
      <c r="R33" s="43">
        <f t="shared" si="2"/>
        <v>-1995</v>
      </c>
      <c r="S33" s="43"/>
      <c r="T33" s="43">
        <f t="shared" si="3"/>
        <v>-1924</v>
      </c>
    </row>
    <row r="34" spans="1:20">
      <c r="C34" s="46" t="s">
        <v>70</v>
      </c>
      <c r="D34" s="43"/>
      <c r="E34" s="43"/>
      <c r="F34" s="43">
        <v>2249</v>
      </c>
      <c r="G34" s="43">
        <v>1515</v>
      </c>
      <c r="H34" s="43">
        <v>-2736</v>
      </c>
      <c r="I34" s="43">
        <v>-1906</v>
      </c>
      <c r="J34" s="43">
        <v>-135</v>
      </c>
      <c r="K34" s="43">
        <v>384</v>
      </c>
      <c r="L34" s="43">
        <v>2916</v>
      </c>
      <c r="M34" s="43">
        <v>2883</v>
      </c>
      <c r="N34" s="42">
        <v>2770</v>
      </c>
      <c r="O34" s="43">
        <v>2841</v>
      </c>
      <c r="P34" s="43">
        <v>1510</v>
      </c>
      <c r="Q34" s="43">
        <v>1579</v>
      </c>
      <c r="R34" s="43">
        <f t="shared" si="2"/>
        <v>13870</v>
      </c>
      <c r="S34" s="43"/>
      <c r="T34" s="47">
        <f t="shared" si="3"/>
        <v>7940</v>
      </c>
    </row>
    <row r="35" spans="1:20">
      <c r="C35" s="19" t="s">
        <v>71</v>
      </c>
      <c r="F35" s="44">
        <f t="shared" ref="F35:Q35" si="4">SUM(F29:F34)</f>
        <v>25489</v>
      </c>
      <c r="G35" s="44">
        <f t="shared" si="4"/>
        <v>19137</v>
      </c>
      <c r="H35" s="44">
        <f t="shared" si="4"/>
        <v>21594</v>
      </c>
      <c r="I35" s="44">
        <f t="shared" si="4"/>
        <v>14742</v>
      </c>
      <c r="J35" s="44">
        <f t="shared" si="4"/>
        <v>15246.849306640626</v>
      </c>
      <c r="K35" s="44">
        <f t="shared" si="4"/>
        <v>14077.20018359375</v>
      </c>
      <c r="L35" s="44">
        <f t="shared" si="4"/>
        <v>13632.543697265624</v>
      </c>
      <c r="M35" s="44">
        <f t="shared" si="4"/>
        <v>14085.111947265625</v>
      </c>
      <c r="N35" s="45">
        <f t="shared" si="4"/>
        <v>13744.073371093747</v>
      </c>
      <c r="O35" s="44">
        <f t="shared" si="4"/>
        <v>13347.595759765623</v>
      </c>
      <c r="P35" s="44">
        <f t="shared" si="4"/>
        <v>22048.192089843746</v>
      </c>
      <c r="Q35" s="44">
        <f t="shared" si="4"/>
        <v>23741.125384765623</v>
      </c>
      <c r="R35" s="44">
        <f t="shared" si="2"/>
        <v>210884.69174023435</v>
      </c>
      <c r="T35" s="48">
        <f t="shared" si="3"/>
        <v>151747.77850585937</v>
      </c>
    </row>
    <row r="36" spans="1:20">
      <c r="N36" s="36"/>
    </row>
    <row r="37" spans="1:20">
      <c r="C37" s="19" t="s">
        <v>72</v>
      </c>
      <c r="F37" s="44">
        <f t="shared" ref="F37:Q37" si="5">F24+F26+F35</f>
        <v>29001</v>
      </c>
      <c r="G37" s="44">
        <f t="shared" si="5"/>
        <v>23353</v>
      </c>
      <c r="H37" s="44">
        <f t="shared" si="5"/>
        <v>25786</v>
      </c>
      <c r="I37" s="44">
        <f t="shared" si="5"/>
        <v>18214</v>
      </c>
      <c r="J37" s="44">
        <f t="shared" si="5"/>
        <v>17651.849306640626</v>
      </c>
      <c r="K37" s="44">
        <f t="shared" si="5"/>
        <v>17382.258185546874</v>
      </c>
      <c r="L37" s="44">
        <f t="shared" si="5"/>
        <v>17935.768115234376</v>
      </c>
      <c r="M37" s="44">
        <f t="shared" si="5"/>
        <v>18388.336365234376</v>
      </c>
      <c r="N37" s="45">
        <f t="shared" si="5"/>
        <v>17924.347482421872</v>
      </c>
      <c r="O37" s="44">
        <f t="shared" si="5"/>
        <v>17650.820177734375</v>
      </c>
      <c r="P37" s="44">
        <f t="shared" si="5"/>
        <v>26228.466201171868</v>
      </c>
      <c r="Q37" s="44">
        <f t="shared" si="5"/>
        <v>28044.349802734374</v>
      </c>
      <c r="R37" s="44">
        <f>SUM(F37:Q37)</f>
        <v>257560.19563671871</v>
      </c>
      <c r="T37" s="44">
        <f>+T24+T35</f>
        <v>185636.55945507812</v>
      </c>
    </row>
    <row r="38" spans="1:20">
      <c r="N38" s="36"/>
    </row>
    <row r="39" spans="1:20">
      <c r="A39" s="19" t="s">
        <v>73</v>
      </c>
      <c r="F39" s="19">
        <f t="shared" ref="F39:Q39" si="6">F14+F16+F37</f>
        <v>237617</v>
      </c>
      <c r="G39" s="19">
        <f t="shared" si="6"/>
        <v>163386</v>
      </c>
      <c r="H39" s="19">
        <f t="shared" si="6"/>
        <v>180638</v>
      </c>
      <c r="I39" s="19">
        <f t="shared" si="6"/>
        <v>217947</v>
      </c>
      <c r="J39" s="19">
        <f t="shared" si="6"/>
        <v>194008.84930664062</v>
      </c>
      <c r="K39" s="19">
        <f t="shared" si="6"/>
        <v>173865.00667382817</v>
      </c>
      <c r="L39" s="19">
        <f t="shared" si="6"/>
        <v>260311.29530859372</v>
      </c>
      <c r="M39" s="19">
        <f t="shared" si="6"/>
        <v>248268.5269335937</v>
      </c>
      <c r="N39" s="36">
        <f t="shared" si="6"/>
        <v>211957.74884570311</v>
      </c>
      <c r="O39" s="19">
        <f t="shared" si="6"/>
        <v>179462.55199609371</v>
      </c>
      <c r="P39" s="19">
        <f t="shared" si="6"/>
        <v>172163.15022070313</v>
      </c>
      <c r="Q39" s="19">
        <f t="shared" si="6"/>
        <v>193978.61818359373</v>
      </c>
      <c r="R39" s="19">
        <f>SUM(F39:Q39)</f>
        <v>2433603.74746875</v>
      </c>
      <c r="T39" s="19">
        <f>+T14+T16+T37</f>
        <v>1887999.4270683597</v>
      </c>
    </row>
    <row r="40" spans="1:20">
      <c r="N40" s="36"/>
    </row>
    <row r="41" spans="1:20">
      <c r="B41" s="19" t="s">
        <v>74</v>
      </c>
      <c r="F41" s="19">
        <v>-147729</v>
      </c>
      <c r="G41" s="19">
        <v>-155832</v>
      </c>
      <c r="H41" s="19">
        <v>-176370</v>
      </c>
      <c r="I41" s="19">
        <v>-218190</v>
      </c>
      <c r="J41" s="19">
        <v>-146943</v>
      </c>
      <c r="K41" s="19">
        <f>[4]PwrCsOut!G397+[4]PwrCsOut!G416</f>
        <v>-167480.88199999998</v>
      </c>
      <c r="L41" s="19">
        <f>[4]PwrCsOut!H397+[4]PwrCsOut!H416</f>
        <v>-209954.63199999998</v>
      </c>
      <c r="M41" s="19">
        <f>[4]PwrCsOut!I397+[4]PwrCsOut!I416</f>
        <v>-202572.34</v>
      </c>
      <c r="N41" s="36">
        <f>[4]PwrCsOut!J397+[4]PwrCsOut!J416</f>
        <v>-166698.872</v>
      </c>
      <c r="O41" s="19">
        <f>[4]PwrCsOut!K397+[4]PwrCsOut!K416</f>
        <v>-148745.39199999999</v>
      </c>
      <c r="P41" s="19">
        <f>[4]PwrCsOut!L397+[4]PwrCsOut!L416</f>
        <v>-116891.224</v>
      </c>
      <c r="Q41" s="19">
        <f>[4]PwrCsOut!M397+[4]PwrCsOut!M416</f>
        <v>-114007.59</v>
      </c>
      <c r="R41" s="19">
        <f>SUM(F41:Q41)</f>
        <v>-1971414.932</v>
      </c>
      <c r="T41" s="19">
        <f>SUM(F41:N41)</f>
        <v>-1591770.726</v>
      </c>
    </row>
    <row r="42" spans="1:20">
      <c r="B42" s="19" t="s">
        <v>75</v>
      </c>
      <c r="F42" s="44">
        <v>-2901</v>
      </c>
      <c r="G42" s="44">
        <v>-1482</v>
      </c>
      <c r="H42" s="44">
        <v>-844</v>
      </c>
      <c r="I42" s="44">
        <v>-1561</v>
      </c>
      <c r="J42" s="44">
        <v>-220</v>
      </c>
      <c r="K42" s="44"/>
      <c r="L42" s="44"/>
      <c r="M42" s="44"/>
      <c r="N42" s="45"/>
      <c r="O42" s="44"/>
      <c r="P42" s="44"/>
      <c r="Q42" s="44"/>
      <c r="R42" s="44">
        <f>SUM(F42:Q42)</f>
        <v>-7008</v>
      </c>
      <c r="T42" s="44">
        <f>SUM(F42:N42)</f>
        <v>-7008</v>
      </c>
    </row>
    <row r="43" spans="1:20" ht="13.5" thickBot="1">
      <c r="N43" s="36"/>
    </row>
    <row r="44" spans="1:20" ht="13.5" thickBot="1">
      <c r="A44" s="19" t="s">
        <v>108</v>
      </c>
      <c r="F44" s="19">
        <f t="shared" ref="F44:Q44" si="7">F39+F41+F42</f>
        <v>86987</v>
      </c>
      <c r="G44" s="19">
        <f t="shared" si="7"/>
        <v>6072</v>
      </c>
      <c r="H44" s="19">
        <f t="shared" si="7"/>
        <v>3424</v>
      </c>
      <c r="I44" s="19">
        <f t="shared" si="7"/>
        <v>-1804</v>
      </c>
      <c r="J44" s="19">
        <f t="shared" si="7"/>
        <v>46845.849306640623</v>
      </c>
      <c r="K44" s="19">
        <f t="shared" si="7"/>
        <v>6384.1246738281916</v>
      </c>
      <c r="L44" s="19">
        <f t="shared" si="7"/>
        <v>50356.663308593736</v>
      </c>
      <c r="M44" s="19">
        <f t="shared" si="7"/>
        <v>45696.186933593708</v>
      </c>
      <c r="N44" s="36">
        <f t="shared" si="7"/>
        <v>45258.876845703111</v>
      </c>
      <c r="O44" s="19">
        <f t="shared" si="7"/>
        <v>30717.159996093716</v>
      </c>
      <c r="P44" s="19">
        <f t="shared" si="7"/>
        <v>55271.926220703128</v>
      </c>
      <c r="Q44" s="19">
        <f t="shared" si="7"/>
        <v>79971.028183593735</v>
      </c>
      <c r="R44" s="49">
        <f>SUM(F44:Q44)</f>
        <v>455180.81546874996</v>
      </c>
      <c r="T44" s="18">
        <f>T39+T41+T42</f>
        <v>289220.70106835966</v>
      </c>
    </row>
    <row r="45" spans="1:20" s="24" customFormat="1" ht="16.5" thickBot="1">
      <c r="B45" s="50"/>
      <c r="D45" s="51"/>
      <c r="F45" s="52"/>
      <c r="G45" s="53"/>
      <c r="H45" s="53"/>
      <c r="I45" s="53"/>
      <c r="J45" s="53"/>
      <c r="K45" s="53"/>
      <c r="L45" s="53"/>
      <c r="M45" s="53"/>
      <c r="N45" s="99"/>
      <c r="O45" s="53"/>
      <c r="P45" s="53"/>
      <c r="Q45" s="53"/>
      <c r="R45" s="53"/>
      <c r="T45" s="53"/>
    </row>
    <row r="46" spans="1:20" s="24" customFormat="1" ht="15.75">
      <c r="A46" s="56" t="s">
        <v>77</v>
      </c>
      <c r="B46" s="57"/>
      <c r="C46" s="21"/>
      <c r="D46" s="58"/>
      <c r="E46" s="21"/>
      <c r="F46" s="59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0"/>
      <c r="R46" s="60"/>
      <c r="S46" s="21"/>
      <c r="T46" s="62"/>
    </row>
    <row r="47" spans="1:20" s="24" customFormat="1" ht="15">
      <c r="A47" s="63" t="s">
        <v>109</v>
      </c>
      <c r="B47" s="64"/>
      <c r="C47" s="64"/>
      <c r="D47" s="64"/>
      <c r="E47" s="64"/>
      <c r="F47" s="24">
        <v>4279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36">
        <v>0</v>
      </c>
      <c r="O47" s="24">
        <v>0</v>
      </c>
      <c r="P47" s="24">
        <v>0</v>
      </c>
      <c r="Q47" s="24">
        <v>0</v>
      </c>
      <c r="R47" s="24">
        <f t="shared" ref="R47:R52" si="8">SUM(F47:Q47)</f>
        <v>4279</v>
      </c>
      <c r="T47" s="28">
        <f>SUM(F47:N47)</f>
        <v>4279</v>
      </c>
    </row>
    <row r="48" spans="1:20" s="24" customFormat="1" ht="15">
      <c r="A48" s="63" t="s">
        <v>79</v>
      </c>
      <c r="B48" s="64"/>
      <c r="C48" s="64"/>
      <c r="D48" s="64"/>
      <c r="E48" s="64"/>
      <c r="F48" s="24">
        <v>424</v>
      </c>
      <c r="G48" s="24">
        <v>0</v>
      </c>
      <c r="H48" s="24">
        <f>2400+6000</f>
        <v>8400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75">
        <v>0</v>
      </c>
      <c r="P48" s="24">
        <v>0</v>
      </c>
      <c r="Q48" s="24">
        <v>0</v>
      </c>
      <c r="R48" s="24">
        <f t="shared" si="8"/>
        <v>8824</v>
      </c>
      <c r="T48" s="28">
        <f>SUM(F48:N48)</f>
        <v>8824</v>
      </c>
    </row>
    <row r="49" spans="1:20">
      <c r="A49" s="63" t="s">
        <v>80</v>
      </c>
      <c r="B49" s="24"/>
      <c r="C49" s="24"/>
      <c r="D49" s="24"/>
      <c r="E49" s="24"/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-1489</v>
      </c>
      <c r="O49" s="75">
        <v>0</v>
      </c>
      <c r="P49" s="24">
        <v>0</v>
      </c>
      <c r="Q49" s="24">
        <v>0</v>
      </c>
      <c r="R49" s="24">
        <f t="shared" si="8"/>
        <v>-1489</v>
      </c>
      <c r="S49" s="24"/>
      <c r="T49" s="28">
        <f>SUM(F49:N49)</f>
        <v>-1489</v>
      </c>
    </row>
    <row r="50" spans="1:20">
      <c r="A50" s="63" t="s">
        <v>81</v>
      </c>
      <c r="B50" s="24"/>
      <c r="C50" s="24"/>
      <c r="D50" s="24"/>
      <c r="E50" s="24"/>
      <c r="F50" s="65">
        <v>2109.2791755555554</v>
      </c>
      <c r="G50" s="65">
        <v>1962</v>
      </c>
      <c r="H50" s="65">
        <v>2134</v>
      </c>
      <c r="I50" s="65">
        <v>2085</v>
      </c>
      <c r="J50" s="65">
        <v>2301.2355555555555</v>
      </c>
      <c r="K50" s="65">
        <v>2274.3555555555554</v>
      </c>
      <c r="L50" s="65">
        <v>2249.1555555555556</v>
      </c>
      <c r="M50" s="65">
        <v>2301.2355555555555</v>
      </c>
      <c r="N50" s="65">
        <v>2274.3555555555554</v>
      </c>
      <c r="O50" s="75">
        <v>0</v>
      </c>
      <c r="P50" s="24">
        <v>0</v>
      </c>
      <c r="Q50" s="24">
        <v>0</v>
      </c>
      <c r="R50" s="24">
        <f t="shared" si="8"/>
        <v>19690.61695333333</v>
      </c>
      <c r="S50" s="24"/>
      <c r="T50" s="28">
        <f>SUM(F50:N50)</f>
        <v>19690.61695333333</v>
      </c>
    </row>
    <row r="51" spans="1:20">
      <c r="A51" s="67" t="s">
        <v>82</v>
      </c>
      <c r="B51" s="41"/>
      <c r="C51" s="41"/>
      <c r="D51" s="41"/>
      <c r="E51" s="41" t="s">
        <v>83</v>
      </c>
      <c r="F51" s="47">
        <f t="shared" ref="F51:Q51" si="9">+F34</f>
        <v>2249</v>
      </c>
      <c r="G51" s="47">
        <f t="shared" si="9"/>
        <v>1515</v>
      </c>
      <c r="H51" s="47">
        <f t="shared" si="9"/>
        <v>-2736</v>
      </c>
      <c r="I51" s="47">
        <f t="shared" si="9"/>
        <v>-1906</v>
      </c>
      <c r="J51" s="47">
        <f t="shared" si="9"/>
        <v>-135</v>
      </c>
      <c r="K51" s="47">
        <f t="shared" si="9"/>
        <v>384</v>
      </c>
      <c r="L51" s="47">
        <f t="shared" si="9"/>
        <v>2916</v>
      </c>
      <c r="M51" s="47">
        <f t="shared" si="9"/>
        <v>2883</v>
      </c>
      <c r="N51" s="47">
        <f t="shared" si="9"/>
        <v>2770</v>
      </c>
      <c r="O51" s="100">
        <f t="shared" si="9"/>
        <v>2841</v>
      </c>
      <c r="P51" s="47">
        <f t="shared" si="9"/>
        <v>1510</v>
      </c>
      <c r="Q51" s="47">
        <f t="shared" si="9"/>
        <v>1579</v>
      </c>
      <c r="R51" s="47">
        <f t="shared" si="8"/>
        <v>13870</v>
      </c>
      <c r="S51" s="41"/>
      <c r="T51" s="69">
        <f>SUM(F51:N51)</f>
        <v>7940</v>
      </c>
    </row>
    <row r="52" spans="1:20">
      <c r="A52" s="63"/>
      <c r="B52" s="24" t="s">
        <v>84</v>
      </c>
      <c r="C52" s="24"/>
      <c r="D52" s="24"/>
      <c r="E52" s="24"/>
      <c r="F52" s="24">
        <f t="shared" ref="F52:Q52" si="10">SUM(F47:F51)</f>
        <v>9061.2791755555554</v>
      </c>
      <c r="G52" s="24">
        <f t="shared" si="10"/>
        <v>3477</v>
      </c>
      <c r="H52" s="24">
        <f t="shared" si="10"/>
        <v>7798</v>
      </c>
      <c r="I52" s="24">
        <f t="shared" si="10"/>
        <v>179</v>
      </c>
      <c r="J52" s="24">
        <f t="shared" si="10"/>
        <v>2166.2355555555555</v>
      </c>
      <c r="K52" s="24">
        <f t="shared" si="10"/>
        <v>2658.3555555555554</v>
      </c>
      <c r="L52" s="24">
        <f t="shared" si="10"/>
        <v>5165.1555555555551</v>
      </c>
      <c r="M52" s="24">
        <f t="shared" si="10"/>
        <v>5184.235555555555</v>
      </c>
      <c r="N52" s="24">
        <f t="shared" si="10"/>
        <v>3555.3555555555554</v>
      </c>
      <c r="O52" s="75">
        <f t="shared" si="10"/>
        <v>2841</v>
      </c>
      <c r="P52" s="24">
        <f t="shared" si="10"/>
        <v>1510</v>
      </c>
      <c r="Q52" s="24">
        <f t="shared" si="10"/>
        <v>1579</v>
      </c>
      <c r="R52" s="24">
        <f t="shared" si="8"/>
        <v>45174.61695333333</v>
      </c>
      <c r="S52" s="24"/>
      <c r="T52" s="28">
        <f>SUM(T47:T51)</f>
        <v>39244.61695333333</v>
      </c>
    </row>
    <row r="53" spans="1:20">
      <c r="A53" s="6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75"/>
      <c r="P53" s="24"/>
      <c r="Q53" s="24"/>
      <c r="R53" s="24"/>
      <c r="S53" s="24"/>
      <c r="T53" s="28"/>
    </row>
    <row r="54" spans="1:20">
      <c r="A54" s="70" t="s">
        <v>85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75"/>
      <c r="P54" s="24"/>
      <c r="Q54" s="24"/>
      <c r="R54" s="24"/>
      <c r="S54" s="24"/>
      <c r="T54" s="28"/>
    </row>
    <row r="55" spans="1:20">
      <c r="A55" s="67" t="s">
        <v>86</v>
      </c>
      <c r="B55" s="41"/>
      <c r="C55" s="41"/>
      <c r="D55" s="41"/>
      <c r="E55" s="41" t="s">
        <v>87</v>
      </c>
      <c r="F55" s="41">
        <f t="shared" ref="F55:Q55" si="11">+F11</f>
        <v>8135</v>
      </c>
      <c r="G55" s="41">
        <f t="shared" si="11"/>
        <v>-5059</v>
      </c>
      <c r="H55" s="41">
        <f t="shared" si="11"/>
        <v>-12505</v>
      </c>
      <c r="I55" s="41">
        <f t="shared" si="11"/>
        <v>-2611</v>
      </c>
      <c r="J55" s="41">
        <f t="shared" si="11"/>
        <v>-7602</v>
      </c>
      <c r="K55" s="41">
        <f t="shared" si="11"/>
        <v>-9788</v>
      </c>
      <c r="L55" s="41">
        <f t="shared" si="11"/>
        <v>14440</v>
      </c>
      <c r="M55" s="41">
        <f t="shared" si="11"/>
        <v>18644</v>
      </c>
      <c r="N55" s="41">
        <f t="shared" si="11"/>
        <v>16230</v>
      </c>
      <c r="O55" s="101">
        <f t="shared" si="11"/>
        <v>-602</v>
      </c>
      <c r="P55" s="41">
        <f t="shared" si="11"/>
        <v>-1951</v>
      </c>
      <c r="Q55" s="41">
        <f t="shared" si="11"/>
        <v>-2745</v>
      </c>
      <c r="R55" s="41">
        <f>SUM(F55:Q55)</f>
        <v>14586</v>
      </c>
      <c r="S55" s="41"/>
      <c r="T55" s="71">
        <f>SUM(F55:N55)</f>
        <v>19884</v>
      </c>
    </row>
    <row r="56" spans="1:20">
      <c r="A56" s="67" t="s">
        <v>88</v>
      </c>
      <c r="B56" s="41"/>
      <c r="C56" s="41"/>
      <c r="D56" s="41"/>
      <c r="E56" s="41" t="s">
        <v>83</v>
      </c>
      <c r="F56" s="41">
        <f t="shared" ref="F56:Q56" si="12">+F33</f>
        <v>-711</v>
      </c>
      <c r="G56" s="41">
        <f t="shared" si="12"/>
        <v>-2289</v>
      </c>
      <c r="H56" s="41">
        <f t="shared" si="12"/>
        <v>-289</v>
      </c>
      <c r="I56" s="41">
        <f t="shared" si="12"/>
        <v>1243</v>
      </c>
      <c r="J56" s="41">
        <f t="shared" si="12"/>
        <v>74</v>
      </c>
      <c r="K56" s="41">
        <f t="shared" si="12"/>
        <v>25</v>
      </c>
      <c r="L56" s="41">
        <f t="shared" si="12"/>
        <v>-81</v>
      </c>
      <c r="M56" s="41">
        <f t="shared" si="12"/>
        <v>51</v>
      </c>
      <c r="N56" s="41">
        <f t="shared" si="12"/>
        <v>53</v>
      </c>
      <c r="O56" s="101">
        <f t="shared" si="12"/>
        <v>59</v>
      </c>
      <c r="P56" s="41">
        <f t="shared" si="12"/>
        <v>-88</v>
      </c>
      <c r="Q56" s="41">
        <f t="shared" si="12"/>
        <v>-42</v>
      </c>
      <c r="R56" s="41">
        <f>SUM(F56:Q56)</f>
        <v>-1995</v>
      </c>
      <c r="S56" s="41"/>
      <c r="T56" s="71">
        <f>SUM(F56:N56)</f>
        <v>-1924</v>
      </c>
    </row>
    <row r="57" spans="1:20">
      <c r="A57" s="63" t="s">
        <v>89</v>
      </c>
      <c r="B57" s="24"/>
      <c r="C57" s="24"/>
      <c r="D57" s="24"/>
      <c r="E57" s="24" t="s">
        <v>90</v>
      </c>
      <c r="F57" s="72">
        <v>2007.2039999999997</v>
      </c>
      <c r="G57" s="72">
        <v>2650</v>
      </c>
      <c r="H57" s="72">
        <v>8148</v>
      </c>
      <c r="I57" s="72">
        <v>7688</v>
      </c>
      <c r="J57" s="72">
        <v>7528</v>
      </c>
      <c r="K57" s="72">
        <v>9763</v>
      </c>
      <c r="L57" s="72">
        <v>-14359</v>
      </c>
      <c r="M57" s="72">
        <v>-18694</v>
      </c>
      <c r="N57" s="72">
        <v>-16283</v>
      </c>
      <c r="O57" s="102">
        <v>543</v>
      </c>
      <c r="P57" s="72">
        <v>2038</v>
      </c>
      <c r="Q57" s="72">
        <v>2787</v>
      </c>
      <c r="R57" s="44">
        <f>SUM(F57:Q57)</f>
        <v>-6183.7960000000021</v>
      </c>
      <c r="S57" s="24"/>
      <c r="T57" s="74">
        <f>SUM(F57:N57)</f>
        <v>-11551.796000000002</v>
      </c>
    </row>
    <row r="58" spans="1:20">
      <c r="A58" s="63"/>
      <c r="B58" s="24" t="s">
        <v>110</v>
      </c>
      <c r="C58" s="24"/>
      <c r="D58" s="24"/>
      <c r="E58" s="24"/>
      <c r="F58" s="24">
        <f t="shared" ref="F58:R58" si="13">SUM(F55:F57)</f>
        <v>9431.2039999999997</v>
      </c>
      <c r="G58" s="24">
        <f t="shared" si="13"/>
        <v>-4698</v>
      </c>
      <c r="H58" s="24">
        <f t="shared" si="13"/>
        <v>-4646</v>
      </c>
      <c r="I58" s="24">
        <f t="shared" si="13"/>
        <v>6320</v>
      </c>
      <c r="J58" s="24">
        <f t="shared" si="13"/>
        <v>0</v>
      </c>
      <c r="K58" s="24">
        <f t="shared" si="13"/>
        <v>0</v>
      </c>
      <c r="L58" s="24">
        <f t="shared" si="13"/>
        <v>0</v>
      </c>
      <c r="M58" s="24">
        <f t="shared" si="13"/>
        <v>1</v>
      </c>
      <c r="N58" s="24">
        <f t="shared" si="13"/>
        <v>0</v>
      </c>
      <c r="O58" s="75">
        <f t="shared" si="13"/>
        <v>0</v>
      </c>
      <c r="P58" s="24">
        <f t="shared" si="13"/>
        <v>-1</v>
      </c>
      <c r="Q58" s="24">
        <f t="shared" si="13"/>
        <v>0</v>
      </c>
      <c r="R58" s="24">
        <f t="shared" si="13"/>
        <v>6407.2039999999979</v>
      </c>
      <c r="S58" s="24"/>
      <c r="T58" s="28">
        <f>SUM(T55:T57)</f>
        <v>6408.2039999999979</v>
      </c>
    </row>
    <row r="59" spans="1:20" ht="13.5" thickBot="1">
      <c r="A59" s="6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75"/>
      <c r="P59" s="24"/>
      <c r="Q59" s="24"/>
      <c r="R59" s="24"/>
      <c r="S59" s="24"/>
      <c r="T59" s="28"/>
    </row>
    <row r="60" spans="1:20" ht="13.5" thickBot="1">
      <c r="A60" s="76" t="s">
        <v>92</v>
      </c>
      <c r="B60" s="24"/>
      <c r="C60" s="24"/>
      <c r="D60" s="24"/>
      <c r="E60" s="24"/>
      <c r="F60" s="24">
        <f t="shared" ref="F60:R60" si="14">+F44-F52-F58</f>
        <v>68494.51682444445</v>
      </c>
      <c r="G60" s="24">
        <f t="shared" si="14"/>
        <v>7293</v>
      </c>
      <c r="H60" s="24">
        <f t="shared" si="14"/>
        <v>272</v>
      </c>
      <c r="I60" s="24">
        <f t="shared" si="14"/>
        <v>-8303</v>
      </c>
      <c r="J60" s="24">
        <f t="shared" si="14"/>
        <v>44679.613751085068</v>
      </c>
      <c r="K60" s="24">
        <f t="shared" si="14"/>
        <v>3725.7691182726362</v>
      </c>
      <c r="L60" s="24">
        <f t="shared" si="14"/>
        <v>45191.507753038182</v>
      </c>
      <c r="M60" s="24">
        <f t="shared" si="14"/>
        <v>40510.951378038153</v>
      </c>
      <c r="N60" s="24">
        <f t="shared" si="14"/>
        <v>41703.521290147553</v>
      </c>
      <c r="O60" s="75">
        <f t="shared" si="14"/>
        <v>27876.159996093716</v>
      </c>
      <c r="P60" s="24">
        <f t="shared" si="14"/>
        <v>53762.926220703128</v>
      </c>
      <c r="Q60" s="24">
        <f t="shared" si="14"/>
        <v>78392.028183593735</v>
      </c>
      <c r="R60" s="24">
        <f t="shared" si="14"/>
        <v>403598.99451541668</v>
      </c>
      <c r="S60" s="24"/>
      <c r="T60" s="49">
        <f>+T44-T52-T58</f>
        <v>243567.88011502635</v>
      </c>
    </row>
    <row r="61" spans="1:20" ht="13.5" thickBot="1">
      <c r="A61" s="77" t="s">
        <v>111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8"/>
      <c r="Q61" s="78"/>
      <c r="R61" s="78"/>
      <c r="S61" s="78"/>
      <c r="T61" s="80">
        <f>-'May 8 deferral'!K34</f>
        <v>-20667.721025614228</v>
      </c>
    </row>
    <row r="62" spans="1:20" ht="13.5" thickBot="1">
      <c r="N62" s="24"/>
      <c r="O62" s="75"/>
      <c r="T62" s="81"/>
    </row>
    <row r="63" spans="1:20" ht="13.5" thickBot="1">
      <c r="A63" s="18" t="s">
        <v>94</v>
      </c>
      <c r="F63" s="44">
        <v>107837.01969269788</v>
      </c>
      <c r="G63" s="44">
        <v>71459.832590283419</v>
      </c>
      <c r="H63" s="44">
        <v>50391.653537359409</v>
      </c>
      <c r="I63" s="44">
        <v>43889.244299400234</v>
      </c>
      <c r="J63" s="44">
        <v>26960.722950114854</v>
      </c>
      <c r="K63" s="44">
        <v>-1570.3183930835949</v>
      </c>
      <c r="L63" s="44">
        <v>69882.027479857177</v>
      </c>
      <c r="M63" s="44">
        <v>46260.949382071834</v>
      </c>
      <c r="N63" s="45">
        <v>53488.03437910309</v>
      </c>
      <c r="O63" s="44">
        <v>36290.872640038753</v>
      </c>
      <c r="P63" s="44">
        <v>64090.796623488895</v>
      </c>
      <c r="Q63" s="44">
        <v>92988.423993891091</v>
      </c>
      <c r="R63" s="82">
        <f>SUM(F63:Q63)</f>
        <v>661969.25917522307</v>
      </c>
      <c r="T63" s="81"/>
    </row>
    <row r="64" spans="1:20" ht="13.5" thickBot="1">
      <c r="A64" s="18" t="s">
        <v>95</v>
      </c>
      <c r="F64" s="19">
        <f t="shared" ref="F64:R64" si="15">+F44-F63</f>
        <v>-20850.019692697882</v>
      </c>
      <c r="G64" s="19">
        <f t="shared" si="15"/>
        <v>-65387.832590283419</v>
      </c>
      <c r="H64" s="19">
        <f t="shared" si="15"/>
        <v>-46967.653537359409</v>
      </c>
      <c r="I64" s="19">
        <f t="shared" si="15"/>
        <v>-45693.244299400234</v>
      </c>
      <c r="J64" s="19">
        <f t="shared" si="15"/>
        <v>19885.126356525769</v>
      </c>
      <c r="K64" s="19">
        <f t="shared" si="15"/>
        <v>7954.4430669117864</v>
      </c>
      <c r="L64" s="19">
        <f t="shared" si="15"/>
        <v>-19525.364171263442</v>
      </c>
      <c r="M64" s="19">
        <f t="shared" si="15"/>
        <v>-564.76244847812632</v>
      </c>
      <c r="N64" s="36">
        <f t="shared" si="15"/>
        <v>-8229.157533399979</v>
      </c>
      <c r="O64" s="24">
        <f t="shared" si="15"/>
        <v>-5573.7126439450367</v>
      </c>
      <c r="P64" s="19">
        <f t="shared" si="15"/>
        <v>-8818.8704027857675</v>
      </c>
      <c r="Q64" s="19">
        <f t="shared" si="15"/>
        <v>-13017.395810297356</v>
      </c>
      <c r="R64" s="82">
        <f t="shared" si="15"/>
        <v>-206788.4437064731</v>
      </c>
    </row>
    <row r="65" spans="20:20">
      <c r="T65" s="18"/>
    </row>
  </sheetData>
  <pageMargins left="0.5" right="0.5" top="0.75" bottom="0.77" header="0.5" footer="0.5"/>
  <pageSetup scale="57" orientation="landscape" r:id="rId1"/>
  <headerFooter alignWithMargins="0">
    <oddHeader>&amp;C&amp;A</oddHeader>
    <oddFooter>&amp;C&amp;F&amp;R&amp;D&amp;T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F21" zoomScaleNormal="100" workbookViewId="0">
      <selection activeCell="C32" sqref="C32:K32"/>
    </sheetView>
  </sheetViews>
  <sheetFormatPr defaultRowHeight="15"/>
  <cols>
    <col min="1" max="1" width="5.85546875" style="5" customWidth="1"/>
    <col min="2" max="2" width="33.85546875" style="4" customWidth="1"/>
    <col min="3" max="3" width="11.5703125" style="3" bestFit="1" customWidth="1"/>
    <col min="4" max="4" width="10.7109375" style="3" bestFit="1" customWidth="1"/>
    <col min="5" max="5" width="10.42578125" style="3" bestFit="1" customWidth="1"/>
    <col min="6" max="7" width="10.7109375" style="3" bestFit="1" customWidth="1"/>
    <col min="8" max="8" width="10.5703125" style="3" bestFit="1" customWidth="1"/>
    <col min="9" max="11" width="10.7109375" style="3" bestFit="1" customWidth="1"/>
    <col min="12" max="14" width="10.42578125" style="3" bestFit="1" customWidth="1"/>
    <col min="15" max="15" width="11.42578125" style="3" bestFit="1" customWidth="1"/>
    <col min="16" max="16" width="1.7109375" style="4" customWidth="1"/>
    <col min="17" max="16384" width="9.14062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29" spans="1:17">
      <c r="B29" s="14"/>
    </row>
    <row r="31" spans="1:17" ht="15.75" thickBot="1">
      <c r="B31" s="6" t="s">
        <v>101</v>
      </c>
    </row>
    <row r="32" spans="1:17">
      <c r="A32" s="4"/>
      <c r="B32" s="87" t="s">
        <v>112</v>
      </c>
      <c r="C32" s="88">
        <f>+'May 8 Power Cost Forecast'!F60</f>
        <v>68494.51682444445</v>
      </c>
      <c r="D32" s="88">
        <f>+'May 8 Power Cost Forecast'!G60</f>
        <v>7293</v>
      </c>
      <c r="E32" s="88">
        <f>+'May 8 Power Cost Forecast'!H60</f>
        <v>272</v>
      </c>
      <c r="F32" s="88">
        <f>+'May 8 Power Cost Forecast'!I60</f>
        <v>-8303</v>
      </c>
      <c r="G32" s="88">
        <f>+'May 8 Power Cost Forecast'!J60</f>
        <v>44679.613751085068</v>
      </c>
      <c r="H32" s="88">
        <f>+'May 8 Power Cost Forecast'!K60</f>
        <v>3725.7691182726362</v>
      </c>
      <c r="I32" s="88">
        <f>+'May 8 Power Cost Forecast'!L60</f>
        <v>45191.507753038182</v>
      </c>
      <c r="J32" s="88">
        <f>+'May 8 Power Cost Forecast'!M60</f>
        <v>40510.951378038153</v>
      </c>
      <c r="K32" s="88">
        <f>+'May 8 Power Cost Forecast'!N60</f>
        <v>41703.521290147553</v>
      </c>
      <c r="L32" s="4"/>
      <c r="M32" s="4"/>
      <c r="N32" s="4"/>
      <c r="O32" s="4"/>
    </row>
    <row r="33" spans="1:15" s="4" customFormat="1" ht="15.75" thickBot="1">
      <c r="B33" s="98" t="s">
        <v>102</v>
      </c>
      <c r="C33" s="90">
        <f>+C32</f>
        <v>68494.51682444445</v>
      </c>
      <c r="D33" s="90">
        <f t="shared" ref="D33:K33" si="8">+C33+D32</f>
        <v>75787.51682444445</v>
      </c>
      <c r="E33" s="90">
        <f t="shared" si="8"/>
        <v>76059.51682444445</v>
      </c>
      <c r="F33" s="90">
        <f t="shared" si="8"/>
        <v>67756.51682444445</v>
      </c>
      <c r="G33" s="90">
        <f t="shared" si="8"/>
        <v>112436.13057552952</v>
      </c>
      <c r="H33" s="90">
        <f t="shared" si="8"/>
        <v>116161.89969380216</v>
      </c>
      <c r="I33" s="90">
        <f t="shared" si="8"/>
        <v>161353.40744684034</v>
      </c>
      <c r="J33" s="90">
        <f t="shared" si="8"/>
        <v>201864.35882487849</v>
      </c>
      <c r="K33" s="91">
        <f t="shared" si="8"/>
        <v>243567.88011502606</v>
      </c>
    </row>
    <row r="34" spans="1:15" s="4" customFormat="1" ht="15.75" thickBot="1">
      <c r="B34" s="98" t="s">
        <v>103</v>
      </c>
      <c r="C34" s="92">
        <f t="shared" ref="C34:K34" si="9">IF(C33&gt;C24,(C33-C24)*0.9+(C24-C25)*0.5,IF(C33&gt;C25,(C33-C25)*0.5,IF(C33&lt;C27,(C27-C33)*0.5,IF(C33&lt;C28,(C28-C33)*0.9+(C28-C27)*0.5,0))))</f>
        <v>6022.2768777878719</v>
      </c>
      <c r="D34" s="92">
        <f t="shared" si="9"/>
        <v>610.35978531985165</v>
      </c>
      <c r="E34" s="92">
        <f t="shared" si="9"/>
        <v>3231.8309718686651</v>
      </c>
      <c r="F34" s="92">
        <f t="shared" si="9"/>
        <v>3673.4441749158505</v>
      </c>
      <c r="G34" s="92">
        <f t="shared" si="9"/>
        <v>0</v>
      </c>
      <c r="H34" s="92">
        <f t="shared" si="9"/>
        <v>0</v>
      </c>
      <c r="I34" s="92">
        <f t="shared" si="9"/>
        <v>1401.1695292618533</v>
      </c>
      <c r="J34" s="92">
        <f t="shared" si="9"/>
        <v>18764.407128693543</v>
      </c>
      <c r="K34" s="96">
        <f t="shared" si="9"/>
        <v>20667.721025614228</v>
      </c>
    </row>
    <row r="35" spans="1:15" s="4" customFormat="1" ht="15.75" thickBot="1">
      <c r="B35" s="93" t="s">
        <v>36</v>
      </c>
      <c r="C35" s="94"/>
      <c r="D35" s="94">
        <f t="shared" ref="D35:K35" si="10">+D34-C34</f>
        <v>-5411.9170924680202</v>
      </c>
      <c r="E35" s="94">
        <f t="shared" si="10"/>
        <v>2621.4711865488134</v>
      </c>
      <c r="F35" s="94">
        <f t="shared" si="10"/>
        <v>441.61320304718538</v>
      </c>
      <c r="G35" s="94">
        <f t="shared" si="10"/>
        <v>-3673.4441749158505</v>
      </c>
      <c r="H35" s="94">
        <f t="shared" si="10"/>
        <v>0</v>
      </c>
      <c r="I35" s="94">
        <f t="shared" si="10"/>
        <v>1401.1695292618533</v>
      </c>
      <c r="J35" s="94">
        <f t="shared" si="10"/>
        <v>17363.23759943169</v>
      </c>
      <c r="K35" s="95">
        <f t="shared" si="10"/>
        <v>1903.3138969206848</v>
      </c>
    </row>
    <row r="36" spans="1:15" s="4" customFormat="1"/>
    <row r="37" spans="1:15" s="4" customFormat="1">
      <c r="B37" s="17" t="str">
        <f ca="1">CELL("filename")</f>
        <v>F:\E52702\[PCA Mechanism-June 19.xls]Summary</v>
      </c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 s="4" customFormat="1"/>
    <row r="41" spans="1:15" s="4" customFormat="1"/>
    <row r="42" spans="1:15" s="4" customFormat="1"/>
    <row r="43" spans="1:15" s="4" customFormat="1"/>
    <row r="44" spans="1:15" s="4" customFormat="1"/>
    <row r="45" spans="1:15" s="4" customFormat="1"/>
    <row r="46" spans="1:15" s="4" customFormat="1"/>
    <row r="47" spans="1:15" s="4" customFormat="1"/>
    <row r="48" spans="1:15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topLeftCell="A10" zoomScale="85" workbookViewId="0">
      <pane xSplit="2760" topLeftCell="G1" activePane="topRight"/>
      <selection activeCell="O17" sqref="O17"/>
      <selection pane="topRight" activeCell="J36" sqref="J36"/>
    </sheetView>
  </sheetViews>
  <sheetFormatPr defaultRowHeight="12.75"/>
  <cols>
    <col min="1" max="1" width="21.140625" style="117" customWidth="1"/>
    <col min="2" max="2" width="12.7109375" style="117" customWidth="1"/>
    <col min="3" max="3" width="10.5703125" style="117" bestFit="1" customWidth="1"/>
    <col min="4" max="13" width="10.42578125" style="117" customWidth="1"/>
    <col min="14" max="14" width="11.5703125" style="117" bestFit="1" customWidth="1"/>
    <col min="15" max="16384" width="9.140625" style="117"/>
  </cols>
  <sheetData>
    <row r="1" spans="1:15">
      <c r="A1" s="116" t="s">
        <v>140</v>
      </c>
    </row>
    <row r="2" spans="1:15">
      <c r="A2" s="116" t="s">
        <v>141</v>
      </c>
    </row>
    <row r="4" spans="1:15">
      <c r="A4" s="116" t="s">
        <v>142</v>
      </c>
      <c r="B4" s="118" t="s">
        <v>143</v>
      </c>
      <c r="C4" s="118" t="s">
        <v>144</v>
      </c>
      <c r="D4" s="118" t="s">
        <v>145</v>
      </c>
      <c r="E4" s="118" t="s">
        <v>146</v>
      </c>
      <c r="F4" s="118" t="s">
        <v>147</v>
      </c>
      <c r="G4" s="118" t="s">
        <v>148</v>
      </c>
      <c r="H4" s="118" t="s">
        <v>149</v>
      </c>
      <c r="I4" s="118" t="s">
        <v>150</v>
      </c>
      <c r="J4" s="118" t="s">
        <v>151</v>
      </c>
      <c r="K4" s="118" t="s">
        <v>152</v>
      </c>
      <c r="L4" s="118" t="s">
        <v>153</v>
      </c>
      <c r="M4" s="118" t="s">
        <v>154</v>
      </c>
      <c r="N4" s="118" t="s">
        <v>155</v>
      </c>
    </row>
    <row r="5" spans="1:15">
      <c r="A5" s="117" t="s">
        <v>156</v>
      </c>
      <c r="B5" s="119">
        <f>31*24</f>
        <v>744</v>
      </c>
      <c r="C5" s="119">
        <f>28*24</f>
        <v>672</v>
      </c>
      <c r="D5" s="119">
        <f>31*24</f>
        <v>744</v>
      </c>
      <c r="E5" s="119">
        <f>30*24</f>
        <v>720</v>
      </c>
      <c r="F5" s="119">
        <f>31*24</f>
        <v>744</v>
      </c>
      <c r="G5" s="119">
        <f>30*24</f>
        <v>720</v>
      </c>
      <c r="H5" s="119">
        <f>31*24</f>
        <v>744</v>
      </c>
      <c r="I5" s="119">
        <f>31*24</f>
        <v>744</v>
      </c>
      <c r="J5" s="119">
        <f>30*24</f>
        <v>720</v>
      </c>
      <c r="K5" s="119">
        <f>31*24</f>
        <v>744</v>
      </c>
      <c r="L5" s="119">
        <f>30*24</f>
        <v>720</v>
      </c>
      <c r="M5" s="119">
        <f>31*24</f>
        <v>744</v>
      </c>
      <c r="N5" s="119">
        <f>SUM(B5:M5)</f>
        <v>8760</v>
      </c>
    </row>
    <row r="6" spans="1:15"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5">
      <c r="A7" s="116" t="s">
        <v>157</v>
      </c>
      <c r="B7" s="121">
        <v>2776</v>
      </c>
      <c r="C7" s="121">
        <v>2752</v>
      </c>
      <c r="D7" s="121">
        <v>2487</v>
      </c>
      <c r="E7" s="121">
        <v>2432</v>
      </c>
      <c r="F7" s="121">
        <v>2277</v>
      </c>
      <c r="G7" s="121">
        <v>2251</v>
      </c>
      <c r="H7" s="121">
        <v>2291</v>
      </c>
      <c r="I7" s="121">
        <v>2330</v>
      </c>
      <c r="J7" s="121">
        <v>2315</v>
      </c>
      <c r="K7" s="121">
        <v>2413</v>
      </c>
      <c r="L7" s="121">
        <v>2614</v>
      </c>
      <c r="M7" s="121">
        <v>2836</v>
      </c>
      <c r="N7" s="122">
        <f>SUM(B8:M8)/N5</f>
        <v>2479.7972602739728</v>
      </c>
    </row>
    <row r="8" spans="1:15">
      <c r="A8" s="117" t="s">
        <v>158</v>
      </c>
      <c r="B8" s="121">
        <f t="shared" ref="B8:M8" si="0">B7*B5</f>
        <v>2065344</v>
      </c>
      <c r="C8" s="121">
        <f t="shared" si="0"/>
        <v>1849344</v>
      </c>
      <c r="D8" s="121">
        <f t="shared" si="0"/>
        <v>1850328</v>
      </c>
      <c r="E8" s="121">
        <f t="shared" si="0"/>
        <v>1751040</v>
      </c>
      <c r="F8" s="121">
        <f t="shared" si="0"/>
        <v>1694088</v>
      </c>
      <c r="G8" s="121">
        <f t="shared" si="0"/>
        <v>1620720</v>
      </c>
      <c r="H8" s="121">
        <f t="shared" si="0"/>
        <v>1704504</v>
      </c>
      <c r="I8" s="121">
        <f t="shared" si="0"/>
        <v>1733520</v>
      </c>
      <c r="J8" s="121">
        <f t="shared" si="0"/>
        <v>1666800</v>
      </c>
      <c r="K8" s="121">
        <f t="shared" si="0"/>
        <v>1795272</v>
      </c>
      <c r="L8" s="121">
        <f t="shared" si="0"/>
        <v>1882080</v>
      </c>
      <c r="M8" s="121">
        <f t="shared" si="0"/>
        <v>2109984</v>
      </c>
      <c r="N8" s="123">
        <f>SUM(B8:M8)</f>
        <v>21723024</v>
      </c>
    </row>
    <row r="9" spans="1:15">
      <c r="A9" s="116" t="s">
        <v>159</v>
      </c>
      <c r="B9" s="121">
        <v>2650</v>
      </c>
      <c r="C9" s="121">
        <v>2606</v>
      </c>
      <c r="D9" s="121">
        <v>2408</v>
      </c>
      <c r="E9" s="121">
        <v>2295</v>
      </c>
      <c r="F9" s="121">
        <v>2159</v>
      </c>
      <c r="G9" s="121"/>
      <c r="H9" s="121"/>
      <c r="I9" s="121"/>
      <c r="J9" s="121"/>
      <c r="K9" s="121"/>
      <c r="L9" s="121"/>
      <c r="M9" s="121"/>
      <c r="N9" s="122">
        <f>SUM(B10:F10)/SUM(B5:F5)</f>
        <v>2420.8278145695363</v>
      </c>
    </row>
    <row r="10" spans="1:15">
      <c r="A10" s="117" t="s">
        <v>160</v>
      </c>
      <c r="B10" s="121">
        <f>B9*B5</f>
        <v>1971600</v>
      </c>
      <c r="C10" s="121">
        <f>C9*C5</f>
        <v>1751232</v>
      </c>
      <c r="D10" s="121">
        <f>D9*D5</f>
        <v>1791552</v>
      </c>
      <c r="E10" s="121">
        <f>E9*E5</f>
        <v>1652400</v>
      </c>
      <c r="F10" s="121">
        <f>F9*F5</f>
        <v>1606296</v>
      </c>
      <c r="G10" s="121"/>
      <c r="H10" s="121"/>
      <c r="I10" s="121"/>
      <c r="J10" s="121"/>
      <c r="K10" s="121"/>
      <c r="L10" s="121"/>
      <c r="M10" s="121"/>
      <c r="N10" s="123">
        <f>SUM(B10:M10)</f>
        <v>8773080</v>
      </c>
    </row>
    <row r="11" spans="1:15">
      <c r="A11" s="116" t="s">
        <v>161</v>
      </c>
      <c r="B11" s="121"/>
      <c r="C11" s="121"/>
      <c r="D11" s="121"/>
      <c r="E11" s="121"/>
      <c r="F11" s="121"/>
      <c r="G11" s="121">
        <v>2156</v>
      </c>
      <c r="H11" s="121">
        <v>2252</v>
      </c>
      <c r="I11" s="121">
        <v>2270</v>
      </c>
      <c r="J11" s="121">
        <v>2228</v>
      </c>
      <c r="K11" s="121">
        <v>2322</v>
      </c>
      <c r="L11" s="121">
        <v>2491</v>
      </c>
      <c r="M11" s="121">
        <v>2712</v>
      </c>
      <c r="N11" s="122">
        <f>SUM(G12:L12)/SUM(G5:M5)</f>
        <v>1955.2056074766356</v>
      </c>
    </row>
    <row r="12" spans="1:15">
      <c r="A12" s="117" t="s">
        <v>162</v>
      </c>
      <c r="B12" s="121"/>
      <c r="C12" s="121"/>
      <c r="D12" s="121"/>
      <c r="E12" s="121"/>
      <c r="F12" s="121"/>
      <c r="G12" s="121">
        <f t="shared" ref="G12:M12" si="1">G11*G5</f>
        <v>1552320</v>
      </c>
      <c r="H12" s="121">
        <f t="shared" si="1"/>
        <v>1675488</v>
      </c>
      <c r="I12" s="121">
        <f t="shared" si="1"/>
        <v>1688880</v>
      </c>
      <c r="J12" s="121">
        <f t="shared" si="1"/>
        <v>1604160</v>
      </c>
      <c r="K12" s="121">
        <f t="shared" si="1"/>
        <v>1727568</v>
      </c>
      <c r="L12" s="121">
        <f t="shared" si="1"/>
        <v>1793520</v>
      </c>
      <c r="M12" s="121">
        <f t="shared" si="1"/>
        <v>2017728</v>
      </c>
      <c r="N12" s="123">
        <f>SUM(B12:M12)</f>
        <v>12059664</v>
      </c>
    </row>
    <row r="13" spans="1:15">
      <c r="N13" s="123">
        <f>+N10+N12</f>
        <v>20832744</v>
      </c>
    </row>
    <row r="14" spans="1:15">
      <c r="N14" s="123">
        <f>+N8-N13</f>
        <v>890280</v>
      </c>
      <c r="O14" s="117">
        <f>+N14/8760</f>
        <v>101.63013698630137</v>
      </c>
    </row>
    <row r="15" spans="1:15">
      <c r="A15" s="117" t="s">
        <v>163</v>
      </c>
      <c r="B15" s="124">
        <f>B9-B7</f>
        <v>-126</v>
      </c>
      <c r="C15" s="124">
        <f>C9-C7</f>
        <v>-146</v>
      </c>
      <c r="D15" s="124">
        <f>D9-D7</f>
        <v>-79</v>
      </c>
      <c r="E15" s="124">
        <f>E9-E7</f>
        <v>-137</v>
      </c>
      <c r="F15" s="124">
        <f>F9-F7</f>
        <v>-118</v>
      </c>
      <c r="G15" s="124">
        <f t="shared" ref="G15:M15" si="2">G11-G7</f>
        <v>-95</v>
      </c>
      <c r="H15" s="124">
        <f t="shared" si="2"/>
        <v>-39</v>
      </c>
      <c r="I15" s="124">
        <f t="shared" si="2"/>
        <v>-60</v>
      </c>
      <c r="J15" s="124">
        <f t="shared" si="2"/>
        <v>-87</v>
      </c>
      <c r="K15" s="124">
        <f t="shared" si="2"/>
        <v>-91</v>
      </c>
      <c r="L15" s="124">
        <f t="shared" si="2"/>
        <v>-123</v>
      </c>
      <c r="M15" s="124">
        <f t="shared" si="2"/>
        <v>-124</v>
      </c>
      <c r="N15" s="125"/>
      <c r="O15" s="132">
        <f>+O14/N7</f>
        <v>4.0983244321785031E-2</v>
      </c>
    </row>
    <row r="16" spans="1:15">
      <c r="A16" s="117" t="s">
        <v>164</v>
      </c>
      <c r="B16" s="124">
        <f t="shared" ref="B16:M16" si="3">B15*B5</f>
        <v>-93744</v>
      </c>
      <c r="C16" s="124">
        <f t="shared" si="3"/>
        <v>-98112</v>
      </c>
      <c r="D16" s="124">
        <f t="shared" si="3"/>
        <v>-58776</v>
      </c>
      <c r="E16" s="124">
        <f t="shared" si="3"/>
        <v>-98640</v>
      </c>
      <c r="F16" s="124">
        <f t="shared" si="3"/>
        <v>-87792</v>
      </c>
      <c r="G16" s="124">
        <f t="shared" si="3"/>
        <v>-68400</v>
      </c>
      <c r="H16" s="124">
        <f t="shared" si="3"/>
        <v>-29016</v>
      </c>
      <c r="I16" s="124">
        <f t="shared" si="3"/>
        <v>-44640</v>
      </c>
      <c r="J16" s="124">
        <f t="shared" si="3"/>
        <v>-62640</v>
      </c>
      <c r="K16" s="124">
        <f t="shared" si="3"/>
        <v>-67704</v>
      </c>
      <c r="L16" s="124">
        <f t="shared" si="3"/>
        <v>-88560</v>
      </c>
      <c r="M16" s="124">
        <f t="shared" si="3"/>
        <v>-92256</v>
      </c>
      <c r="N16" s="123">
        <f>SUM(B16:M16)</f>
        <v>-890280</v>
      </c>
    </row>
    <row r="17" spans="1:14">
      <c r="A17" s="117" t="s">
        <v>165</v>
      </c>
      <c r="B17" s="124">
        <f>B16/B5</f>
        <v>-126</v>
      </c>
      <c r="C17" s="124">
        <f>SUM($B$16:C16)/SUM($B$5:C5)</f>
        <v>-135.4915254237288</v>
      </c>
      <c r="D17" s="124">
        <f>SUM($B$16:D16)/SUM($B$5:D5)</f>
        <v>-116.03333333333333</v>
      </c>
      <c r="E17" s="124">
        <f>SUM($B$16:E16)/SUM($B$5:E5)</f>
        <v>-121.27500000000001</v>
      </c>
      <c r="F17" s="124">
        <f>SUM($B$16:F16)/SUM($B$5:F5)</f>
        <v>-120.60264900662251</v>
      </c>
      <c r="G17" s="124">
        <f>SUM($B$16:G16)/SUM($B$5:G5)</f>
        <v>-116.35911602209944</v>
      </c>
      <c r="H17" s="124">
        <f>SUM($B$16:H16)/SUM($B$5:H5)</f>
        <v>-105.04716981132076</v>
      </c>
      <c r="I17" s="124">
        <f>SUM($B$16:I16)/SUM($B$5:I5)</f>
        <v>-99.300411522633752</v>
      </c>
      <c r="J17" s="124">
        <f>SUM($B$16:J16)/SUM($B$5:J5)</f>
        <v>-97.948717948717942</v>
      </c>
      <c r="K17" s="124">
        <f>SUM($B$16:K16)/SUM($B$5:K5)</f>
        <v>-97.24013157894737</v>
      </c>
      <c r="L17" s="124">
        <f>SUM($B$16:L16)/SUM($B$5:L5)</f>
        <v>-99.553892215568865</v>
      </c>
      <c r="M17" s="124">
        <f>SUM($B$16:M16)/SUM($B$5:M5)</f>
        <v>-101.63013698630137</v>
      </c>
      <c r="N17" s="125"/>
    </row>
    <row r="18" spans="1:14">
      <c r="A18" s="117" t="s">
        <v>166</v>
      </c>
      <c r="B18" s="126">
        <f t="shared" ref="B18:M18" si="4">B15/B7</f>
        <v>-4.5389048991354465E-2</v>
      </c>
      <c r="C18" s="126">
        <f t="shared" si="4"/>
        <v>-5.3052325581395346E-2</v>
      </c>
      <c r="D18" s="126">
        <f t="shared" si="4"/>
        <v>-3.176517893043828E-2</v>
      </c>
      <c r="E18" s="126">
        <f t="shared" si="4"/>
        <v>-5.6332236842105261E-2</v>
      </c>
      <c r="F18" s="126">
        <f t="shared" si="4"/>
        <v>-5.1822573561704E-2</v>
      </c>
      <c r="G18" s="126">
        <f t="shared" si="4"/>
        <v>-4.2203465126610398E-2</v>
      </c>
      <c r="H18" s="126">
        <f t="shared" si="4"/>
        <v>-1.7023134002618942E-2</v>
      </c>
      <c r="I18" s="126">
        <f t="shared" si="4"/>
        <v>-2.575107296137339E-2</v>
      </c>
      <c r="J18" s="126">
        <f t="shared" si="4"/>
        <v>-3.7580993520518358E-2</v>
      </c>
      <c r="K18" s="126">
        <f t="shared" si="4"/>
        <v>-3.7712391214256111E-2</v>
      </c>
      <c r="L18" s="126">
        <f t="shared" si="4"/>
        <v>-4.7054322876817135E-2</v>
      </c>
      <c r="M18" s="126">
        <f t="shared" si="4"/>
        <v>-4.372355430183357E-2</v>
      </c>
      <c r="N18" s="126"/>
    </row>
    <row r="19" spans="1:14">
      <c r="A19" s="117" t="s">
        <v>167</v>
      </c>
      <c r="B19" s="126">
        <f>B16/B8</f>
        <v>-4.5389048991354465E-2</v>
      </c>
      <c r="C19" s="126">
        <f>SUM($B$16:C16)/SUM($B$8:C8)</f>
        <v>-4.900926970425229E-2</v>
      </c>
      <c r="D19" s="126">
        <f>SUM($B$16:D16)/SUM($B$8:D8)</f>
        <v>-4.34746408336074E-2</v>
      </c>
      <c r="E19" s="126">
        <f>SUM($B$16:E16)/SUM($B$8:E8)</f>
        <v>-4.6470116774010202E-2</v>
      </c>
      <c r="F19" s="126">
        <f>SUM($B$16:F16)/SUM($B$8:F8)</f>
        <v>-4.7454632631151045E-2</v>
      </c>
      <c r="G19" s="126">
        <f>SUM($B$16:G16)/SUM($B$8:G8)</f>
        <v>-4.6668853011172517E-2</v>
      </c>
      <c r="H19" s="126">
        <f>SUM($B$16:H16)/SUM($B$8:H8)</f>
        <v>-4.2637759019120938E-2</v>
      </c>
      <c r="I19" s="126">
        <f>SUM($B$16:I16)/SUM($B$8:I8)</f>
        <v>-4.0586204054583651E-2</v>
      </c>
      <c r="J19" s="126">
        <f>SUM($B$16:J16)/SUM($B$8:J8)</f>
        <v>-4.0271872792690219E-2</v>
      </c>
      <c r="K19" s="126">
        <f>SUM($B$16:K16)/SUM($B$8:K8)</f>
        <v>-4.0012723507356622E-2</v>
      </c>
      <c r="L19" s="126">
        <f>SUM($B$16:L16)/SUM($B$8:L8)</f>
        <v>-4.0688439935879395E-2</v>
      </c>
      <c r="M19" s="126">
        <f>SUM($B$16:M16)/SUM($B$8:M8)</f>
        <v>-4.0983244321785031E-2</v>
      </c>
    </row>
    <row r="20" spans="1:14"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 spans="1:14">
      <c r="A21" s="116" t="s">
        <v>168</v>
      </c>
    </row>
    <row r="23" spans="1:14">
      <c r="A23" s="116" t="s">
        <v>169</v>
      </c>
    </row>
    <row r="24" spans="1:14">
      <c r="A24" s="117" t="s">
        <v>170</v>
      </c>
      <c r="B24" s="127">
        <f>108.7-1</f>
        <v>107.7</v>
      </c>
      <c r="C24" s="127">
        <f>103.3-8.5</f>
        <v>94.8</v>
      </c>
      <c r="D24" s="127">
        <f>95.8-1.1</f>
        <v>94.7</v>
      </c>
      <c r="E24" s="127">
        <f>91.1-1.9</f>
        <v>89.199999999999989</v>
      </c>
      <c r="F24" s="127">
        <f>84.3+1.2</f>
        <v>85.5</v>
      </c>
      <c r="G24" s="127">
        <f>83.8-1.7</f>
        <v>82.1</v>
      </c>
      <c r="H24" s="127">
        <f>84.4+2.6</f>
        <v>87</v>
      </c>
      <c r="I24" s="127">
        <f>86.9+0.4</f>
        <v>87.300000000000011</v>
      </c>
      <c r="J24" s="127">
        <f>86.8-2.3</f>
        <v>84.5</v>
      </c>
      <c r="K24" s="127">
        <f>91.7+4.6</f>
        <v>96.3</v>
      </c>
      <c r="L24" s="127">
        <f>97.7+3.9</f>
        <v>101.60000000000001</v>
      </c>
      <c r="M24" s="127">
        <f>109.1+4.4</f>
        <v>113.5</v>
      </c>
      <c r="N24" s="127">
        <f>SUM(B24:M24)</f>
        <v>1124.1999999999998</v>
      </c>
    </row>
    <row r="25" spans="1:14">
      <c r="A25" s="117" t="s">
        <v>171</v>
      </c>
      <c r="B25" s="127">
        <f t="shared" ref="B25:N25" si="5">B24+B27</f>
        <v>104.6</v>
      </c>
      <c r="C25" s="127">
        <f t="shared" si="5"/>
        <v>91.9</v>
      </c>
      <c r="D25" s="127">
        <f t="shared" si="5"/>
        <v>91.8</v>
      </c>
      <c r="E25" s="127">
        <f t="shared" si="5"/>
        <v>86.4</v>
      </c>
      <c r="F25" s="127">
        <f t="shared" si="5"/>
        <v>82.8</v>
      </c>
      <c r="G25" s="127">
        <f t="shared" si="5"/>
        <v>80</v>
      </c>
      <c r="H25" s="127">
        <f t="shared" si="5"/>
        <v>83.1</v>
      </c>
      <c r="I25" s="127">
        <f t="shared" si="5"/>
        <v>83.7</v>
      </c>
      <c r="J25" s="127">
        <f t="shared" si="5"/>
        <v>81.2</v>
      </c>
      <c r="K25" s="127">
        <f t="shared" si="5"/>
        <v>92.6</v>
      </c>
      <c r="L25" s="127">
        <f t="shared" si="5"/>
        <v>97.6</v>
      </c>
      <c r="M25" s="127">
        <f t="shared" si="5"/>
        <v>109.3</v>
      </c>
      <c r="N25" s="127">
        <f t="shared" si="5"/>
        <v>1084.9999999999998</v>
      </c>
    </row>
    <row r="26" spans="1:14">
      <c r="A26" s="117" t="s">
        <v>172</v>
      </c>
      <c r="B26" s="127">
        <v>0</v>
      </c>
      <c r="C26" s="127">
        <v>0</v>
      </c>
      <c r="D26" s="127">
        <v>0</v>
      </c>
      <c r="E26" s="127">
        <v>0</v>
      </c>
      <c r="F26" s="127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31.2</v>
      </c>
      <c r="L26" s="127">
        <v>32.9</v>
      </c>
      <c r="M26" s="127">
        <v>36.700000000000003</v>
      </c>
      <c r="N26" s="127">
        <f>SUM(B26:M26)</f>
        <v>100.8</v>
      </c>
    </row>
    <row r="27" spans="1:14">
      <c r="A27" s="117" t="s">
        <v>173</v>
      </c>
      <c r="B27" s="127">
        <f t="shared" ref="B27:J27" si="6">B28-B24</f>
        <v>-3.1000000000000085</v>
      </c>
      <c r="C27" s="127">
        <f t="shared" si="6"/>
        <v>-2.8999999999999915</v>
      </c>
      <c r="D27" s="127">
        <f t="shared" si="6"/>
        <v>-2.9000000000000057</v>
      </c>
      <c r="E27" s="127">
        <f t="shared" si="6"/>
        <v>-2.7999999999999829</v>
      </c>
      <c r="F27" s="127">
        <f t="shared" si="6"/>
        <v>-2.7000000000000028</v>
      </c>
      <c r="G27" s="127">
        <f t="shared" si="6"/>
        <v>-2.0999999999999943</v>
      </c>
      <c r="H27" s="127">
        <f t="shared" si="6"/>
        <v>-3.9000000000000057</v>
      </c>
      <c r="I27" s="127">
        <f t="shared" si="6"/>
        <v>-3.6000000000000085</v>
      </c>
      <c r="J27" s="127">
        <f t="shared" si="6"/>
        <v>-3.2999999999999972</v>
      </c>
      <c r="K27" s="127">
        <f>92.6-K24</f>
        <v>-3.7000000000000028</v>
      </c>
      <c r="L27" s="127">
        <f>97.6-L24</f>
        <v>-4.0000000000000142</v>
      </c>
      <c r="M27" s="127">
        <f>109.3-M24</f>
        <v>-4.2000000000000028</v>
      </c>
      <c r="N27" s="127">
        <f>SUM(B27:M27)</f>
        <v>-39.200000000000017</v>
      </c>
    </row>
    <row r="28" spans="1:14">
      <c r="A28" s="117" t="s">
        <v>174</v>
      </c>
      <c r="B28" s="127">
        <f>104.6</f>
        <v>104.6</v>
      </c>
      <c r="C28" s="127">
        <f>91.9</f>
        <v>91.9</v>
      </c>
      <c r="D28" s="127">
        <f>91.8</f>
        <v>91.8</v>
      </c>
      <c r="E28" s="127">
        <f>86.4</f>
        <v>86.4</v>
      </c>
      <c r="F28" s="127">
        <f>82.8</f>
        <v>82.8</v>
      </c>
      <c r="G28" s="127">
        <f>80</f>
        <v>80</v>
      </c>
      <c r="H28" s="127">
        <f>83.1</f>
        <v>83.1</v>
      </c>
      <c r="I28" s="127">
        <f>83.7</f>
        <v>83.7</v>
      </c>
      <c r="J28" s="127">
        <f>81.2</f>
        <v>81.2</v>
      </c>
      <c r="K28" s="127">
        <f>92.6+31.2</f>
        <v>123.8</v>
      </c>
      <c r="L28" s="127">
        <f>97.6+32.9</f>
        <v>130.5</v>
      </c>
      <c r="M28" s="127">
        <f>109.3+36.7</f>
        <v>146</v>
      </c>
      <c r="N28" s="127">
        <f>SUM(B28:M28)</f>
        <v>1185.8000000000002</v>
      </c>
    </row>
    <row r="29" spans="1:14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 spans="1:14">
      <c r="A30" s="116" t="s">
        <v>175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 spans="1:14">
      <c r="A31" s="117" t="s">
        <v>171</v>
      </c>
      <c r="B31" s="127">
        <v>96.9</v>
      </c>
      <c r="C31" s="127">
        <v>88.7</v>
      </c>
      <c r="D31" s="127">
        <v>90.1</v>
      </c>
      <c r="E31" s="127">
        <v>80.3</v>
      </c>
      <c r="F31" s="127">
        <v>80.900000000000006</v>
      </c>
      <c r="G31" s="127">
        <v>76.099999999999994</v>
      </c>
      <c r="H31" s="127">
        <v>81.7</v>
      </c>
      <c r="I31" s="127">
        <v>82</v>
      </c>
      <c r="J31" s="127">
        <v>85.2</v>
      </c>
      <c r="K31" s="127">
        <f>117.8-K32</f>
        <v>86.1</v>
      </c>
      <c r="L31" s="127">
        <f>122.8-L32</f>
        <v>89.4</v>
      </c>
      <c r="M31" s="127">
        <f>137.2-M32</f>
        <v>99.899999999999991</v>
      </c>
      <c r="N31" s="127">
        <f>SUM(B31:M31)</f>
        <v>1037.3000000000002</v>
      </c>
    </row>
    <row r="32" spans="1:14">
      <c r="A32" s="117" t="s">
        <v>172</v>
      </c>
      <c r="B32" s="127">
        <v>0</v>
      </c>
      <c r="C32" s="127">
        <v>0</v>
      </c>
      <c r="D32" s="127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31.7</v>
      </c>
      <c r="L32" s="127">
        <v>33.4</v>
      </c>
      <c r="M32" s="127">
        <v>37.299999999999997</v>
      </c>
      <c r="N32" s="127">
        <f>SUM(B32:M32)</f>
        <v>102.39999999999999</v>
      </c>
    </row>
    <row r="33" spans="1:14">
      <c r="A33" s="117" t="s">
        <v>176</v>
      </c>
      <c r="B33" s="127">
        <f t="shared" ref="B33:N33" si="7">SUM(B31:B32)</f>
        <v>96.9</v>
      </c>
      <c r="C33" s="127">
        <f t="shared" si="7"/>
        <v>88.7</v>
      </c>
      <c r="D33" s="127">
        <f t="shared" si="7"/>
        <v>90.1</v>
      </c>
      <c r="E33" s="127">
        <f t="shared" si="7"/>
        <v>80.3</v>
      </c>
      <c r="F33" s="127">
        <f t="shared" si="7"/>
        <v>80.900000000000006</v>
      </c>
      <c r="G33" s="127">
        <f t="shared" si="7"/>
        <v>76.099999999999994</v>
      </c>
      <c r="H33" s="127">
        <f t="shared" si="7"/>
        <v>81.7</v>
      </c>
      <c r="I33" s="127">
        <f t="shared" si="7"/>
        <v>82</v>
      </c>
      <c r="J33" s="127">
        <f t="shared" si="7"/>
        <v>85.2</v>
      </c>
      <c r="K33" s="127">
        <f t="shared" si="7"/>
        <v>117.8</v>
      </c>
      <c r="L33" s="127">
        <f t="shared" si="7"/>
        <v>122.80000000000001</v>
      </c>
      <c r="M33" s="127">
        <f t="shared" si="7"/>
        <v>137.19999999999999</v>
      </c>
      <c r="N33" s="127">
        <f t="shared" si="7"/>
        <v>1139.7000000000003</v>
      </c>
    </row>
    <row r="34" spans="1:14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 spans="1:14">
      <c r="A35" s="117" t="s">
        <v>177</v>
      </c>
      <c r="B35" s="128">
        <f t="shared" ref="B35:M35" si="8">B33-B28</f>
        <v>-7.6999999999999886</v>
      </c>
      <c r="C35" s="128">
        <f t="shared" si="8"/>
        <v>-3.2000000000000028</v>
      </c>
      <c r="D35" s="128">
        <f t="shared" si="8"/>
        <v>-1.7000000000000028</v>
      </c>
      <c r="E35" s="128">
        <f t="shared" si="8"/>
        <v>-6.1000000000000085</v>
      </c>
      <c r="F35" s="128">
        <f t="shared" si="8"/>
        <v>-1.8999999999999915</v>
      </c>
      <c r="G35" s="128">
        <f t="shared" si="8"/>
        <v>-3.9000000000000057</v>
      </c>
      <c r="H35" s="128">
        <f t="shared" si="8"/>
        <v>-1.3999999999999915</v>
      </c>
      <c r="I35" s="128">
        <f t="shared" si="8"/>
        <v>-1.7000000000000028</v>
      </c>
      <c r="J35" s="128">
        <f t="shared" si="8"/>
        <v>4</v>
      </c>
      <c r="K35" s="128">
        <f t="shared" si="8"/>
        <v>-6</v>
      </c>
      <c r="L35" s="128">
        <f t="shared" si="8"/>
        <v>-7.6999999999999886</v>
      </c>
      <c r="M35" s="128">
        <f t="shared" si="8"/>
        <v>-8.8000000000000114</v>
      </c>
      <c r="N35" s="128">
        <f>SUM(B35:M35)</f>
        <v>-46.099999999999994</v>
      </c>
    </row>
    <row r="36" spans="1:14">
      <c r="A36" s="117" t="s">
        <v>165</v>
      </c>
      <c r="B36" s="128">
        <f>B35</f>
        <v>-7.6999999999999886</v>
      </c>
      <c r="C36" s="128">
        <f>SUM($B$35:C35)</f>
        <v>-10.899999999999991</v>
      </c>
      <c r="D36" s="128">
        <f>SUM($B$35:D35)</f>
        <v>-12.599999999999994</v>
      </c>
      <c r="E36" s="128">
        <f>SUM($B$35:E35)</f>
        <v>-18.700000000000003</v>
      </c>
      <c r="F36" s="128">
        <f>SUM($B$35:F35)</f>
        <v>-20.599999999999994</v>
      </c>
      <c r="G36" s="128">
        <f>SUM($B$35:G35)</f>
        <v>-24.5</v>
      </c>
      <c r="H36" s="128">
        <f>SUM($B$35:H35)</f>
        <v>-25.899999999999991</v>
      </c>
      <c r="I36" s="128">
        <f>SUM($B$35:I35)</f>
        <v>-27.599999999999994</v>
      </c>
      <c r="J36" s="128">
        <f>SUM($B$35:J35)</f>
        <v>-23.599999999999994</v>
      </c>
      <c r="K36" s="128">
        <f>SUM($B$35:K35)</f>
        <v>-29.599999999999994</v>
      </c>
      <c r="L36" s="128">
        <f>SUM($B$35:L35)</f>
        <v>-37.299999999999983</v>
      </c>
      <c r="M36" s="128">
        <f>SUM($B$35:M35)</f>
        <v>-46.099999999999994</v>
      </c>
    </row>
    <row r="37" spans="1:14">
      <c r="A37" s="117" t="s">
        <v>166</v>
      </c>
      <c r="B37" s="126">
        <f t="shared" ref="B37:M37" si="9">B35/B25</f>
        <v>-7.3613766730401431E-2</v>
      </c>
      <c r="C37" s="126">
        <f t="shared" si="9"/>
        <v>-3.4820457018498396E-2</v>
      </c>
      <c r="D37" s="126">
        <f t="shared" si="9"/>
        <v>-1.8518518518518549E-2</v>
      </c>
      <c r="E37" s="126">
        <f t="shared" si="9"/>
        <v>-7.0601851851851943E-2</v>
      </c>
      <c r="F37" s="126">
        <f t="shared" si="9"/>
        <v>-2.294685990338154E-2</v>
      </c>
      <c r="G37" s="126">
        <f t="shared" si="9"/>
        <v>-4.8750000000000071E-2</v>
      </c>
      <c r="H37" s="126">
        <f t="shared" si="9"/>
        <v>-1.684717208182902E-2</v>
      </c>
      <c r="I37" s="126">
        <f t="shared" si="9"/>
        <v>-2.0310633213859054E-2</v>
      </c>
      <c r="J37" s="126">
        <f t="shared" si="9"/>
        <v>4.926108374384236E-2</v>
      </c>
      <c r="K37" s="126">
        <f t="shared" si="9"/>
        <v>-6.4794816414686832E-2</v>
      </c>
      <c r="L37" s="126">
        <f t="shared" si="9"/>
        <v>-7.8893442622950713E-2</v>
      </c>
      <c r="M37" s="126">
        <f t="shared" si="9"/>
        <v>-8.0512351326624071E-2</v>
      </c>
    </row>
    <row r="38" spans="1:14">
      <c r="A38" s="117" t="s">
        <v>167</v>
      </c>
      <c r="B38" s="126">
        <f>B36/B25</f>
        <v>-7.3613766730401431E-2</v>
      </c>
      <c r="C38" s="126">
        <f>C36/SUM($B$25:C25)</f>
        <v>-5.547073791348596E-2</v>
      </c>
      <c r="D38" s="126">
        <f>D36/SUM($B$25:D25)</f>
        <v>-4.3704474505723186E-2</v>
      </c>
      <c r="E38" s="126">
        <f>E36/SUM($B$25:E25)</f>
        <v>-4.990659194021884E-2</v>
      </c>
      <c r="F38" s="126">
        <f>F36/SUM($B$25:F25)</f>
        <v>-4.5027322404371566E-2</v>
      </c>
      <c r="G38" s="126">
        <f>G36/SUM($B$25:G25)</f>
        <v>-4.5581395348837206E-2</v>
      </c>
      <c r="H38" s="126">
        <f>H36/SUM($B$25:H25)</f>
        <v>-4.1733805994199145E-2</v>
      </c>
      <c r="I38" s="126">
        <f>I36/SUM($B$25:I25)</f>
        <v>-3.9187846088314625E-2</v>
      </c>
      <c r="J38" s="126">
        <f>J36/SUM($B$25:J25)</f>
        <v>-3.0044557606619976E-2</v>
      </c>
      <c r="K38" s="126">
        <f>K36/SUM($B$25:K25)</f>
        <v>-3.3709144744334348E-2</v>
      </c>
      <c r="L38" s="126">
        <f>L36/SUM($B$25:L25)</f>
        <v>-3.8228963820846548E-2</v>
      </c>
      <c r="M38" s="126">
        <f>M36/SUM($B$25:M25)</f>
        <v>-4.2488479262672796E-2</v>
      </c>
    </row>
    <row r="39" spans="1:14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</row>
    <row r="40" spans="1:14">
      <c r="A40" s="116" t="s">
        <v>178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</row>
    <row r="41" spans="1:14">
      <c r="A41" s="117" t="s">
        <v>179</v>
      </c>
      <c r="B41" s="129">
        <v>6.2</v>
      </c>
      <c r="C41" s="130">
        <f>B41/N25</f>
        <v>5.714285714285716E-3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</row>
    <row r="42" spans="1:14">
      <c r="A42" s="117" t="s">
        <v>180</v>
      </c>
      <c r="B42" s="121">
        <f>(B41*1000000)/(0.05*1000)</f>
        <v>124000</v>
      </c>
      <c r="C42" s="130">
        <f>B42/SUM(B8:M8)</f>
        <v>5.7082292041844632E-3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</row>
    <row r="43" spans="1:14">
      <c r="A43" s="116"/>
      <c r="B43" s="131"/>
      <c r="C43" s="131"/>
      <c r="D43" s="131"/>
      <c r="E43" s="126"/>
      <c r="F43" s="126"/>
      <c r="G43" s="126"/>
      <c r="H43" s="126"/>
      <c r="I43" s="126"/>
      <c r="J43" s="126"/>
      <c r="K43" s="126"/>
      <c r="L43" s="126"/>
      <c r="M43" s="126"/>
    </row>
    <row r="45" spans="1:14">
      <c r="A45" s="117" t="s">
        <v>181</v>
      </c>
    </row>
    <row r="46" spans="1:14">
      <c r="A46" s="117" t="s">
        <v>182</v>
      </c>
    </row>
    <row r="47" spans="1:14">
      <c r="A47" s="117" t="s">
        <v>183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Summary</vt:lpstr>
      <vt:lpstr>June 19 Power Cost Forecast</vt:lpstr>
      <vt:lpstr>June 19 deferral</vt:lpstr>
      <vt:lpstr>Budget Deferral</vt:lpstr>
      <vt:lpstr>June 7 Power Cost Forecast</vt:lpstr>
      <vt:lpstr>June 7 deferral</vt:lpstr>
      <vt:lpstr>May 8 Power Cost Forecast</vt:lpstr>
      <vt:lpstr>May 8 deferral</vt:lpstr>
      <vt:lpstr>Loads &amp; Revenues</vt:lpstr>
      <vt:lpstr>Sheet2</vt:lpstr>
      <vt:lpstr>Sheet3</vt:lpstr>
      <vt:lpstr>Chart1</vt:lpstr>
      <vt:lpstr>'Budget Deferral'!Print_Area</vt:lpstr>
      <vt:lpstr>'June 19 deferral'!Print_Area</vt:lpstr>
      <vt:lpstr>'June 7 deferral'!Print_Area</vt:lpstr>
      <vt:lpstr>'May 8 deferral'!Print_Area</vt:lpstr>
      <vt:lpstr>Summary!Print_Area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Piro</dc:creator>
  <cp:lastModifiedBy>Jan Havlíček</cp:lastModifiedBy>
  <cp:lastPrinted>2001-06-27T14:35:19Z</cp:lastPrinted>
  <dcterms:created xsi:type="dcterms:W3CDTF">2001-06-11T21:21:25Z</dcterms:created>
  <dcterms:modified xsi:type="dcterms:W3CDTF">2023-09-14T18:35:11Z</dcterms:modified>
</cp:coreProperties>
</file>