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5E1682-104D-48E3-987F-F719F48E734A}" xr6:coauthVersionLast="47" xr6:coauthVersionMax="47" xr10:uidLastSave="{00000000-0000-0000-0000-000000000000}"/>
  <bookViews>
    <workbookView xWindow="-120" yWindow="-120" windowWidth="38640" windowHeight="15720"/>
  </bookViews>
  <sheets>
    <sheet name="By Organization-rev. Apr 4" sheetId="4" r:id="rId1"/>
  </sheets>
  <definedNames>
    <definedName name="_xlnm.Print_Titles" localSheetId="0">'By Organization-rev. Apr 4'!$1:$4</definedName>
  </definedNames>
  <calcPr calcId="0" fullCalcOnLoad="1"/>
</workbook>
</file>

<file path=xl/calcChain.xml><?xml version="1.0" encoding="utf-8"?>
<calcChain xmlns="http://schemas.openxmlformats.org/spreadsheetml/2006/main">
  <c r="W6" i="4" l="1"/>
  <c r="K7" i="4"/>
  <c r="L7" i="4"/>
  <c r="M7" i="4"/>
  <c r="N7" i="4"/>
  <c r="O7" i="4"/>
  <c r="P7" i="4"/>
  <c r="Q7" i="4"/>
  <c r="R7" i="4"/>
  <c r="S7" i="4"/>
  <c r="T7" i="4"/>
  <c r="U7" i="4"/>
  <c r="V7" i="4"/>
  <c r="W7" i="4"/>
  <c r="W10" i="4"/>
  <c r="I11" i="4"/>
  <c r="J11" i="4"/>
  <c r="W11" i="4"/>
  <c r="W12" i="4"/>
  <c r="I13" i="4"/>
  <c r="J13" i="4"/>
  <c r="M13" i="4"/>
  <c r="N13" i="4"/>
  <c r="O13" i="4"/>
  <c r="P13" i="4"/>
  <c r="Q13" i="4"/>
  <c r="R13" i="4"/>
  <c r="S13" i="4"/>
  <c r="T13" i="4"/>
  <c r="U13" i="4"/>
  <c r="V13" i="4"/>
  <c r="W13" i="4"/>
  <c r="I14" i="4"/>
  <c r="J14" i="4"/>
  <c r="W14" i="4"/>
  <c r="I15" i="4"/>
  <c r="J15" i="4"/>
  <c r="M15" i="4"/>
  <c r="N15" i="4"/>
  <c r="O15" i="4"/>
  <c r="P15" i="4"/>
  <c r="Q15" i="4"/>
  <c r="R15" i="4"/>
  <c r="S15" i="4"/>
  <c r="T15" i="4"/>
  <c r="U15" i="4"/>
  <c r="V15" i="4"/>
  <c r="W15" i="4"/>
  <c r="L16" i="4"/>
  <c r="W16" i="4"/>
  <c r="W17" i="4"/>
  <c r="I18" i="4"/>
  <c r="J18" i="4"/>
  <c r="W18" i="4"/>
  <c r="L19" i="4"/>
  <c r="W19" i="4"/>
  <c r="M20" i="4"/>
  <c r="W20" i="4"/>
  <c r="M21" i="4"/>
  <c r="W21" i="4"/>
  <c r="I22" i="4"/>
  <c r="J22" i="4"/>
  <c r="W22" i="4"/>
  <c r="I23" i="4"/>
  <c r="J23" i="4"/>
  <c r="L23" i="4"/>
  <c r="W23" i="4"/>
  <c r="I24" i="4"/>
  <c r="J24" i="4"/>
  <c r="W24" i="4"/>
  <c r="M25" i="4"/>
  <c r="W25" i="4"/>
  <c r="L26" i="4"/>
  <c r="W26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L30" i="4"/>
  <c r="W30" i="4"/>
  <c r="W31" i="4"/>
  <c r="L32" i="4"/>
  <c r="W32" i="4"/>
  <c r="W33" i="4"/>
  <c r="W34" i="4"/>
  <c r="L35" i="4"/>
  <c r="W35" i="4"/>
  <c r="I36" i="4"/>
  <c r="J36" i="4"/>
  <c r="W36" i="4"/>
  <c r="W37" i="4"/>
  <c r="I38" i="4"/>
  <c r="J38" i="4"/>
  <c r="W38" i="4"/>
  <c r="W39" i="4"/>
  <c r="W40" i="4"/>
  <c r="I41" i="4"/>
  <c r="J41" i="4"/>
  <c r="W41" i="4"/>
  <c r="W42" i="4"/>
  <c r="W43" i="4"/>
  <c r="M44" i="4"/>
  <c r="W44" i="4"/>
  <c r="L45" i="4"/>
  <c r="W45" i="4"/>
  <c r="I46" i="4"/>
  <c r="J46" i="4"/>
  <c r="W46" i="4"/>
  <c r="L47" i="4"/>
  <c r="W47" i="4"/>
  <c r="I48" i="4"/>
  <c r="J48" i="4"/>
  <c r="W48" i="4"/>
  <c r="W49" i="4"/>
  <c r="M50" i="4"/>
  <c r="W50" i="4"/>
  <c r="I51" i="4"/>
  <c r="J51" i="4"/>
  <c r="W51" i="4"/>
  <c r="W52" i="4"/>
  <c r="W53" i="4"/>
  <c r="L54" i="4"/>
  <c r="W54" i="4"/>
  <c r="L55" i="4"/>
  <c r="W55" i="4"/>
  <c r="W56" i="4"/>
  <c r="W57" i="4"/>
  <c r="I58" i="4"/>
  <c r="J58" i="4"/>
  <c r="W58" i="4"/>
  <c r="W59" i="4"/>
  <c r="M60" i="4"/>
  <c r="W60" i="4"/>
  <c r="L61" i="4"/>
  <c r="W61" i="4"/>
  <c r="K62" i="4"/>
  <c r="W62" i="4"/>
  <c r="W63" i="4"/>
  <c r="M64" i="4"/>
  <c r="W64" i="4"/>
  <c r="L65" i="4"/>
  <c r="W65" i="4"/>
  <c r="I66" i="4"/>
  <c r="J66" i="4"/>
  <c r="W66" i="4"/>
  <c r="W67" i="4"/>
  <c r="M68" i="4"/>
  <c r="W68" i="4"/>
  <c r="L69" i="4"/>
  <c r="W69" i="4"/>
  <c r="W70" i="4"/>
  <c r="W71" i="4"/>
  <c r="L72" i="4"/>
  <c r="W72" i="4"/>
  <c r="I73" i="4"/>
  <c r="J73" i="4"/>
  <c r="W73" i="4"/>
  <c r="W74" i="4"/>
  <c r="W75" i="4"/>
  <c r="W76" i="4"/>
  <c r="M77" i="4"/>
  <c r="W77" i="4"/>
  <c r="W78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W82" i="4"/>
  <c r="L83" i="4"/>
  <c r="W83" i="4"/>
  <c r="M84" i="4"/>
  <c r="W84" i="4"/>
  <c r="L85" i="4"/>
  <c r="W85" i="4"/>
  <c r="I86" i="4"/>
  <c r="J86" i="4"/>
  <c r="L86" i="4"/>
  <c r="W86" i="4"/>
  <c r="I87" i="4"/>
  <c r="J87" i="4"/>
  <c r="W87" i="4"/>
  <c r="I88" i="4"/>
  <c r="J88" i="4"/>
  <c r="W88" i="4"/>
  <c r="I89" i="4"/>
  <c r="J89" i="4"/>
  <c r="W89" i="4"/>
  <c r="L90" i="4"/>
  <c r="W90" i="4"/>
  <c r="L91" i="4"/>
  <c r="W91" i="4"/>
  <c r="W92" i="4"/>
  <c r="W93" i="4"/>
  <c r="W94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K100" i="4"/>
  <c r="W101" i="4"/>
  <c r="C104" i="4"/>
  <c r="D104" i="4"/>
  <c r="C105" i="4"/>
  <c r="D105" i="4"/>
  <c r="C106" i="4"/>
  <c r="D106" i="4"/>
  <c r="C107" i="4"/>
  <c r="D107" i="4"/>
  <c r="C108" i="4"/>
  <c r="D108" i="4"/>
  <c r="C109" i="4"/>
  <c r="D109" i="4"/>
</calcChain>
</file>

<file path=xl/sharedStrings.xml><?xml version="1.0" encoding="utf-8"?>
<sst xmlns="http://schemas.openxmlformats.org/spreadsheetml/2006/main" count="293" uniqueCount="127">
  <si>
    <t>Monthly Analysis of EOTT Redeployment</t>
  </si>
  <si>
    <t>New Salary</t>
  </si>
  <si>
    <t>Employee</t>
  </si>
  <si>
    <t>Action</t>
  </si>
  <si>
    <t>Co. #</t>
  </si>
  <si>
    <t>Area</t>
  </si>
  <si>
    <t>Cost Ctr</t>
  </si>
  <si>
    <t>Effect Date</t>
  </si>
  <si>
    <t>New Sal</t>
  </si>
  <si>
    <t>Ben/Tax</t>
  </si>
  <si>
    <t>Ben &amp; Tax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</si>
  <si>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</si>
  <si>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</si>
  <si>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</si>
  <si>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</si>
  <si>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</si>
  <si>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</si>
  <si>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</si>
  <si>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</si>
  <si>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</si>
  <si>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</si>
  <si>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</si>
  <si>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</si>
  <si>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</si>
  <si>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Pilcher, Doug</t>
  </si>
  <si>
    <t>To</t>
  </si>
  <si>
    <t>Miller, Michael R.</t>
  </si>
  <si>
    <t>Kirkpatrick, Mark</t>
  </si>
  <si>
    <t>North</t>
  </si>
  <si>
    <t>Whaley, Paul</t>
  </si>
  <si>
    <t>LeBlanc, Mike</t>
  </si>
  <si>
    <t>Brittain, James</t>
  </si>
  <si>
    <t>Dodson, Donald</t>
  </si>
  <si>
    <t>Hammer, Douglas</t>
  </si>
  <si>
    <t>Aswell, Charles</t>
  </si>
  <si>
    <t>Thomason, Scott</t>
  </si>
  <si>
    <t>Buckman, Roger</t>
  </si>
  <si>
    <t>Claburn, Mike</t>
  </si>
  <si>
    <t>Allen, Randy</t>
  </si>
  <si>
    <t>Steele, Robert</t>
  </si>
  <si>
    <t>Gibson, Renae</t>
  </si>
  <si>
    <t>Terminated</t>
  </si>
  <si>
    <t>Ops Gov</t>
  </si>
  <si>
    <t>Fuller, Gary</t>
  </si>
  <si>
    <t>Transfer</t>
  </si>
  <si>
    <t>@</t>
  </si>
  <si>
    <t>Sides, Mark</t>
  </si>
  <si>
    <t>Hannaford, Steve</t>
  </si>
  <si>
    <t>SE</t>
  </si>
  <si>
    <t>Hoag, Jody</t>
  </si>
  <si>
    <t>Cline, Andrew</t>
  </si>
  <si>
    <t>Schmitt, Deric</t>
  </si>
  <si>
    <t>Whitfill, Joey</t>
  </si>
  <si>
    <t>Gillean, Billy Ray</t>
  </si>
  <si>
    <t>Scaggs, Terry</t>
  </si>
  <si>
    <t>Harrison, James</t>
  </si>
  <si>
    <t>Butler, Eric</t>
  </si>
  <si>
    <t>Mullen, William</t>
  </si>
  <si>
    <t>Barnes, Robert</t>
  </si>
  <si>
    <t>Fraley, Harold</t>
  </si>
  <si>
    <t>SW</t>
  </si>
  <si>
    <t>Martin, Brett</t>
  </si>
  <si>
    <t>Ortega, Armando</t>
  </si>
  <si>
    <t>Stewart, William</t>
  </si>
  <si>
    <t>Spires, JJ</t>
  </si>
  <si>
    <t>Waldrop, Glenn</t>
  </si>
  <si>
    <t>Baird, Bill</t>
  </si>
  <si>
    <t>Lane, Larry</t>
  </si>
  <si>
    <t>Maier, Terry</t>
  </si>
  <si>
    <t>Phillips, Paul</t>
  </si>
  <si>
    <t>Killman, Eric</t>
  </si>
  <si>
    <t>Rich, Steve</t>
  </si>
  <si>
    <t>Small, James</t>
  </si>
  <si>
    <t>Beatty, Sam</t>
  </si>
  <si>
    <t>Willis, James</t>
  </si>
  <si>
    <t>Streety, James</t>
  </si>
  <si>
    <t>Hoffman, Jimmy</t>
  </si>
  <si>
    <t>Ornelas, Eddie</t>
  </si>
  <si>
    <t>Blackwood, Bobby</t>
  </si>
  <si>
    <t>Davis, Wilburn</t>
  </si>
  <si>
    <t>Mauldin, Donald</t>
  </si>
  <si>
    <t>Ramsland, Roy</t>
  </si>
  <si>
    <t>Layshot, Clark</t>
  </si>
  <si>
    <t>Watkins, Eddie</t>
  </si>
  <si>
    <t>Combs, Paul</t>
  </si>
  <si>
    <t>Presgrove, Cody</t>
  </si>
  <si>
    <t>Note:  @ indicates old salary;</t>
  </si>
  <si>
    <t xml:space="preserve">     Claburn, Mike</t>
  </si>
  <si>
    <t xml:space="preserve">     Dodson, Donald</t>
  </si>
  <si>
    <t xml:space="preserve">     Miller, Michael</t>
  </si>
  <si>
    <t xml:space="preserve">     Whaley, Paul</t>
  </si>
  <si>
    <t xml:space="preserve">     Rich, Steve</t>
  </si>
  <si>
    <t>Esthay, Randall</t>
  </si>
  <si>
    <t>Broome, Jeff</t>
  </si>
  <si>
    <t>Henderson, Kevin</t>
  </si>
  <si>
    <t>Phillips, Vince</t>
  </si>
  <si>
    <t>Clark, Scott</t>
  </si>
  <si>
    <t xml:space="preserve">     Mullen, William</t>
  </si>
  <si>
    <t>SW-Meas.</t>
  </si>
  <si>
    <t>SW-Corr.</t>
  </si>
  <si>
    <t>SE-Corr.</t>
  </si>
  <si>
    <t>SE-Meas.</t>
  </si>
  <si>
    <t>SW-C&amp;E</t>
  </si>
  <si>
    <t>Meyer, Greg</t>
  </si>
  <si>
    <t>By Organizaton (1195 Only)</t>
  </si>
  <si>
    <t>North Area</t>
  </si>
  <si>
    <t>SE Area</t>
  </si>
  <si>
    <t>Net North Area - Co. 1195</t>
  </si>
  <si>
    <t>Net SE Area - Co. 1195</t>
  </si>
  <si>
    <t>SW Area</t>
  </si>
  <si>
    <t>Net SW Area - Co. 1195</t>
  </si>
  <si>
    <t>Other</t>
  </si>
  <si>
    <t>Net Other - Co. 1195</t>
  </si>
  <si>
    <t>Net Total - Company 1195</t>
  </si>
  <si>
    <t>Brunette, Wayne</t>
  </si>
  <si>
    <t>Kilser, Ken</t>
  </si>
  <si>
    <t>Hernandez, Frank</t>
  </si>
  <si>
    <t>SW-Environ</t>
  </si>
  <si>
    <t xml:space="preserve"> </t>
  </si>
  <si>
    <t>Net Present Value</t>
  </si>
  <si>
    <t>Elizondo, Benny</t>
  </si>
  <si>
    <t>Flores, Alfred</t>
  </si>
  <si>
    <t>Cook, Mike</t>
  </si>
  <si>
    <t>Grier, Fred</t>
  </si>
  <si>
    <t>Miranda, Charlie</t>
  </si>
  <si>
    <t>Schoenhals, Barry</t>
  </si>
  <si>
    <t>Tucker, George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</si>
</sst>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000"/>
  </numFmts>
  <fonts count="7" x14ac:knownFonts="1">
    <font>
      <sz val="10"/>
      <name val="Arial"/>
    </font>
    <font>
      <sz val="10"/>
      <name val="Arial"/>
    </font>
    <font>
      <sz val="8"/>
      <name val="Times New Roman"/>
      <family val="1"/>
    </font>
    <font>
      <u/>
      <sz val="8"/>
      <name val="Times New Roman"/>
      <family val="1"/>
    </font>
    <font>
      <b/>
      <sz val="8"/>
      <name val="Times New Roman"/>
      <family val="1"/>
    </font>
    <font>
      <b/>
      <u/>
      <sz val="8"/>
      <name val="Times New Roman"/>
      <family val="1"/>
    </font>
    <font>
      <sz val="8"/>
      <color indexed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Fill="1" applyBorder="1"/>
    <xf numFmtId="164" fontId="2" fillId="0" borderId="0" xfId="1" applyNumberFormat="1" applyFont="1" applyFill="1" applyBorder="1"/>
    <xf numFmtId="14" fontId="2" fillId="0" borderId="0" xfId="0" applyNumberFormat="1" applyFont="1" applyFill="1" applyBorder="1"/>
    <xf numFmtId="0" fontId="2" fillId="0" borderId="0" xfId="0" applyFont="1" applyAlignment="1">
      <alignment horizontal="center"/>
    </xf>
    <xf numFmtId="37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5" fillId="0" borderId="0" xfId="0" applyFont="1" applyBorder="1"/>
    <xf numFmtId="0" fontId="5" fillId="0" borderId="0" xfId="0" applyFont="1" applyFill="1" applyBorder="1"/>
    <xf numFmtId="37" fontId="2" fillId="0" borderId="1" xfId="0" applyNumberFormat="1" applyFont="1" applyBorder="1"/>
    <xf numFmtId="164" fontId="2" fillId="0" borderId="2" xfId="0" applyNumberFormat="1" applyFont="1" applyBorder="1"/>
    <xf numFmtId="37" fontId="2" fillId="0" borderId="2" xfId="0" applyNumberFormat="1" applyFont="1" applyBorder="1"/>
    <xf numFmtId="0" fontId="6" fillId="0" borderId="0" xfId="0" applyFont="1" applyFill="1" applyBorder="1"/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Fill="1" applyBorder="1"/>
    <xf numFmtId="164" fontId="6" fillId="0" borderId="0" xfId="1" applyNumberFormat="1" applyFont="1" applyFill="1" applyBorder="1"/>
    <xf numFmtId="37" fontId="6" fillId="0" borderId="0" xfId="0" applyNumberFormat="1" applyFont="1"/>
    <xf numFmtId="0" fontId="6" fillId="0" borderId="0" xfId="0" applyFont="1"/>
    <xf numFmtId="0" fontId="6" fillId="0" borderId="0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abSelected="1" workbookViewId="0">
      <selection activeCell="A3" sqref="A3"/>
    </sheetView>
  </sheetViews>
  <sheetFormatPr defaultRowHeight="11.25" x14ac:dyDescent="0.2"/>
  <cols>
    <col min="1" max="1" width="14.140625" style="1" customWidth="1"/>
    <col min="2" max="2" width="8.7109375" style="1" bestFit="1" customWidth="1"/>
    <col min="3" max="3" width="5.42578125" style="7" bestFit="1" customWidth="1"/>
    <col min="4" max="4" width="15" style="7" customWidth="1"/>
    <col min="5" max="5" width="6.7109375" style="7" customWidth="1"/>
    <col min="6" max="6" width="8.7109375" style="1" customWidth="1"/>
    <col min="7" max="7" width="2.7109375" style="1" hidden="1" customWidth="1"/>
    <col min="8" max="9" width="7.7109375" style="1" hidden="1" customWidth="1"/>
    <col min="10" max="10" width="7.7109375" style="1" customWidth="1"/>
    <col min="11" max="11" width="9" style="1" bestFit="1" customWidth="1"/>
    <col min="12" max="12" width="7.7109375" style="1" bestFit="1" customWidth="1"/>
    <col min="13" max="18" width="8.28515625" style="1" customWidth="1"/>
    <col min="19" max="19" width="9" style="1" customWidth="1"/>
    <col min="20" max="22" width="8.28515625" style="1" customWidth="1"/>
    <col min="23" max="23" width="9.5703125" style="1" customWidth="1"/>
    <col min="24" max="16384" width="9.140625" style="1"/>
  </cols>
  <sheetData>
    <row r="1" spans="1:23" s="12" customFormat="1" ht="10.5" x14ac:dyDescent="0.15">
      <c r="A1" s="12" t="s">
        <v>0</v>
      </c>
      <c r="C1" s="13"/>
      <c r="D1" s="13"/>
      <c r="E1" s="13"/>
    </row>
    <row r="2" spans="1:23" s="12" customFormat="1" ht="10.5" x14ac:dyDescent="0.15">
      <c r="A2" s="12" t="s">
        <v>104</v>
      </c>
      <c r="C2" s="13"/>
      <c r="D2" s="13"/>
      <c r="E2" s="13"/>
    </row>
    <row r="3" spans="1:23" s="12" customFormat="1" ht="10.5" x14ac:dyDescent="0.15">
      <c r="C3" s="13"/>
      <c r="D3" s="13"/>
      <c r="E3" s="13"/>
      <c r="J3" s="12" t="s">
        <v>1</v>
      </c>
    </row>
    <row r="4" spans="1:23" s="12" customFormat="1" ht="10.5" x14ac:dyDescent="0.1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/>
      <c r="H4" s="11" t="s">
        <v>8</v>
      </c>
      <c r="I4" s="11" t="s">
        <v>9</v>
      </c>
      <c r="J4" s="11" t="s">
        <v>10</v>
      </c>
      <c r="K4" s="11" t="s">
        <v>11</v>
      </c>
      <c r="L4" s="11" t="s">
        <v>12</v>
      </c>
      <c r="M4" s="11" t="s">
        <v>13</v>
      </c>
      <c r="N4" s="11" t="s">
        <v>14</v>
      </c>
      <c r="O4" s="11" t="s">
        <v>15</v>
      </c>
      <c r="P4" s="11" t="s">
        <v>16</v>
      </c>
      <c r="Q4" s="11" t="s">
        <v>17</v>
      </c>
      <c r="R4" s="11" t="s">
        <v>18</v>
      </c>
      <c r="S4" s="11" t="s">
        <v>19</v>
      </c>
      <c r="T4" s="11" t="s">
        <v>20</v>
      </c>
      <c r="U4" s="11" t="s">
        <v>21</v>
      </c>
      <c r="V4" s="11" t="s">
        <v>22</v>
      </c>
      <c r="W4" s="11" t="s">
        <v>23</v>
      </c>
    </row>
    <row r="5" spans="1:23" x14ac:dyDescent="0.2">
      <c r="A5" s="14" t="s">
        <v>105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">
      <c r="A6" s="4" t="s">
        <v>36</v>
      </c>
      <c r="B6" s="4" t="s">
        <v>41</v>
      </c>
      <c r="C6" s="10">
        <v>1195</v>
      </c>
      <c r="D6" s="7" t="s">
        <v>28</v>
      </c>
      <c r="E6" s="7">
        <v>112278</v>
      </c>
      <c r="F6" s="6">
        <v>36929</v>
      </c>
      <c r="G6" s="6"/>
      <c r="H6" s="5">
        <v>3508.34</v>
      </c>
      <c r="I6" s="8">
        <v>1192.8848400000002</v>
      </c>
      <c r="J6" s="8">
        <v>4701.2248400000008</v>
      </c>
      <c r="K6" s="8">
        <v>0</v>
      </c>
      <c r="L6" s="8">
        <v>-4701.2248400000008</v>
      </c>
      <c r="M6" s="8">
        <v>-4701.2248400000008</v>
      </c>
      <c r="N6" s="8">
        <v>-4701.2248400000008</v>
      </c>
      <c r="O6" s="8">
        <v>-4701.2248400000008</v>
      </c>
      <c r="P6" s="8">
        <v>-4701.2248400000008</v>
      </c>
      <c r="Q6" s="8">
        <v>-4701.2248400000008</v>
      </c>
      <c r="R6" s="8">
        <v>-4701.2248400000008</v>
      </c>
      <c r="S6" s="8">
        <v>-4701.2248400000008</v>
      </c>
      <c r="T6" s="8">
        <v>-4701.2248400000008</v>
      </c>
      <c r="U6" s="8">
        <v>-4701.2248400000008</v>
      </c>
      <c r="V6" s="8">
        <v>-4701.2248400000008</v>
      </c>
      <c r="W6" s="8">
        <f>SUM(K6:V6)</f>
        <v>-51713.473240000021</v>
      </c>
    </row>
    <row r="7" spans="1:23" x14ac:dyDescent="0.2">
      <c r="A7" s="1" t="s">
        <v>107</v>
      </c>
      <c r="C7" s="1"/>
      <c r="D7" s="1"/>
      <c r="E7" s="1"/>
      <c r="J7" s="8"/>
      <c r="K7" s="20">
        <f t="shared" ref="K7:W7" si="0">SUM(K6)</f>
        <v>0</v>
      </c>
      <c r="L7" s="20">
        <f t="shared" si="0"/>
        <v>-4701.2248400000008</v>
      </c>
      <c r="M7" s="20">
        <f t="shared" si="0"/>
        <v>-4701.2248400000008</v>
      </c>
      <c r="N7" s="20">
        <f t="shared" si="0"/>
        <v>-4701.2248400000008</v>
      </c>
      <c r="O7" s="20">
        <f t="shared" si="0"/>
        <v>-4701.2248400000008</v>
      </c>
      <c r="P7" s="20">
        <f t="shared" si="0"/>
        <v>-4701.2248400000008</v>
      </c>
      <c r="Q7" s="20">
        <f t="shared" si="0"/>
        <v>-4701.2248400000008</v>
      </c>
      <c r="R7" s="20">
        <f t="shared" si="0"/>
        <v>-4701.2248400000008</v>
      </c>
      <c r="S7" s="20">
        <f t="shared" si="0"/>
        <v>-4701.2248400000008</v>
      </c>
      <c r="T7" s="20">
        <f t="shared" si="0"/>
        <v>-4701.2248400000008</v>
      </c>
      <c r="U7" s="20">
        <f t="shared" si="0"/>
        <v>-4701.2248400000008</v>
      </c>
      <c r="V7" s="20">
        <f t="shared" si="0"/>
        <v>-4701.2248400000008</v>
      </c>
      <c r="W7" s="20">
        <f t="shared" si="0"/>
        <v>-51713.473240000021</v>
      </c>
    </row>
    <row r="8" spans="1:23" x14ac:dyDescent="0.2">
      <c r="C8" s="1"/>
      <c r="D8" s="1"/>
      <c r="E8" s="1"/>
    </row>
    <row r="9" spans="1:23" x14ac:dyDescent="0.2">
      <c r="A9" s="15" t="s">
        <v>106</v>
      </c>
      <c r="C9" s="1"/>
      <c r="D9" s="1"/>
      <c r="E9" s="1"/>
    </row>
    <row r="10" spans="1:23" x14ac:dyDescent="0.2">
      <c r="A10" s="4" t="s">
        <v>58</v>
      </c>
      <c r="B10" s="4" t="s">
        <v>41</v>
      </c>
      <c r="C10" s="10">
        <v>1195</v>
      </c>
      <c r="D10" s="7" t="s">
        <v>48</v>
      </c>
      <c r="E10" s="7">
        <v>112313</v>
      </c>
      <c r="F10" s="6">
        <v>36929</v>
      </c>
      <c r="G10" s="6"/>
      <c r="H10" s="5">
        <v>4488.43</v>
      </c>
      <c r="I10" s="8">
        <v>1414.3851800000002</v>
      </c>
      <c r="J10" s="8">
        <v>5902.8151800000005</v>
      </c>
      <c r="K10" s="8">
        <v>0</v>
      </c>
      <c r="L10" s="8">
        <v>-5902.8151800000005</v>
      </c>
      <c r="M10" s="8">
        <v>-5902.8151800000005</v>
      </c>
      <c r="N10" s="8">
        <v>-5902.8151800000005</v>
      </c>
      <c r="O10" s="8">
        <v>-5902.8151800000005</v>
      </c>
      <c r="P10" s="8">
        <v>-5902.8151800000005</v>
      </c>
      <c r="Q10" s="8">
        <v>-5902.8151800000005</v>
      </c>
      <c r="R10" s="8">
        <v>-5902.8151800000005</v>
      </c>
      <c r="S10" s="8">
        <v>-5902.8151800000005</v>
      </c>
      <c r="T10" s="8">
        <v>-5902.8151800000005</v>
      </c>
      <c r="U10" s="8">
        <v>-5902.8151800000005</v>
      </c>
      <c r="V10" s="8">
        <v>-5902.8151800000005</v>
      </c>
      <c r="W10" s="8">
        <f t="shared" ref="W10:W54" si="1">SUM(K10:V10)</f>
        <v>-64930.96697999999</v>
      </c>
    </row>
    <row r="11" spans="1:23" x14ac:dyDescent="0.2">
      <c r="A11" s="3" t="s">
        <v>93</v>
      </c>
      <c r="B11" s="3" t="s">
        <v>44</v>
      </c>
      <c r="C11" s="10">
        <v>1195</v>
      </c>
      <c r="D11" s="7" t="s">
        <v>48</v>
      </c>
      <c r="E11" s="7">
        <v>112260</v>
      </c>
      <c r="F11" s="6">
        <v>36951</v>
      </c>
      <c r="G11" s="6"/>
      <c r="H11" s="5">
        <v>3381</v>
      </c>
      <c r="I11" s="8">
        <f>(400+(H11*0.136)+(H11*0.09))</f>
        <v>1164.106</v>
      </c>
      <c r="J11" s="8">
        <f>H11+I11</f>
        <v>4545.1059999999998</v>
      </c>
      <c r="K11" s="8">
        <v>0</v>
      </c>
      <c r="L11" s="8">
        <v>0</v>
      </c>
      <c r="M11" s="8">
        <v>-4545</v>
      </c>
      <c r="N11" s="8">
        <v>-4545</v>
      </c>
      <c r="O11" s="8">
        <v>-4545</v>
      </c>
      <c r="P11" s="8">
        <v>-4545</v>
      </c>
      <c r="Q11" s="8">
        <v>-4545</v>
      </c>
      <c r="R11" s="8">
        <v>-4545</v>
      </c>
      <c r="S11" s="8">
        <v>-4545</v>
      </c>
      <c r="T11" s="8">
        <v>-4545</v>
      </c>
      <c r="U11" s="8">
        <v>-4545</v>
      </c>
      <c r="V11" s="8">
        <v>-4545</v>
      </c>
      <c r="W11" s="8">
        <f t="shared" si="1"/>
        <v>-45450</v>
      </c>
    </row>
    <row r="12" spans="1:23" x14ac:dyDescent="0.2">
      <c r="A12" s="4" t="s">
        <v>56</v>
      </c>
      <c r="B12" s="4" t="s">
        <v>41</v>
      </c>
      <c r="C12" s="10">
        <v>1195</v>
      </c>
      <c r="D12" s="7" t="s">
        <v>48</v>
      </c>
      <c r="E12" s="7">
        <v>112231</v>
      </c>
      <c r="F12" s="6">
        <v>36830</v>
      </c>
      <c r="G12" s="6"/>
      <c r="H12" s="5">
        <v>3504.92</v>
      </c>
      <c r="I12" s="8">
        <v>1192.1119200000001</v>
      </c>
      <c r="J12" s="8">
        <v>4697.0319200000004</v>
      </c>
      <c r="K12" s="8">
        <v>-4697.0319200000004</v>
      </c>
      <c r="L12" s="8">
        <v>-4697.0319200000004</v>
      </c>
      <c r="M12" s="8">
        <v>-4697.0319200000004</v>
      </c>
      <c r="N12" s="8">
        <v>-4697.0319200000004</v>
      </c>
      <c r="O12" s="8">
        <v>-4697.0319200000004</v>
      </c>
      <c r="P12" s="8">
        <v>-4697.0319200000004</v>
      </c>
      <c r="Q12" s="8">
        <v>-4697.0319200000004</v>
      </c>
      <c r="R12" s="8">
        <v>-4697.0319200000004</v>
      </c>
      <c r="S12" s="8">
        <v>-4697.0319200000004</v>
      </c>
      <c r="T12" s="8">
        <v>-4697.0319200000004</v>
      </c>
      <c r="U12" s="8">
        <v>-4697.0319200000004</v>
      </c>
      <c r="V12" s="8">
        <v>-4697.0319200000004</v>
      </c>
      <c r="W12" s="8">
        <f t="shared" si="1"/>
        <v>-56364.383040000008</v>
      </c>
    </row>
    <row r="13" spans="1:23" s="27" customFormat="1" x14ac:dyDescent="0.2">
      <c r="A13" s="21" t="s">
        <v>120</v>
      </c>
      <c r="B13" s="21" t="s">
        <v>41</v>
      </c>
      <c r="C13" s="22">
        <v>1195</v>
      </c>
      <c r="D13" s="23" t="s">
        <v>48</v>
      </c>
      <c r="E13" s="23">
        <v>112244</v>
      </c>
      <c r="F13" s="24">
        <v>36960</v>
      </c>
      <c r="G13" s="24"/>
      <c r="H13" s="25">
        <v>2528</v>
      </c>
      <c r="I13" s="26">
        <f>(400+(H13*0.136)+(H13*0.09))</f>
        <v>971.32799999999997</v>
      </c>
      <c r="J13" s="26">
        <f>H13+I13</f>
        <v>3499.328</v>
      </c>
      <c r="K13" s="26"/>
      <c r="L13" s="26"/>
      <c r="M13" s="26">
        <f>-3499+(18672/6)</f>
        <v>-387</v>
      </c>
      <c r="N13" s="26">
        <f>-3499+(18672/6)</f>
        <v>-387</v>
      </c>
      <c r="O13" s="26">
        <f>-3499+(18672/6)</f>
        <v>-387</v>
      </c>
      <c r="P13" s="26">
        <f>-3499+(18672/6)</f>
        <v>-387</v>
      </c>
      <c r="Q13" s="26">
        <f>-3499+(18672/6)</f>
        <v>-387</v>
      </c>
      <c r="R13" s="26">
        <f>-3499+(18672/10)</f>
        <v>-1631.8</v>
      </c>
      <c r="S13" s="26">
        <f>-3499+(18672/10)</f>
        <v>-1631.8</v>
      </c>
      <c r="T13" s="26">
        <f>-3499+(18672/10)</f>
        <v>-1631.8</v>
      </c>
      <c r="U13" s="26">
        <f>-3499+(18672/10)</f>
        <v>-1631.8</v>
      </c>
      <c r="V13" s="26">
        <f>-3499+(18672/10)</f>
        <v>-1631.8</v>
      </c>
      <c r="W13" s="26">
        <f t="shared" si="1"/>
        <v>-10094</v>
      </c>
    </row>
    <row r="14" spans="1:23" x14ac:dyDescent="0.2">
      <c r="A14" s="3" t="s">
        <v>92</v>
      </c>
      <c r="B14" s="3" t="s">
        <v>44</v>
      </c>
      <c r="C14" s="10">
        <v>1195</v>
      </c>
      <c r="D14" s="7" t="s">
        <v>48</v>
      </c>
      <c r="E14" s="7">
        <v>112281</v>
      </c>
      <c r="F14" s="6">
        <v>36951</v>
      </c>
      <c r="G14" s="6"/>
      <c r="H14" s="5">
        <v>3467</v>
      </c>
      <c r="I14" s="8">
        <f>(400+(H14*0.136)+(H14*0.09))</f>
        <v>1183.5419999999999</v>
      </c>
      <c r="J14" s="8">
        <f>H14+I14</f>
        <v>4650.5419999999995</v>
      </c>
      <c r="K14" s="8">
        <v>0</v>
      </c>
      <c r="L14" s="8">
        <v>0</v>
      </c>
      <c r="M14" s="8">
        <v>-4651</v>
      </c>
      <c r="N14" s="8">
        <v>-4651</v>
      </c>
      <c r="O14" s="8">
        <v>-4651</v>
      </c>
      <c r="P14" s="8">
        <v>-4651</v>
      </c>
      <c r="Q14" s="8">
        <v>-4651</v>
      </c>
      <c r="R14" s="8">
        <v>-4651</v>
      </c>
      <c r="S14" s="8">
        <v>-4651</v>
      </c>
      <c r="T14" s="8">
        <v>-4651</v>
      </c>
      <c r="U14" s="8">
        <v>-4651</v>
      </c>
      <c r="V14" s="8">
        <v>-4651</v>
      </c>
      <c r="W14" s="8">
        <f t="shared" si="1"/>
        <v>-46510</v>
      </c>
    </row>
    <row r="15" spans="1:23" s="27" customFormat="1" x14ac:dyDescent="0.2">
      <c r="A15" s="28" t="s">
        <v>121</v>
      </c>
      <c r="B15" s="28" t="s">
        <v>41</v>
      </c>
      <c r="C15" s="22">
        <v>1195</v>
      </c>
      <c r="D15" s="23" t="s">
        <v>48</v>
      </c>
      <c r="E15" s="23">
        <v>112244</v>
      </c>
      <c r="F15" s="24">
        <v>36960</v>
      </c>
      <c r="G15" s="24"/>
      <c r="H15" s="25">
        <v>2506</v>
      </c>
      <c r="I15" s="26">
        <f>(400+(H15*0.136)+(H15*0.09))</f>
        <v>966.35599999999999</v>
      </c>
      <c r="J15" s="26">
        <f>H15+I15</f>
        <v>3472.3559999999998</v>
      </c>
      <c r="K15" s="26"/>
      <c r="L15" s="26"/>
      <c r="M15" s="26">
        <f>-3472+(18509/6)</f>
        <v>-387.16666666666652</v>
      </c>
      <c r="N15" s="26">
        <f>-3472+(18509/6)</f>
        <v>-387.16666666666652</v>
      </c>
      <c r="O15" s="26">
        <f>-3472+(18509/6)</f>
        <v>-387.16666666666652</v>
      </c>
      <c r="P15" s="26">
        <f>-3472+(18509/6)</f>
        <v>-387.16666666666652</v>
      </c>
      <c r="Q15" s="26">
        <f>-3472+(18509/6)</f>
        <v>-387.16666666666652</v>
      </c>
      <c r="R15" s="26">
        <f>-3472+(18509/10)</f>
        <v>-1621.1</v>
      </c>
      <c r="S15" s="26">
        <f>-3472+(18509/10)</f>
        <v>-1621.1</v>
      </c>
      <c r="T15" s="26">
        <f>-3472+(18509/10)</f>
        <v>-1621.1</v>
      </c>
      <c r="U15" s="26">
        <f>-3472+(18509/10)</f>
        <v>-1621.1</v>
      </c>
      <c r="V15" s="26">
        <f>-3472+(18509/10)</f>
        <v>-1621.1</v>
      </c>
      <c r="W15" s="26">
        <f t="shared" si="1"/>
        <v>-10041.333333333334</v>
      </c>
    </row>
    <row r="16" spans="1:23" x14ac:dyDescent="0.2">
      <c r="A16" s="3" t="s">
        <v>47</v>
      </c>
      <c r="B16" s="3" t="s">
        <v>44</v>
      </c>
      <c r="C16" s="10">
        <v>1195</v>
      </c>
      <c r="D16" s="7" t="s">
        <v>48</v>
      </c>
      <c r="E16" s="7">
        <v>112260</v>
      </c>
      <c r="F16" s="6">
        <v>36938</v>
      </c>
      <c r="G16" s="6"/>
      <c r="H16" s="5">
        <v>5069</v>
      </c>
      <c r="I16" s="8">
        <v>1545.5940000000001</v>
      </c>
      <c r="J16" s="8">
        <v>6614.5940000000001</v>
      </c>
      <c r="K16" s="8">
        <v>0</v>
      </c>
      <c r="L16" s="8">
        <f>-6615*0.5</f>
        <v>-3307.5</v>
      </c>
      <c r="M16" s="8">
        <v>-6614.5940000000001</v>
      </c>
      <c r="N16" s="8">
        <v>-6614.5940000000001</v>
      </c>
      <c r="O16" s="8">
        <v>-6614.5940000000001</v>
      </c>
      <c r="P16" s="8">
        <v>-6614.5940000000001</v>
      </c>
      <c r="Q16" s="8">
        <v>-6614.5940000000001</v>
      </c>
      <c r="R16" s="8">
        <v>-6614.5940000000001</v>
      </c>
      <c r="S16" s="8">
        <v>-6614.5940000000001</v>
      </c>
      <c r="T16" s="8">
        <v>-6614.5940000000001</v>
      </c>
      <c r="U16" s="8">
        <v>-6614.5940000000001</v>
      </c>
      <c r="V16" s="8">
        <v>-6614.5940000000001</v>
      </c>
      <c r="W16" s="8">
        <f t="shared" si="1"/>
        <v>-69453.439999999988</v>
      </c>
    </row>
    <row r="17" spans="1:23" x14ac:dyDescent="0.2">
      <c r="A17" s="4" t="s">
        <v>55</v>
      </c>
      <c r="B17" s="4" t="s">
        <v>41</v>
      </c>
      <c r="C17" s="10">
        <v>1195</v>
      </c>
      <c r="D17" s="7" t="s">
        <v>48</v>
      </c>
      <c r="E17" s="7">
        <v>112226</v>
      </c>
      <c r="F17" s="6">
        <v>36929</v>
      </c>
      <c r="G17" s="6"/>
      <c r="H17" s="5">
        <v>2431.2600000000002</v>
      </c>
      <c r="I17" s="8">
        <v>949.46476000000007</v>
      </c>
      <c r="J17" s="8">
        <v>3380.7247600000001</v>
      </c>
      <c r="K17" s="8">
        <v>0</v>
      </c>
      <c r="L17" s="8">
        <v>-3380.7247600000001</v>
      </c>
      <c r="M17" s="8">
        <v>-3380.7247600000001</v>
      </c>
      <c r="N17" s="8">
        <v>-3380.7247600000001</v>
      </c>
      <c r="O17" s="8">
        <v>-3380.7247600000001</v>
      </c>
      <c r="P17" s="8">
        <v>-3380.7247600000001</v>
      </c>
      <c r="Q17" s="8">
        <v>-3380.7247600000001</v>
      </c>
      <c r="R17" s="8">
        <v>-3380.7247600000001</v>
      </c>
      <c r="S17" s="8">
        <v>-3380.7247600000001</v>
      </c>
      <c r="T17" s="8">
        <v>-3380.7247600000001</v>
      </c>
      <c r="U17" s="8">
        <v>-3380.7247600000001</v>
      </c>
      <c r="V17" s="8">
        <v>-3380.7247600000001</v>
      </c>
      <c r="W17" s="8">
        <f t="shared" si="1"/>
        <v>-37187.97236</v>
      </c>
    </row>
    <row r="18" spans="1:23" x14ac:dyDescent="0.2">
      <c r="A18" s="3" t="s">
        <v>94</v>
      </c>
      <c r="B18" s="3" t="s">
        <v>44</v>
      </c>
      <c r="C18" s="10">
        <v>1195</v>
      </c>
      <c r="D18" s="7" t="s">
        <v>48</v>
      </c>
      <c r="E18" s="7">
        <v>112232</v>
      </c>
      <c r="F18" s="6">
        <v>36951</v>
      </c>
      <c r="G18" s="6"/>
      <c r="H18" s="5">
        <v>3101</v>
      </c>
      <c r="I18" s="8">
        <f>(400+(H18*0.136)+(H18*0.09))</f>
        <v>1100.826</v>
      </c>
      <c r="J18" s="8">
        <f>H18+I18</f>
        <v>4201.826</v>
      </c>
      <c r="K18" s="8">
        <v>0</v>
      </c>
      <c r="L18" s="8">
        <v>0</v>
      </c>
      <c r="M18" s="8">
        <v>-4202</v>
      </c>
      <c r="N18" s="8">
        <v>-4202</v>
      </c>
      <c r="O18" s="8">
        <v>-4202</v>
      </c>
      <c r="P18" s="8">
        <v>-4202</v>
      </c>
      <c r="Q18" s="8">
        <v>-4202</v>
      </c>
      <c r="R18" s="8">
        <v>-4202</v>
      </c>
      <c r="S18" s="8">
        <v>-4202</v>
      </c>
      <c r="T18" s="8">
        <v>-4202</v>
      </c>
      <c r="U18" s="8">
        <v>-4202</v>
      </c>
      <c r="V18" s="8">
        <v>-4202</v>
      </c>
      <c r="W18" s="8">
        <f t="shared" si="1"/>
        <v>-42020</v>
      </c>
    </row>
    <row r="19" spans="1:23" x14ac:dyDescent="0.2">
      <c r="A19" s="3" t="s">
        <v>49</v>
      </c>
      <c r="B19" s="3" t="s">
        <v>44</v>
      </c>
      <c r="C19" s="10">
        <v>1195</v>
      </c>
      <c r="D19" s="7" t="s">
        <v>48</v>
      </c>
      <c r="E19" s="7">
        <v>112281</v>
      </c>
      <c r="F19" s="6">
        <v>36938</v>
      </c>
      <c r="G19" s="6"/>
      <c r="H19" s="5">
        <v>4562.25</v>
      </c>
      <c r="I19" s="8">
        <v>1431.0684999999999</v>
      </c>
      <c r="J19" s="8">
        <v>5993.3184999999994</v>
      </c>
      <c r="K19" s="8">
        <v>0</v>
      </c>
      <c r="L19" s="8">
        <f>-5993*0.5</f>
        <v>-2996.5</v>
      </c>
      <c r="M19" s="8">
        <v>-5993.3184999999994</v>
      </c>
      <c r="N19" s="8">
        <v>-5993.3184999999994</v>
      </c>
      <c r="O19" s="8">
        <v>-5993.3184999999994</v>
      </c>
      <c r="P19" s="8">
        <v>-5993.3184999999994</v>
      </c>
      <c r="Q19" s="8">
        <v>-5993.3184999999994</v>
      </c>
      <c r="R19" s="8">
        <v>-5993.3184999999994</v>
      </c>
      <c r="S19" s="8">
        <v>-5993.3184999999994</v>
      </c>
      <c r="T19" s="8">
        <v>-5993.3184999999994</v>
      </c>
      <c r="U19" s="8">
        <v>-5993.3184999999994</v>
      </c>
      <c r="V19" s="8">
        <v>-5993.3184999999994</v>
      </c>
      <c r="W19" s="8">
        <f t="shared" si="1"/>
        <v>-62929.685000000005</v>
      </c>
    </row>
    <row r="20" spans="1:23" x14ac:dyDescent="0.2">
      <c r="A20" s="3" t="s">
        <v>27</v>
      </c>
      <c r="B20" s="3" t="s">
        <v>44</v>
      </c>
      <c r="C20" s="10">
        <v>1195</v>
      </c>
      <c r="D20" s="7" t="s">
        <v>48</v>
      </c>
      <c r="E20" s="7">
        <v>112234</v>
      </c>
      <c r="F20" s="6">
        <v>36969</v>
      </c>
      <c r="G20" s="6"/>
      <c r="H20" s="5">
        <v>2652</v>
      </c>
      <c r="I20" s="8">
        <v>999.35199999999998</v>
      </c>
      <c r="J20" s="8">
        <v>3651.3519999999999</v>
      </c>
      <c r="K20" s="8">
        <v>0</v>
      </c>
      <c r="L20" s="8">
        <v>0</v>
      </c>
      <c r="M20" s="8">
        <f>-3651*0.5</f>
        <v>-1825.5</v>
      </c>
      <c r="N20" s="8">
        <v>-3651.3519999999999</v>
      </c>
      <c r="O20" s="8">
        <v>-3651.3519999999999</v>
      </c>
      <c r="P20" s="8">
        <v>-3651.3519999999999</v>
      </c>
      <c r="Q20" s="8">
        <v>-3651.3519999999999</v>
      </c>
      <c r="R20" s="8">
        <v>-3651.3519999999999</v>
      </c>
      <c r="S20" s="8">
        <v>-3651.3519999999999</v>
      </c>
      <c r="T20" s="8">
        <v>-3651.3519999999999</v>
      </c>
      <c r="U20" s="8">
        <v>-3651.3519999999999</v>
      </c>
      <c r="V20" s="8">
        <v>-3651.3519999999999</v>
      </c>
      <c r="W20" s="8">
        <f t="shared" si="1"/>
        <v>-34687.667999999998</v>
      </c>
    </row>
    <row r="21" spans="1:23" x14ac:dyDescent="0.2">
      <c r="A21" s="3" t="s">
        <v>30</v>
      </c>
      <c r="B21" s="3" t="s">
        <v>44</v>
      </c>
      <c r="C21" s="10">
        <v>1195</v>
      </c>
      <c r="D21" s="7" t="s">
        <v>48</v>
      </c>
      <c r="E21" s="7">
        <v>112234</v>
      </c>
      <c r="F21" s="6">
        <v>36969</v>
      </c>
      <c r="G21" s="6"/>
      <c r="H21" s="5">
        <v>2300</v>
      </c>
      <c r="I21" s="8">
        <v>919.8</v>
      </c>
      <c r="J21" s="8">
        <v>3219.8</v>
      </c>
      <c r="K21" s="8">
        <v>0</v>
      </c>
      <c r="L21" s="8">
        <v>0</v>
      </c>
      <c r="M21" s="8">
        <f>-3220*0.5</f>
        <v>-1610</v>
      </c>
      <c r="N21" s="8">
        <v>-3219.8</v>
      </c>
      <c r="O21" s="8">
        <v>-3219.8</v>
      </c>
      <c r="P21" s="8">
        <v>-3219.8</v>
      </c>
      <c r="Q21" s="8">
        <v>-3219.8</v>
      </c>
      <c r="R21" s="8">
        <v>-3219.8</v>
      </c>
      <c r="S21" s="8">
        <v>-3219.8</v>
      </c>
      <c r="T21" s="8">
        <v>-3219.8</v>
      </c>
      <c r="U21" s="8">
        <v>-3219.8</v>
      </c>
      <c r="V21" s="8">
        <v>-3219.8</v>
      </c>
      <c r="W21" s="8">
        <f t="shared" si="1"/>
        <v>-30588.199999999997</v>
      </c>
    </row>
    <row r="22" spans="1:23" x14ac:dyDescent="0.2">
      <c r="A22" s="4" t="s">
        <v>103</v>
      </c>
      <c r="B22" s="4" t="s">
        <v>41</v>
      </c>
      <c r="C22" s="10">
        <v>1195</v>
      </c>
      <c r="D22" s="7" t="s">
        <v>48</v>
      </c>
      <c r="F22" s="6">
        <v>36951</v>
      </c>
      <c r="G22" s="6"/>
      <c r="H22" s="5">
        <v>5456</v>
      </c>
      <c r="I22" s="8">
        <f>(400+(H22*0.136)+(H22*0.09))</f>
        <v>1633.056</v>
      </c>
      <c r="J22" s="8">
        <f>H22+I22</f>
        <v>7089.0560000000005</v>
      </c>
      <c r="K22" s="8"/>
      <c r="L22" s="8"/>
      <c r="M22" s="8">
        <v>-7089</v>
      </c>
      <c r="N22" s="8">
        <v>-7089</v>
      </c>
      <c r="O22" s="8">
        <v>-7089</v>
      </c>
      <c r="P22" s="8">
        <v>-7089</v>
      </c>
      <c r="Q22" s="8">
        <v>-7089</v>
      </c>
      <c r="R22" s="8">
        <v>-7089</v>
      </c>
      <c r="S22" s="8">
        <v>-7089</v>
      </c>
      <c r="T22" s="8">
        <v>-7089</v>
      </c>
      <c r="U22" s="8">
        <v>-7089</v>
      </c>
      <c r="V22" s="8">
        <v>-7089</v>
      </c>
      <c r="W22" s="8">
        <f t="shared" si="1"/>
        <v>-70890</v>
      </c>
    </row>
    <row r="23" spans="1:23" x14ac:dyDescent="0.2">
      <c r="A23" s="3" t="s">
        <v>57</v>
      </c>
      <c r="B23" s="3" t="s">
        <v>44</v>
      </c>
      <c r="C23" s="10">
        <v>1195</v>
      </c>
      <c r="D23" s="7" t="s">
        <v>48</v>
      </c>
      <c r="E23" s="7">
        <v>112281</v>
      </c>
      <c r="F23" s="6">
        <v>36938</v>
      </c>
      <c r="G23" s="6" t="s">
        <v>45</v>
      </c>
      <c r="H23" s="5">
        <v>3916</v>
      </c>
      <c r="I23" s="8">
        <f>(400+(H23*0.136)+(H23*0.09))</f>
        <v>1285.0160000000001</v>
      </c>
      <c r="J23" s="8">
        <f>H23+I23</f>
        <v>5201.0159999999996</v>
      </c>
      <c r="K23" s="8">
        <v>0</v>
      </c>
      <c r="L23" s="8">
        <f>-3812*0.5</f>
        <v>-1906</v>
      </c>
      <c r="M23" s="8">
        <v>-3812</v>
      </c>
      <c r="N23" s="8">
        <v>-3812</v>
      </c>
      <c r="O23" s="8">
        <v>-3812</v>
      </c>
      <c r="P23" s="8">
        <v>-3812</v>
      </c>
      <c r="Q23" s="8">
        <v>-3812</v>
      </c>
      <c r="R23" s="8">
        <v>-3812</v>
      </c>
      <c r="S23" s="8">
        <v>-3812</v>
      </c>
      <c r="T23" s="8">
        <v>-3812</v>
      </c>
      <c r="U23" s="8">
        <v>-3812</v>
      </c>
      <c r="V23" s="8">
        <v>-3812</v>
      </c>
      <c r="W23" s="8">
        <f t="shared" si="1"/>
        <v>-40026</v>
      </c>
    </row>
    <row r="24" spans="1:23" x14ac:dyDescent="0.2">
      <c r="A24" s="3" t="s">
        <v>95</v>
      </c>
      <c r="B24" s="3" t="s">
        <v>44</v>
      </c>
      <c r="C24" s="10">
        <v>1195</v>
      </c>
      <c r="D24" s="7" t="s">
        <v>48</v>
      </c>
      <c r="E24" s="7">
        <v>112232</v>
      </c>
      <c r="F24" s="6">
        <v>36951</v>
      </c>
      <c r="G24" s="6"/>
      <c r="H24" s="5">
        <v>2583</v>
      </c>
      <c r="I24" s="8">
        <f>(400+(H24*0.136)+(H24*0.09))</f>
        <v>983.75800000000004</v>
      </c>
      <c r="J24" s="8">
        <f>H24+I24</f>
        <v>3566.7579999999998</v>
      </c>
      <c r="K24" s="8">
        <v>0</v>
      </c>
      <c r="L24" s="8">
        <v>0</v>
      </c>
      <c r="M24" s="8">
        <v>-3567</v>
      </c>
      <c r="N24" s="8">
        <v>-3567</v>
      </c>
      <c r="O24" s="8">
        <v>-3567</v>
      </c>
      <c r="P24" s="8">
        <v>-3567</v>
      </c>
      <c r="Q24" s="8">
        <v>-3567</v>
      </c>
      <c r="R24" s="8">
        <v>-3567</v>
      </c>
      <c r="S24" s="8">
        <v>-3567</v>
      </c>
      <c r="T24" s="8">
        <v>-3567</v>
      </c>
      <c r="U24" s="8">
        <v>-3567</v>
      </c>
      <c r="V24" s="8">
        <v>-3567</v>
      </c>
      <c r="W24" s="8">
        <f t="shared" si="1"/>
        <v>-35670</v>
      </c>
    </row>
    <row r="25" spans="1:23" x14ac:dyDescent="0.2">
      <c r="A25" s="3" t="s">
        <v>24</v>
      </c>
      <c r="B25" s="3" t="s">
        <v>44</v>
      </c>
      <c r="C25" s="10">
        <v>1195</v>
      </c>
      <c r="D25" s="7" t="s">
        <v>48</v>
      </c>
      <c r="E25" s="7">
        <v>112313</v>
      </c>
      <c r="F25" s="6">
        <v>36969</v>
      </c>
      <c r="G25" s="6"/>
      <c r="H25" s="5">
        <v>4973.5200000000004</v>
      </c>
      <c r="I25" s="8">
        <v>1524.0155200000002</v>
      </c>
      <c r="J25" s="8">
        <v>6497.5355200000004</v>
      </c>
      <c r="K25" s="8">
        <v>0</v>
      </c>
      <c r="L25" s="8">
        <v>0</v>
      </c>
      <c r="M25" s="8">
        <f>-6498*0.5</f>
        <v>-3249</v>
      </c>
      <c r="N25" s="8">
        <v>-6497.5355200000004</v>
      </c>
      <c r="O25" s="8">
        <v>-6497.5355200000004</v>
      </c>
      <c r="P25" s="8">
        <v>-6497.5355200000004</v>
      </c>
      <c r="Q25" s="8">
        <v>-6497.5355200000004</v>
      </c>
      <c r="R25" s="8">
        <v>-6497.5355200000004</v>
      </c>
      <c r="S25" s="8">
        <v>-6497.5355200000004</v>
      </c>
      <c r="T25" s="8">
        <v>-6497.5355200000004</v>
      </c>
      <c r="U25" s="8">
        <v>-6497.5355200000004</v>
      </c>
      <c r="V25" s="8">
        <v>-6497.5355200000004</v>
      </c>
      <c r="W25" s="8">
        <f t="shared" si="1"/>
        <v>-61726.819679999993</v>
      </c>
    </row>
    <row r="26" spans="1:23" x14ac:dyDescent="0.2">
      <c r="A26" s="3" t="s">
        <v>54</v>
      </c>
      <c r="B26" s="3" t="s">
        <v>44</v>
      </c>
      <c r="C26" s="10">
        <v>1195</v>
      </c>
      <c r="D26" s="7" t="s">
        <v>48</v>
      </c>
      <c r="E26" s="7">
        <v>112313</v>
      </c>
      <c r="F26" s="6">
        <v>36938</v>
      </c>
      <c r="G26" s="6"/>
      <c r="H26" s="5">
        <v>4166.66</v>
      </c>
      <c r="I26" s="8">
        <v>1341.66516</v>
      </c>
      <c r="J26" s="8">
        <v>5508.3251600000003</v>
      </c>
      <c r="K26" s="8">
        <v>0</v>
      </c>
      <c r="L26" s="8">
        <f>-5508*0.5</f>
        <v>-2754</v>
      </c>
      <c r="M26" s="8">
        <v>-5508.3251600000003</v>
      </c>
      <c r="N26" s="8">
        <v>-5508.3251600000003</v>
      </c>
      <c r="O26" s="8">
        <v>-5508.3251600000003</v>
      </c>
      <c r="P26" s="8">
        <v>-5508.3251600000003</v>
      </c>
      <c r="Q26" s="8">
        <v>-5508.3251600000003</v>
      </c>
      <c r="R26" s="8">
        <v>-5508.3251600000003</v>
      </c>
      <c r="S26" s="8">
        <v>-5508.3251600000003</v>
      </c>
      <c r="T26" s="8">
        <v>-5508.3251600000003</v>
      </c>
      <c r="U26" s="8">
        <v>-5508.3251600000003</v>
      </c>
      <c r="V26" s="8">
        <v>-5508.3251600000003</v>
      </c>
      <c r="W26" s="8">
        <f t="shared" si="1"/>
        <v>-57837.251600000003</v>
      </c>
    </row>
    <row r="27" spans="1:23" x14ac:dyDescent="0.2">
      <c r="A27" s="3" t="s">
        <v>108</v>
      </c>
      <c r="B27" s="3"/>
      <c r="C27" s="10"/>
      <c r="F27" s="6"/>
      <c r="G27" s="6"/>
      <c r="H27" s="5"/>
      <c r="I27" s="8"/>
      <c r="J27" s="8"/>
      <c r="K27" s="20">
        <f t="shared" ref="K27:W27" si="2">SUM(K10:K26)</f>
        <v>-4697.0319200000004</v>
      </c>
      <c r="L27" s="20">
        <f t="shared" si="2"/>
        <v>-24944.57186</v>
      </c>
      <c r="M27" s="20">
        <f t="shared" si="2"/>
        <v>-67421.476186666667</v>
      </c>
      <c r="N27" s="20">
        <f t="shared" si="2"/>
        <v>-74105.663706666674</v>
      </c>
      <c r="O27" s="20">
        <f t="shared" si="2"/>
        <v>-74105.663706666674</v>
      </c>
      <c r="P27" s="20">
        <f t="shared" si="2"/>
        <v>-74105.663706666674</v>
      </c>
      <c r="Q27" s="20">
        <f t="shared" si="2"/>
        <v>-74105.663706666674</v>
      </c>
      <c r="R27" s="20">
        <f t="shared" si="2"/>
        <v>-76584.397040000011</v>
      </c>
      <c r="S27" s="20">
        <f t="shared" si="2"/>
        <v>-76584.397040000011</v>
      </c>
      <c r="T27" s="20">
        <f t="shared" si="2"/>
        <v>-76584.397040000011</v>
      </c>
      <c r="U27" s="20">
        <f t="shared" si="2"/>
        <v>-76584.397040000011</v>
      </c>
      <c r="V27" s="20">
        <f t="shared" si="2"/>
        <v>-76584.397040000011</v>
      </c>
      <c r="W27" s="20">
        <f t="shared" si="2"/>
        <v>-776407.71999333322</v>
      </c>
    </row>
    <row r="28" spans="1:23" x14ac:dyDescent="0.2">
      <c r="A28" s="3"/>
      <c r="B28" s="3"/>
      <c r="C28" s="10"/>
      <c r="F28" s="6"/>
      <c r="G28" s="6"/>
      <c r="H28" s="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">
      <c r="A29" s="16" t="s">
        <v>109</v>
      </c>
      <c r="B29" s="3"/>
      <c r="C29" s="10"/>
      <c r="F29" s="6"/>
      <c r="G29" s="6"/>
      <c r="H29" s="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">
      <c r="A30" s="3" t="s">
        <v>38</v>
      </c>
      <c r="B30" s="3" t="s">
        <v>44</v>
      </c>
      <c r="C30" s="10">
        <v>1195</v>
      </c>
      <c r="D30" s="7" t="s">
        <v>60</v>
      </c>
      <c r="E30" s="7">
        <v>112224</v>
      </c>
      <c r="F30" s="6">
        <v>36938</v>
      </c>
      <c r="G30" s="6"/>
      <c r="H30" s="5">
        <v>4099</v>
      </c>
      <c r="I30" s="8">
        <v>1326.374</v>
      </c>
      <c r="J30" s="8">
        <v>5425.3739999999998</v>
      </c>
      <c r="K30" s="8">
        <v>0</v>
      </c>
      <c r="L30" s="8">
        <f>-5425*0.5</f>
        <v>-2712.5</v>
      </c>
      <c r="M30" s="8">
        <v>-5425.3739999999998</v>
      </c>
      <c r="N30" s="8">
        <v>-5425.3739999999998</v>
      </c>
      <c r="O30" s="8">
        <v>-5425.3739999999998</v>
      </c>
      <c r="P30" s="8">
        <v>-5425.3739999999998</v>
      </c>
      <c r="Q30" s="8">
        <v>-5425.3739999999998</v>
      </c>
      <c r="R30" s="8">
        <v>-5425.3739999999998</v>
      </c>
      <c r="S30" s="8">
        <v>-5425.3739999999998</v>
      </c>
      <c r="T30" s="8">
        <v>-5425.3739999999998</v>
      </c>
      <c r="U30" s="8">
        <v>-5425.3739999999998</v>
      </c>
      <c r="V30" s="8">
        <v>-5425.3739999999998</v>
      </c>
      <c r="W30" s="8">
        <f t="shared" si="1"/>
        <v>-56966.239999999991</v>
      </c>
    </row>
    <row r="31" spans="1:23" x14ac:dyDescent="0.2">
      <c r="A31" s="3" t="s">
        <v>34</v>
      </c>
      <c r="B31" s="3" t="s">
        <v>44</v>
      </c>
      <c r="C31" s="10">
        <v>1195</v>
      </c>
      <c r="D31" s="7" t="s">
        <v>60</v>
      </c>
      <c r="E31" s="7">
        <v>112253</v>
      </c>
      <c r="F31" s="6">
        <v>36923</v>
      </c>
      <c r="G31" s="6"/>
      <c r="H31" s="5">
        <v>2887.08</v>
      </c>
      <c r="I31" s="8">
        <v>1052.48008</v>
      </c>
      <c r="J31" s="8">
        <v>3939.5600800000002</v>
      </c>
      <c r="K31" s="8">
        <v>0</v>
      </c>
      <c r="L31" s="8">
        <v>-3939</v>
      </c>
      <c r="M31" s="8">
        <v>-3939.5600800000002</v>
      </c>
      <c r="N31" s="8">
        <v>-3939.5600800000002</v>
      </c>
      <c r="O31" s="8">
        <v>-3939.5600800000002</v>
      </c>
      <c r="P31" s="8">
        <v>-3939.5600800000002</v>
      </c>
      <c r="Q31" s="8">
        <v>-3939.5600800000002</v>
      </c>
      <c r="R31" s="8">
        <v>-3939.5600800000002</v>
      </c>
      <c r="S31" s="8">
        <v>-3939.5600800000002</v>
      </c>
      <c r="T31" s="8">
        <v>-3939.5600800000002</v>
      </c>
      <c r="U31" s="8">
        <v>-3939.5600800000002</v>
      </c>
      <c r="V31" s="8">
        <v>-3939.5600800000002</v>
      </c>
      <c r="W31" s="8">
        <f t="shared" si="1"/>
        <v>-43334.600800000007</v>
      </c>
    </row>
    <row r="32" spans="1:23" x14ac:dyDescent="0.2">
      <c r="A32" s="3" t="s">
        <v>66</v>
      </c>
      <c r="B32" s="3" t="s">
        <v>44</v>
      </c>
      <c r="C32" s="10">
        <v>1195</v>
      </c>
      <c r="D32" s="7" t="s">
        <v>60</v>
      </c>
      <c r="E32" s="7">
        <v>112248</v>
      </c>
      <c r="F32" s="6">
        <v>36938</v>
      </c>
      <c r="G32" s="6"/>
      <c r="H32" s="5">
        <v>3927.58</v>
      </c>
      <c r="I32" s="8">
        <v>1287.6330800000001</v>
      </c>
      <c r="J32" s="8">
        <v>5215.2130799999995</v>
      </c>
      <c r="K32" s="8">
        <v>0</v>
      </c>
      <c r="L32" s="8">
        <f>-5215*0.5</f>
        <v>-2607.5</v>
      </c>
      <c r="M32" s="8">
        <v>-5215.2130799999995</v>
      </c>
      <c r="N32" s="8">
        <v>-5215.2130799999995</v>
      </c>
      <c r="O32" s="8">
        <v>-5215.2130799999995</v>
      </c>
      <c r="P32" s="8">
        <v>-5215.2130799999995</v>
      </c>
      <c r="Q32" s="8">
        <v>-5215.2130799999995</v>
      </c>
      <c r="R32" s="8">
        <v>-5215.2130799999995</v>
      </c>
      <c r="S32" s="8">
        <v>-5215.2130799999995</v>
      </c>
      <c r="T32" s="8">
        <v>-5215.2130799999995</v>
      </c>
      <c r="U32" s="8">
        <v>-5215.2130799999995</v>
      </c>
      <c r="V32" s="8">
        <v>-5215.2130799999995</v>
      </c>
      <c r="W32" s="8">
        <f t="shared" si="1"/>
        <v>-54759.630800000006</v>
      </c>
    </row>
    <row r="33" spans="1:23" x14ac:dyDescent="0.2">
      <c r="A33" s="4" t="s">
        <v>73</v>
      </c>
      <c r="B33" s="4" t="s">
        <v>41</v>
      </c>
      <c r="C33" s="10">
        <v>1195</v>
      </c>
      <c r="D33" s="7" t="s">
        <v>60</v>
      </c>
      <c r="E33" s="7">
        <v>112247</v>
      </c>
      <c r="F33" s="6">
        <v>36959</v>
      </c>
      <c r="G33" s="6"/>
      <c r="H33" s="5">
        <v>2803.17</v>
      </c>
      <c r="I33" s="8">
        <v>1033.5164199999999</v>
      </c>
      <c r="J33" s="8">
        <v>3836.68642</v>
      </c>
      <c r="K33" s="8">
        <v>0</v>
      </c>
      <c r="L33" s="8">
        <v>0</v>
      </c>
      <c r="M33" s="8">
        <v>-3836.68642</v>
      </c>
      <c r="N33" s="8">
        <v>-3836.68642</v>
      </c>
      <c r="O33" s="8">
        <v>-3836.68642</v>
      </c>
      <c r="P33" s="8">
        <v>-3836.68642</v>
      </c>
      <c r="Q33" s="8">
        <v>-3836.68642</v>
      </c>
      <c r="R33" s="8">
        <v>-3836.68642</v>
      </c>
      <c r="S33" s="8">
        <v>-3836.68642</v>
      </c>
      <c r="T33" s="8">
        <v>-3836.68642</v>
      </c>
      <c r="U33" s="8">
        <v>-3836.68642</v>
      </c>
      <c r="V33" s="8">
        <v>-3836.68642</v>
      </c>
      <c r="W33" s="8">
        <f t="shared" si="1"/>
        <v>-38366.864199999989</v>
      </c>
    </row>
    <row r="34" spans="1:23" x14ac:dyDescent="0.2">
      <c r="A34" s="4" t="s">
        <v>78</v>
      </c>
      <c r="B34" s="4" t="s">
        <v>41</v>
      </c>
      <c r="C34" s="10">
        <v>1195</v>
      </c>
      <c r="D34" s="7" t="s">
        <v>60</v>
      </c>
      <c r="E34" s="7">
        <v>112254</v>
      </c>
      <c r="F34" s="6">
        <v>36929</v>
      </c>
      <c r="G34" s="6"/>
      <c r="H34" s="5">
        <v>2706.25</v>
      </c>
      <c r="I34" s="8">
        <v>1011.6125</v>
      </c>
      <c r="J34" s="8">
        <v>3717.8625000000002</v>
      </c>
      <c r="K34" s="8">
        <v>0</v>
      </c>
      <c r="L34" s="8">
        <v>-3717.8625000000002</v>
      </c>
      <c r="M34" s="8">
        <v>-3717.8625000000002</v>
      </c>
      <c r="N34" s="8">
        <v>-3717.8625000000002</v>
      </c>
      <c r="O34" s="8">
        <v>-3717.8625000000002</v>
      </c>
      <c r="P34" s="8">
        <v>-3717.8625000000002</v>
      </c>
      <c r="Q34" s="8">
        <v>-3717.8625000000002</v>
      </c>
      <c r="R34" s="8">
        <v>-3717.8625000000002</v>
      </c>
      <c r="S34" s="8">
        <v>-3717.8625000000002</v>
      </c>
      <c r="T34" s="8">
        <v>-3717.8625000000002</v>
      </c>
      <c r="U34" s="8">
        <v>-3717.8625000000002</v>
      </c>
      <c r="V34" s="8">
        <v>-3717.8625000000002</v>
      </c>
      <c r="W34" s="8">
        <f t="shared" si="1"/>
        <v>-40896.487500000003</v>
      </c>
    </row>
    <row r="35" spans="1:23" x14ac:dyDescent="0.2">
      <c r="A35" s="3" t="s">
        <v>31</v>
      </c>
      <c r="B35" s="3" t="s">
        <v>44</v>
      </c>
      <c r="C35" s="10">
        <v>1195</v>
      </c>
      <c r="D35" s="7" t="s">
        <v>60</v>
      </c>
      <c r="E35" s="7">
        <v>112290</v>
      </c>
      <c r="F35" s="6">
        <v>36938</v>
      </c>
      <c r="G35" s="6"/>
      <c r="H35" s="5">
        <v>2550</v>
      </c>
      <c r="I35" s="8">
        <v>976.3</v>
      </c>
      <c r="J35" s="8">
        <v>3526.3</v>
      </c>
      <c r="K35" s="8">
        <v>0</v>
      </c>
      <c r="L35" s="8">
        <f>-3526*0.5</f>
        <v>-1763</v>
      </c>
      <c r="M35" s="8">
        <v>-3526.3</v>
      </c>
      <c r="N35" s="8">
        <v>-3526.3</v>
      </c>
      <c r="O35" s="8">
        <v>-3526.3</v>
      </c>
      <c r="P35" s="8">
        <v>-3526.3</v>
      </c>
      <c r="Q35" s="8">
        <v>-3526.3</v>
      </c>
      <c r="R35" s="8">
        <v>-3526.3</v>
      </c>
      <c r="S35" s="8">
        <v>-3526.3</v>
      </c>
      <c r="T35" s="8">
        <v>-3526.3</v>
      </c>
      <c r="U35" s="8">
        <v>-3526.3</v>
      </c>
      <c r="V35" s="8">
        <v>-3526.3</v>
      </c>
      <c r="W35" s="8">
        <f t="shared" si="1"/>
        <v>-37026</v>
      </c>
    </row>
    <row r="36" spans="1:23" x14ac:dyDescent="0.2">
      <c r="A36" s="3" t="s">
        <v>114</v>
      </c>
      <c r="B36" s="3" t="s">
        <v>44</v>
      </c>
      <c r="C36" s="10">
        <v>1195</v>
      </c>
      <c r="D36" s="7" t="s">
        <v>60</v>
      </c>
      <c r="F36" s="6">
        <v>36923</v>
      </c>
      <c r="G36" s="6"/>
      <c r="H36" s="5">
        <v>3518</v>
      </c>
      <c r="I36" s="8">
        <f>(400+(H36*0.136)+(H36*0.09))</f>
        <v>1195.0680000000002</v>
      </c>
      <c r="J36" s="8">
        <f>H36+I36</f>
        <v>4713.0680000000002</v>
      </c>
      <c r="K36" s="8">
        <v>0</v>
      </c>
      <c r="L36" s="8">
        <v>-4713</v>
      </c>
      <c r="M36" s="8">
        <v>-4713</v>
      </c>
      <c r="N36" s="8">
        <v>-4713</v>
      </c>
      <c r="O36" s="8">
        <v>-4713</v>
      </c>
      <c r="P36" s="8">
        <v>-4713</v>
      </c>
      <c r="Q36" s="8">
        <v>-4713</v>
      </c>
      <c r="R36" s="8">
        <v>-4713</v>
      </c>
      <c r="S36" s="8">
        <v>-4713</v>
      </c>
      <c r="T36" s="8">
        <v>-4713</v>
      </c>
      <c r="U36" s="8">
        <v>-4713</v>
      </c>
      <c r="V36" s="8">
        <v>-4713</v>
      </c>
      <c r="W36" s="8">
        <f t="shared" si="1"/>
        <v>-51843</v>
      </c>
    </row>
    <row r="37" spans="1:23" x14ac:dyDescent="0.2">
      <c r="A37" s="3" t="s">
        <v>37</v>
      </c>
      <c r="B37" s="3" t="s">
        <v>44</v>
      </c>
      <c r="C37" s="10">
        <v>1195</v>
      </c>
      <c r="D37" s="7" t="s">
        <v>60</v>
      </c>
      <c r="E37" s="7">
        <v>112241</v>
      </c>
      <c r="F37" s="6">
        <v>36938</v>
      </c>
      <c r="G37" s="6" t="s">
        <v>45</v>
      </c>
      <c r="H37" s="5">
        <v>3917</v>
      </c>
      <c r="I37" s="8">
        <v>1285.242</v>
      </c>
      <c r="J37" s="8">
        <v>5202.2420000000002</v>
      </c>
      <c r="K37" s="8">
        <v>0</v>
      </c>
      <c r="L37" s="8">
        <v>-2315</v>
      </c>
      <c r="M37" s="8">
        <v>-4056</v>
      </c>
      <c r="N37" s="8">
        <v>-4056</v>
      </c>
      <c r="O37" s="8">
        <v>-4056</v>
      </c>
      <c r="P37" s="8">
        <v>-4056</v>
      </c>
      <c r="Q37" s="8">
        <v>-4056</v>
      </c>
      <c r="R37" s="8">
        <v>-4056</v>
      </c>
      <c r="S37" s="8">
        <v>-4056</v>
      </c>
      <c r="T37" s="8">
        <v>-4056</v>
      </c>
      <c r="U37" s="8">
        <v>-4056</v>
      </c>
      <c r="V37" s="8">
        <v>-4056</v>
      </c>
      <c r="W37" s="8">
        <f t="shared" si="1"/>
        <v>-42875</v>
      </c>
    </row>
    <row r="38" spans="1:23" x14ac:dyDescent="0.2">
      <c r="A38" s="3" t="s">
        <v>96</v>
      </c>
      <c r="B38" s="3" t="s">
        <v>44</v>
      </c>
      <c r="C38" s="10">
        <v>1195</v>
      </c>
      <c r="D38" s="7" t="s">
        <v>60</v>
      </c>
      <c r="E38" s="7">
        <v>112266</v>
      </c>
      <c r="F38" s="6">
        <v>36800</v>
      </c>
      <c r="G38" s="6"/>
      <c r="H38" s="5">
        <v>8625</v>
      </c>
      <c r="I38" s="8">
        <f>(400+(H38*0.136)+(H38*0.09))</f>
        <v>2349.25</v>
      </c>
      <c r="J38" s="8">
        <f>H38+I38</f>
        <v>10974.25</v>
      </c>
      <c r="K38" s="8">
        <v>-10974</v>
      </c>
      <c r="L38" s="8">
        <v>-10974</v>
      </c>
      <c r="M38" s="8">
        <v>-10974</v>
      </c>
      <c r="N38" s="8">
        <v>-10974</v>
      </c>
      <c r="O38" s="8">
        <v>-10974</v>
      </c>
      <c r="P38" s="8">
        <v>-10974</v>
      </c>
      <c r="Q38" s="8">
        <v>-10974</v>
      </c>
      <c r="R38" s="8">
        <v>-10974</v>
      </c>
      <c r="S38" s="8">
        <v>-10974</v>
      </c>
      <c r="T38" s="8">
        <v>-10974</v>
      </c>
      <c r="U38" s="8">
        <v>-10974</v>
      </c>
      <c r="V38" s="8">
        <v>-10974</v>
      </c>
      <c r="W38" s="8">
        <f t="shared" si="1"/>
        <v>-131688</v>
      </c>
    </row>
    <row r="39" spans="1:23" x14ac:dyDescent="0.2">
      <c r="A39" s="3" t="s">
        <v>50</v>
      </c>
      <c r="B39" s="3" t="s">
        <v>44</v>
      </c>
      <c r="C39" s="10">
        <v>1195</v>
      </c>
      <c r="D39" s="7" t="s">
        <v>60</v>
      </c>
      <c r="E39" s="7">
        <v>112287</v>
      </c>
      <c r="F39" s="6">
        <v>36892</v>
      </c>
      <c r="G39" s="6"/>
      <c r="H39" s="5">
        <v>3185</v>
      </c>
      <c r="I39" s="8">
        <v>1119.81</v>
      </c>
      <c r="J39" s="8">
        <v>4304.8100000000004</v>
      </c>
      <c r="K39" s="8">
        <v>-4304.8100000000004</v>
      </c>
      <c r="L39" s="8">
        <v>-4304.8100000000004</v>
      </c>
      <c r="M39" s="8">
        <v>-4304.8100000000004</v>
      </c>
      <c r="N39" s="8">
        <v>-4304.8100000000004</v>
      </c>
      <c r="O39" s="8">
        <v>-4304.8100000000004</v>
      </c>
      <c r="P39" s="8">
        <v>-4304.8100000000004</v>
      </c>
      <c r="Q39" s="8">
        <v>-4304.8100000000004</v>
      </c>
      <c r="R39" s="8">
        <v>-4304.8100000000004</v>
      </c>
      <c r="S39" s="8">
        <v>-4304.8100000000004</v>
      </c>
      <c r="T39" s="8">
        <v>-4304.8100000000004</v>
      </c>
      <c r="U39" s="8">
        <v>-4304.8100000000004</v>
      </c>
      <c r="V39" s="8">
        <v>-4304.8100000000004</v>
      </c>
      <c r="W39" s="8">
        <f t="shared" si="1"/>
        <v>-51657.719999999994</v>
      </c>
    </row>
    <row r="40" spans="1:23" x14ac:dyDescent="0.2">
      <c r="A40" s="4" t="s">
        <v>84</v>
      </c>
      <c r="B40" s="4" t="s">
        <v>41</v>
      </c>
      <c r="C40" s="10">
        <v>1195</v>
      </c>
      <c r="D40" s="7" t="s">
        <v>60</v>
      </c>
      <c r="E40" s="7">
        <v>112274</v>
      </c>
      <c r="F40" s="6">
        <v>36959</v>
      </c>
      <c r="G40" s="6"/>
      <c r="H40" s="5">
        <v>3675</v>
      </c>
      <c r="I40" s="8">
        <v>1230.55</v>
      </c>
      <c r="J40" s="8">
        <v>4905.55</v>
      </c>
      <c r="K40" s="8">
        <v>0</v>
      </c>
      <c r="L40" s="8">
        <v>0</v>
      </c>
      <c r="M40" s="8">
        <v>-4905.55</v>
      </c>
      <c r="N40" s="8">
        <v>-4905.55</v>
      </c>
      <c r="O40" s="8">
        <v>-4905.55</v>
      </c>
      <c r="P40" s="8">
        <v>-4905.55</v>
      </c>
      <c r="Q40" s="8">
        <v>-4905.55</v>
      </c>
      <c r="R40" s="8">
        <v>-4905.55</v>
      </c>
      <c r="S40" s="8">
        <v>-4905.55</v>
      </c>
      <c r="T40" s="8">
        <v>-4905.55</v>
      </c>
      <c r="U40" s="8">
        <v>-4905.55</v>
      </c>
      <c r="V40" s="8">
        <v>-4905.55</v>
      </c>
      <c r="W40" s="8">
        <f t="shared" si="1"/>
        <v>-49055.500000000007</v>
      </c>
    </row>
    <row r="41" spans="1:23" s="27" customFormat="1" x14ac:dyDescent="0.2">
      <c r="A41" s="21" t="s">
        <v>122</v>
      </c>
      <c r="B41" s="21" t="s">
        <v>41</v>
      </c>
      <c r="C41" s="22">
        <v>1195</v>
      </c>
      <c r="D41" s="23" t="s">
        <v>60</v>
      </c>
      <c r="E41" s="23">
        <v>112282</v>
      </c>
      <c r="F41" s="24">
        <v>36983</v>
      </c>
      <c r="G41" s="24"/>
      <c r="H41" s="25">
        <v>2642</v>
      </c>
      <c r="I41" s="26">
        <f>(400+(H41*0.136)+(H41*0.09))</f>
        <v>997.09199999999998</v>
      </c>
      <c r="J41" s="26">
        <f>H41+I41</f>
        <v>3639.0920000000001</v>
      </c>
      <c r="K41" s="26">
        <v>0</v>
      </c>
      <c r="L41" s="26">
        <v>0</v>
      </c>
      <c r="M41" s="26">
        <v>0</v>
      </c>
      <c r="N41" s="26">
        <v>-3639</v>
      </c>
      <c r="O41" s="26">
        <v>-3639</v>
      </c>
      <c r="P41" s="26">
        <v>-3639</v>
      </c>
      <c r="Q41" s="26">
        <v>-3639</v>
      </c>
      <c r="R41" s="26">
        <v>-3639</v>
      </c>
      <c r="S41" s="26">
        <v>-3639</v>
      </c>
      <c r="T41" s="26">
        <v>-3639</v>
      </c>
      <c r="U41" s="26">
        <v>-3639</v>
      </c>
      <c r="V41" s="26">
        <v>-3639</v>
      </c>
      <c r="W41" s="26">
        <f t="shared" si="1"/>
        <v>-32751</v>
      </c>
    </row>
    <row r="42" spans="1:23" x14ac:dyDescent="0.2">
      <c r="A42" s="4" t="s">
        <v>79</v>
      </c>
      <c r="B42" s="4" t="s">
        <v>41</v>
      </c>
      <c r="C42" s="10">
        <v>1195</v>
      </c>
      <c r="D42" s="7" t="s">
        <v>60</v>
      </c>
      <c r="E42" s="7">
        <v>112254</v>
      </c>
      <c r="F42" s="6">
        <v>36971</v>
      </c>
      <c r="G42" s="6"/>
      <c r="H42" s="5">
        <v>2794.08</v>
      </c>
      <c r="I42" s="8">
        <v>1031.46208</v>
      </c>
      <c r="J42" s="8">
        <v>3825.5420800000002</v>
      </c>
      <c r="K42" s="8">
        <v>0</v>
      </c>
      <c r="L42" s="8">
        <v>0</v>
      </c>
      <c r="M42" s="8">
        <v>-3825.5420800000002</v>
      </c>
      <c r="N42" s="8">
        <v>-3825.5420800000002</v>
      </c>
      <c r="O42" s="8">
        <v>-3825.5420800000002</v>
      </c>
      <c r="P42" s="8">
        <v>-3825.5420800000002</v>
      </c>
      <c r="Q42" s="8">
        <v>-3825.5420800000002</v>
      </c>
      <c r="R42" s="8">
        <v>-3825.5420800000002</v>
      </c>
      <c r="S42" s="8">
        <v>-3825.5420800000002</v>
      </c>
      <c r="T42" s="8">
        <v>-3825.5420800000002</v>
      </c>
      <c r="U42" s="8">
        <v>-3825.5420800000002</v>
      </c>
      <c r="V42" s="8">
        <v>-3825.5420800000002</v>
      </c>
      <c r="W42" s="8">
        <f t="shared" si="1"/>
        <v>-38255.4208</v>
      </c>
    </row>
    <row r="43" spans="1:23" x14ac:dyDescent="0.2">
      <c r="A43" s="3" t="s">
        <v>32</v>
      </c>
      <c r="B43" s="3" t="s">
        <v>44</v>
      </c>
      <c r="C43" s="10">
        <v>1195</v>
      </c>
      <c r="D43" s="7" t="s">
        <v>60</v>
      </c>
      <c r="E43" s="7">
        <v>112266</v>
      </c>
      <c r="F43" s="6">
        <v>36938</v>
      </c>
      <c r="G43" s="6" t="s">
        <v>45</v>
      </c>
      <c r="H43" s="5">
        <v>3504</v>
      </c>
      <c r="I43" s="8">
        <v>1191.904</v>
      </c>
      <c r="J43" s="8">
        <v>4695.9040000000005</v>
      </c>
      <c r="K43" s="8">
        <v>0</v>
      </c>
      <c r="L43" s="8">
        <v>-2151</v>
      </c>
      <c r="M43" s="8">
        <v>-3906</v>
      </c>
      <c r="N43" s="8">
        <v>-3906</v>
      </c>
      <c r="O43" s="8">
        <v>-3906</v>
      </c>
      <c r="P43" s="8">
        <v>-3906</v>
      </c>
      <c r="Q43" s="8">
        <v>-3906</v>
      </c>
      <c r="R43" s="8">
        <v>-3906</v>
      </c>
      <c r="S43" s="8">
        <v>-3906</v>
      </c>
      <c r="T43" s="8">
        <v>-3906</v>
      </c>
      <c r="U43" s="8">
        <v>-3906</v>
      </c>
      <c r="V43" s="8">
        <v>-3906</v>
      </c>
      <c r="W43" s="8">
        <f t="shared" si="1"/>
        <v>-41211</v>
      </c>
    </row>
    <row r="44" spans="1:23" x14ac:dyDescent="0.2">
      <c r="A44" s="3" t="s">
        <v>59</v>
      </c>
      <c r="B44" s="3" t="s">
        <v>41</v>
      </c>
      <c r="C44" s="10">
        <v>1195</v>
      </c>
      <c r="D44" s="7" t="s">
        <v>60</v>
      </c>
      <c r="E44" s="7">
        <v>112248</v>
      </c>
      <c r="F44" s="6">
        <v>36969</v>
      </c>
      <c r="G44" s="6"/>
      <c r="H44" s="5">
        <v>2613.8200000000002</v>
      </c>
      <c r="I44" s="8">
        <v>990.72332000000006</v>
      </c>
      <c r="J44" s="8">
        <v>3604.5433200000002</v>
      </c>
      <c r="K44" s="8">
        <v>0</v>
      </c>
      <c r="L44" s="8">
        <v>0</v>
      </c>
      <c r="M44" s="8">
        <f>-3605*0.5</f>
        <v>-1802.5</v>
      </c>
      <c r="N44" s="8">
        <v>-3604.5433200000002</v>
      </c>
      <c r="O44" s="8">
        <v>-3604.5433200000002</v>
      </c>
      <c r="P44" s="8">
        <v>-3604.5433200000002</v>
      </c>
      <c r="Q44" s="8">
        <v>-3604.5433200000002</v>
      </c>
      <c r="R44" s="8">
        <v>-3604.5433200000002</v>
      </c>
      <c r="S44" s="8">
        <v>-3604.5433200000002</v>
      </c>
      <c r="T44" s="8">
        <v>-3604.5433200000002</v>
      </c>
      <c r="U44" s="8">
        <v>-3604.5433200000002</v>
      </c>
      <c r="V44" s="8">
        <v>-3604.5433200000002</v>
      </c>
      <c r="W44" s="8">
        <f t="shared" si="1"/>
        <v>-34243.389880000002</v>
      </c>
    </row>
    <row r="45" spans="1:23" x14ac:dyDescent="0.2">
      <c r="A45" s="3" t="s">
        <v>53</v>
      </c>
      <c r="B45" s="3" t="s">
        <v>44</v>
      </c>
      <c r="C45" s="10">
        <v>1195</v>
      </c>
      <c r="D45" s="7" t="s">
        <v>60</v>
      </c>
      <c r="E45" s="7">
        <v>112247</v>
      </c>
      <c r="F45" s="6">
        <v>36938</v>
      </c>
      <c r="G45" s="6"/>
      <c r="H45" s="5">
        <v>2821</v>
      </c>
      <c r="I45" s="8">
        <v>1037.5459999999998</v>
      </c>
      <c r="J45" s="8">
        <v>3858.5459999999998</v>
      </c>
      <c r="K45" s="8">
        <v>0</v>
      </c>
      <c r="L45" s="8">
        <f>-3859*0.5</f>
        <v>-1929.5</v>
      </c>
      <c r="M45" s="8">
        <v>-3858.5459999999998</v>
      </c>
      <c r="N45" s="8">
        <v>-3858.5459999999998</v>
      </c>
      <c r="O45" s="8">
        <v>-3858.5459999999998</v>
      </c>
      <c r="P45" s="8">
        <v>-3858.5459999999998</v>
      </c>
      <c r="Q45" s="8">
        <v>-3858.5459999999998</v>
      </c>
      <c r="R45" s="8">
        <v>-3858.5459999999998</v>
      </c>
      <c r="S45" s="8">
        <v>-3858.5459999999998</v>
      </c>
      <c r="T45" s="8">
        <v>-3858.5459999999998</v>
      </c>
      <c r="U45" s="8">
        <v>-3858.5459999999998</v>
      </c>
      <c r="V45" s="8">
        <v>-3858.5459999999998</v>
      </c>
      <c r="W45" s="8">
        <f t="shared" si="1"/>
        <v>-40514.959999999999</v>
      </c>
    </row>
    <row r="46" spans="1:23" s="27" customFormat="1" x14ac:dyDescent="0.2">
      <c r="A46" s="28" t="s">
        <v>123</v>
      </c>
      <c r="B46" s="28" t="s">
        <v>41</v>
      </c>
      <c r="C46" s="22">
        <v>1195</v>
      </c>
      <c r="D46" s="23" t="s">
        <v>60</v>
      </c>
      <c r="E46" s="23">
        <v>112304</v>
      </c>
      <c r="F46" s="24">
        <v>36980</v>
      </c>
      <c r="G46" s="24"/>
      <c r="H46" s="25">
        <v>2530</v>
      </c>
      <c r="I46" s="26">
        <f>(400+(H46*0.136)+(H46*0.09))</f>
        <v>971.78</v>
      </c>
      <c r="J46" s="26">
        <f>H46+I46</f>
        <v>3501.7799999999997</v>
      </c>
      <c r="K46" s="26">
        <v>0</v>
      </c>
      <c r="L46" s="26">
        <v>0</v>
      </c>
      <c r="M46" s="26">
        <v>0</v>
      </c>
      <c r="N46" s="26">
        <v>-3502</v>
      </c>
      <c r="O46" s="26">
        <v>-3502</v>
      </c>
      <c r="P46" s="26">
        <v>-3502</v>
      </c>
      <c r="Q46" s="26">
        <v>-3502</v>
      </c>
      <c r="R46" s="26">
        <v>-3502</v>
      </c>
      <c r="S46" s="26">
        <v>-3502</v>
      </c>
      <c r="T46" s="26">
        <v>-3502</v>
      </c>
      <c r="U46" s="26">
        <v>-3502</v>
      </c>
      <c r="V46" s="26">
        <v>-3502</v>
      </c>
      <c r="W46" s="26">
        <f t="shared" si="1"/>
        <v>-31518</v>
      </c>
    </row>
    <row r="47" spans="1:23" x14ac:dyDescent="0.2">
      <c r="A47" s="3" t="s">
        <v>33</v>
      </c>
      <c r="B47" s="3" t="s">
        <v>44</v>
      </c>
      <c r="C47" s="10">
        <v>1195</v>
      </c>
      <c r="D47" s="7" t="s">
        <v>60</v>
      </c>
      <c r="E47" s="7">
        <v>112282</v>
      </c>
      <c r="F47" s="6">
        <v>36948</v>
      </c>
      <c r="G47" s="6"/>
      <c r="H47" s="5">
        <v>3041.67</v>
      </c>
      <c r="I47" s="8">
        <v>1087.41742</v>
      </c>
      <c r="J47" s="8">
        <v>4129.0874199999998</v>
      </c>
      <c r="K47" s="8">
        <v>0</v>
      </c>
      <c r="L47" s="8">
        <f>+K47*0.5</f>
        <v>0</v>
      </c>
      <c r="M47" s="8">
        <v>-4129.0874199999998</v>
      </c>
      <c r="N47" s="8">
        <v>-4129.0874199999998</v>
      </c>
      <c r="O47" s="8">
        <v>-4129.0874199999998</v>
      </c>
      <c r="P47" s="8">
        <v>-4129.0874199999998</v>
      </c>
      <c r="Q47" s="8">
        <v>-4129.0874199999998</v>
      </c>
      <c r="R47" s="8">
        <v>-4129.0874199999998</v>
      </c>
      <c r="S47" s="8">
        <v>-4129.0874199999998</v>
      </c>
      <c r="T47" s="8">
        <v>-4129.0874199999998</v>
      </c>
      <c r="U47" s="8">
        <v>-4129.0874199999998</v>
      </c>
      <c r="V47" s="8">
        <v>-4129.0874199999998</v>
      </c>
      <c r="W47" s="8">
        <f t="shared" si="1"/>
        <v>-41290.874199999991</v>
      </c>
    </row>
    <row r="48" spans="1:23" x14ac:dyDescent="0.2">
      <c r="A48" s="3" t="s">
        <v>116</v>
      </c>
      <c r="B48" s="3" t="s">
        <v>44</v>
      </c>
      <c r="C48" s="10">
        <v>1195</v>
      </c>
      <c r="D48" s="7" t="s">
        <v>60</v>
      </c>
      <c r="F48" s="6">
        <v>36923</v>
      </c>
      <c r="G48" s="6"/>
      <c r="H48" s="5">
        <v>3535</v>
      </c>
      <c r="I48" s="8">
        <f>(400+(H48*0.136)+(H48*0.09))</f>
        <v>1198.9099999999999</v>
      </c>
      <c r="J48" s="8">
        <f>H48+I48</f>
        <v>4733.91</v>
      </c>
      <c r="K48" s="8">
        <v>0</v>
      </c>
      <c r="L48" s="8">
        <v>-4734</v>
      </c>
      <c r="M48" s="8">
        <v>-4734</v>
      </c>
      <c r="N48" s="8">
        <v>-4734</v>
      </c>
      <c r="O48" s="8">
        <v>-4734</v>
      </c>
      <c r="P48" s="8">
        <v>-4734</v>
      </c>
      <c r="Q48" s="8">
        <v>-4734</v>
      </c>
      <c r="R48" s="8">
        <v>-4734</v>
      </c>
      <c r="S48" s="8">
        <v>-4734</v>
      </c>
      <c r="T48" s="8">
        <v>-4734</v>
      </c>
      <c r="U48" s="8">
        <v>-4734</v>
      </c>
      <c r="V48" s="8">
        <v>-4734</v>
      </c>
      <c r="W48" s="8">
        <f t="shared" si="1"/>
        <v>-52074</v>
      </c>
    </row>
    <row r="49" spans="1:23" x14ac:dyDescent="0.2">
      <c r="A49" s="4" t="s">
        <v>76</v>
      </c>
      <c r="B49" s="4" t="s">
        <v>41</v>
      </c>
      <c r="C49" s="10">
        <v>1195</v>
      </c>
      <c r="D49" s="7" t="s">
        <v>60</v>
      </c>
      <c r="E49" s="7">
        <v>112253</v>
      </c>
      <c r="F49" s="6">
        <v>36971</v>
      </c>
      <c r="G49" s="6"/>
      <c r="H49" s="5">
        <v>2558.8000000000002</v>
      </c>
      <c r="I49" s="8">
        <v>978.28880000000015</v>
      </c>
      <c r="J49" s="8">
        <v>3537.0888000000004</v>
      </c>
      <c r="K49" s="8">
        <v>0</v>
      </c>
      <c r="L49" s="8">
        <v>0</v>
      </c>
      <c r="M49" s="8">
        <v>-3537.0888000000004</v>
      </c>
      <c r="N49" s="8">
        <v>-3537.0888000000004</v>
      </c>
      <c r="O49" s="8">
        <v>-3537.0888000000004</v>
      </c>
      <c r="P49" s="8">
        <v>-3537.0888000000004</v>
      </c>
      <c r="Q49" s="8">
        <v>-3537.0888000000004</v>
      </c>
      <c r="R49" s="8">
        <v>-3537.0888000000004</v>
      </c>
      <c r="S49" s="8">
        <v>-3537.0888000000004</v>
      </c>
      <c r="T49" s="8">
        <v>-3537.0888000000004</v>
      </c>
      <c r="U49" s="8">
        <v>-3537.0888000000004</v>
      </c>
      <c r="V49" s="8">
        <v>-3537.0888000000004</v>
      </c>
      <c r="W49" s="8">
        <f t="shared" si="1"/>
        <v>-35370.888000000006</v>
      </c>
    </row>
    <row r="50" spans="1:23" x14ac:dyDescent="0.2">
      <c r="A50" s="4" t="s">
        <v>70</v>
      </c>
      <c r="B50" s="4" t="s">
        <v>41</v>
      </c>
      <c r="C50" s="10">
        <v>1195</v>
      </c>
      <c r="D50" s="7" t="s">
        <v>60</v>
      </c>
      <c r="E50" s="7">
        <v>112224</v>
      </c>
      <c r="F50" s="6">
        <v>36969</v>
      </c>
      <c r="G50" s="6"/>
      <c r="H50" s="5">
        <v>2583.33</v>
      </c>
      <c r="I50" s="8">
        <v>983.83257999999989</v>
      </c>
      <c r="J50" s="8">
        <v>3567.1625799999997</v>
      </c>
      <c r="K50" s="8">
        <v>0</v>
      </c>
      <c r="L50" s="8">
        <v>0</v>
      </c>
      <c r="M50" s="8">
        <f>-3567*0.5</f>
        <v>-1783.5</v>
      </c>
      <c r="N50" s="8">
        <v>-3567.1625799999997</v>
      </c>
      <c r="O50" s="8">
        <v>-3567.1625799999997</v>
      </c>
      <c r="P50" s="8">
        <v>-3567.1625799999997</v>
      </c>
      <c r="Q50" s="8">
        <v>-3567.1625799999997</v>
      </c>
      <c r="R50" s="8">
        <v>-3567.1625799999997</v>
      </c>
      <c r="S50" s="8">
        <v>-3567.1625799999997</v>
      </c>
      <c r="T50" s="8">
        <v>-3567.1625799999997</v>
      </c>
      <c r="U50" s="8">
        <v>-3567.1625799999997</v>
      </c>
      <c r="V50" s="8">
        <v>-3567.1625799999997</v>
      </c>
      <c r="W50" s="8">
        <f t="shared" si="1"/>
        <v>-33887.963219999998</v>
      </c>
    </row>
    <row r="51" spans="1:23" x14ac:dyDescent="0.2">
      <c r="A51" s="3" t="s">
        <v>115</v>
      </c>
      <c r="B51" s="3" t="s">
        <v>44</v>
      </c>
      <c r="C51" s="10">
        <v>1195</v>
      </c>
      <c r="D51" s="7" t="s">
        <v>60</v>
      </c>
      <c r="F51" s="6">
        <v>36923</v>
      </c>
      <c r="G51" s="6"/>
      <c r="H51" s="5">
        <v>3739</v>
      </c>
      <c r="I51" s="8">
        <f>(400+(H51*0.136)+(H51*0.09))</f>
        <v>1245.0140000000001</v>
      </c>
      <c r="J51" s="8">
        <f>H51+I51</f>
        <v>4984.0140000000001</v>
      </c>
      <c r="K51" s="8">
        <v>0</v>
      </c>
      <c r="L51" s="8">
        <v>-4984</v>
      </c>
      <c r="M51" s="8">
        <v>-4984</v>
      </c>
      <c r="N51" s="8">
        <v>-4984</v>
      </c>
      <c r="O51" s="8">
        <v>-4984</v>
      </c>
      <c r="P51" s="8">
        <v>-4984</v>
      </c>
      <c r="Q51" s="8">
        <v>-4984</v>
      </c>
      <c r="R51" s="8">
        <v>-4984</v>
      </c>
      <c r="S51" s="8">
        <v>-4984</v>
      </c>
      <c r="T51" s="8">
        <v>-4984</v>
      </c>
      <c r="U51" s="8">
        <v>-4984</v>
      </c>
      <c r="V51" s="8">
        <v>-4984</v>
      </c>
      <c r="W51" s="8">
        <f t="shared" si="1"/>
        <v>-54824</v>
      </c>
    </row>
    <row r="52" spans="1:23" x14ac:dyDescent="0.2">
      <c r="A52" s="4" t="s">
        <v>67</v>
      </c>
      <c r="B52" s="4" t="s">
        <v>41</v>
      </c>
      <c r="C52" s="10">
        <v>1195</v>
      </c>
      <c r="D52" s="7" t="s">
        <v>60</v>
      </c>
      <c r="E52" s="7">
        <v>111446</v>
      </c>
      <c r="F52" s="6">
        <v>36951</v>
      </c>
      <c r="G52" s="6"/>
      <c r="H52" s="5">
        <v>4852.83</v>
      </c>
      <c r="I52" s="8">
        <v>1496.7395799999999</v>
      </c>
      <c r="J52" s="8">
        <v>6349.5695799999994</v>
      </c>
      <c r="K52" s="8">
        <v>0</v>
      </c>
      <c r="L52" s="8">
        <v>0</v>
      </c>
      <c r="M52" s="8">
        <v>-6349.5695799999994</v>
      </c>
      <c r="N52" s="8">
        <v>-6349.5695799999994</v>
      </c>
      <c r="O52" s="8">
        <v>-6349.5695799999994</v>
      </c>
      <c r="P52" s="8">
        <v>-6349.5695799999994</v>
      </c>
      <c r="Q52" s="8">
        <v>-6349.5695799999994</v>
      </c>
      <c r="R52" s="8">
        <v>-6349.5695799999994</v>
      </c>
      <c r="S52" s="8">
        <v>-6349.5695799999994</v>
      </c>
      <c r="T52" s="8">
        <v>-6349.5695799999994</v>
      </c>
      <c r="U52" s="8">
        <v>-6349.5695799999994</v>
      </c>
      <c r="V52" s="8">
        <v>-6349.5695799999994</v>
      </c>
      <c r="W52" s="8">
        <f t="shared" si="1"/>
        <v>-63495.695799999987</v>
      </c>
    </row>
    <row r="53" spans="1:23" x14ac:dyDescent="0.2">
      <c r="A53" s="4" t="s">
        <v>82</v>
      </c>
      <c r="B53" s="4" t="s">
        <v>41</v>
      </c>
      <c r="C53" s="10">
        <v>1195</v>
      </c>
      <c r="D53" s="7" t="s">
        <v>60</v>
      </c>
      <c r="E53" s="7">
        <v>112265</v>
      </c>
      <c r="F53" s="6">
        <v>36923</v>
      </c>
      <c r="G53" s="6"/>
      <c r="H53" s="5">
        <v>3206.67</v>
      </c>
      <c r="I53" s="8">
        <v>1124.7074200000002</v>
      </c>
      <c r="J53" s="8">
        <v>4331.3774200000007</v>
      </c>
      <c r="K53" s="8">
        <v>0</v>
      </c>
      <c r="L53" s="8">
        <v>-4331.3774200000007</v>
      </c>
      <c r="M53" s="8">
        <v>-4331.3774200000007</v>
      </c>
      <c r="N53" s="8">
        <v>-4331.3774200000007</v>
      </c>
      <c r="O53" s="8">
        <v>-4331.3774200000007</v>
      </c>
      <c r="P53" s="8">
        <v>-4331.3774200000007</v>
      </c>
      <c r="Q53" s="8">
        <v>-4331.3774200000007</v>
      </c>
      <c r="R53" s="8">
        <v>-4331.3774200000007</v>
      </c>
      <c r="S53" s="8">
        <v>-4331.3774200000007</v>
      </c>
      <c r="T53" s="8">
        <v>-4331.3774200000007</v>
      </c>
      <c r="U53" s="8">
        <v>-4331.3774200000007</v>
      </c>
      <c r="V53" s="8">
        <v>-4331.3774200000007</v>
      </c>
      <c r="W53" s="8">
        <f t="shared" si="1"/>
        <v>-47645.151620000019</v>
      </c>
    </row>
    <row r="54" spans="1:23" x14ac:dyDescent="0.2">
      <c r="A54" s="3" t="s">
        <v>68</v>
      </c>
      <c r="B54" s="3" t="s">
        <v>44</v>
      </c>
      <c r="C54" s="10">
        <v>1195</v>
      </c>
      <c r="D54" s="7" t="s">
        <v>60</v>
      </c>
      <c r="E54" s="7">
        <v>112285</v>
      </c>
      <c r="F54" s="6">
        <v>36938</v>
      </c>
      <c r="G54" s="6"/>
      <c r="H54" s="5">
        <v>3080.42</v>
      </c>
      <c r="I54" s="8">
        <v>1096.1749199999999</v>
      </c>
      <c r="J54" s="8">
        <v>4176.5949199999995</v>
      </c>
      <c r="K54" s="8">
        <v>0</v>
      </c>
      <c r="L54" s="8">
        <f>-4177*0.5</f>
        <v>-2088.5</v>
      </c>
      <c r="M54" s="8">
        <v>-4176.5949199999995</v>
      </c>
      <c r="N54" s="8">
        <v>-4176.5949199999995</v>
      </c>
      <c r="O54" s="8">
        <v>-4176.5949199999995</v>
      </c>
      <c r="P54" s="8">
        <v>-4176.5949199999995</v>
      </c>
      <c r="Q54" s="8">
        <v>-4176.5949199999995</v>
      </c>
      <c r="R54" s="8">
        <v>-4176.5949199999995</v>
      </c>
      <c r="S54" s="8">
        <v>-4176.5949199999995</v>
      </c>
      <c r="T54" s="8">
        <v>-4176.5949199999995</v>
      </c>
      <c r="U54" s="8">
        <v>-4176.5949199999995</v>
      </c>
      <c r="V54" s="8">
        <v>-4176.5949199999995</v>
      </c>
      <c r="W54" s="8">
        <f t="shared" si="1"/>
        <v>-43854.449200000003</v>
      </c>
    </row>
    <row r="55" spans="1:23" x14ac:dyDescent="0.2">
      <c r="A55" s="3" t="s">
        <v>61</v>
      </c>
      <c r="B55" s="3" t="s">
        <v>44</v>
      </c>
      <c r="C55" s="10">
        <v>1195</v>
      </c>
      <c r="D55" s="7" t="s">
        <v>60</v>
      </c>
      <c r="E55" s="7">
        <v>112233</v>
      </c>
      <c r="F55" s="6">
        <v>36938</v>
      </c>
      <c r="G55" s="6"/>
      <c r="H55" s="5">
        <v>2599.06</v>
      </c>
      <c r="I55" s="8">
        <v>987.38756000000001</v>
      </c>
      <c r="J55" s="8">
        <v>3586.4475600000001</v>
      </c>
      <c r="K55" s="8">
        <v>0</v>
      </c>
      <c r="L55" s="8">
        <f>-3586*0.5</f>
        <v>-1793</v>
      </c>
      <c r="M55" s="8">
        <v>-3586.4475600000001</v>
      </c>
      <c r="N55" s="8">
        <v>-3586.4475600000001</v>
      </c>
      <c r="O55" s="8">
        <v>-3586.4475600000001</v>
      </c>
      <c r="P55" s="8">
        <v>-3586.4475600000001</v>
      </c>
      <c r="Q55" s="8">
        <v>-3586.4475600000001</v>
      </c>
      <c r="R55" s="8">
        <v>-3586.4475600000001</v>
      </c>
      <c r="S55" s="8">
        <v>-3586.4475600000001</v>
      </c>
      <c r="T55" s="8">
        <v>-3586.4475600000001</v>
      </c>
      <c r="U55" s="8">
        <v>-3586.4475600000001</v>
      </c>
      <c r="V55" s="8">
        <v>-3586.4475600000001</v>
      </c>
      <c r="W55" s="8">
        <f t="shared" ref="W55:W91" si="3">SUM(K55:V55)</f>
        <v>-37657.475600000005</v>
      </c>
    </row>
    <row r="56" spans="1:23" x14ac:dyDescent="0.2">
      <c r="A56" s="4" t="s">
        <v>80</v>
      </c>
      <c r="B56" s="4" t="s">
        <v>41</v>
      </c>
      <c r="C56" s="10">
        <v>1195</v>
      </c>
      <c r="D56" s="7" t="s">
        <v>60</v>
      </c>
      <c r="E56" s="7">
        <v>112255</v>
      </c>
      <c r="F56" s="6">
        <v>36803</v>
      </c>
      <c r="G56" s="6"/>
      <c r="H56" s="5">
        <v>3125</v>
      </c>
      <c r="I56" s="8">
        <v>1106.25</v>
      </c>
      <c r="J56" s="8">
        <v>4231.25</v>
      </c>
      <c r="K56" s="8">
        <v>-4231.25</v>
      </c>
      <c r="L56" s="8">
        <v>-4231.25</v>
      </c>
      <c r="M56" s="8">
        <v>-4231.25</v>
      </c>
      <c r="N56" s="8">
        <v>-4231.25</v>
      </c>
      <c r="O56" s="8">
        <v>-4231.25</v>
      </c>
      <c r="P56" s="8">
        <v>-4231.25</v>
      </c>
      <c r="Q56" s="8">
        <v>-4231.25</v>
      </c>
      <c r="R56" s="8">
        <v>-4231.25</v>
      </c>
      <c r="S56" s="8">
        <v>-4231.25</v>
      </c>
      <c r="T56" s="8">
        <v>-4231.25</v>
      </c>
      <c r="U56" s="8">
        <v>-4231.25</v>
      </c>
      <c r="V56" s="8">
        <v>-4231.25</v>
      </c>
      <c r="W56" s="8">
        <f t="shared" si="3"/>
        <v>-50775</v>
      </c>
    </row>
    <row r="57" spans="1:23" x14ac:dyDescent="0.2">
      <c r="A57" s="3" t="s">
        <v>26</v>
      </c>
      <c r="B57" s="3" t="s">
        <v>44</v>
      </c>
      <c r="C57" s="10">
        <v>1195</v>
      </c>
      <c r="D57" s="7" t="s">
        <v>60</v>
      </c>
      <c r="E57" s="7">
        <v>112219</v>
      </c>
      <c r="F57" s="6">
        <v>36938</v>
      </c>
      <c r="G57" s="6" t="s">
        <v>45</v>
      </c>
      <c r="H57" s="5">
        <v>2998</v>
      </c>
      <c r="I57" s="8">
        <v>1077.548</v>
      </c>
      <c r="J57" s="8">
        <v>4075.5479999999998</v>
      </c>
      <c r="K57" s="8">
        <v>0</v>
      </c>
      <c r="L57" s="8">
        <v>-2005</v>
      </c>
      <c r="M57" s="8">
        <v>-3943</v>
      </c>
      <c r="N57" s="8">
        <v>-3943</v>
      </c>
      <c r="O57" s="8">
        <v>-3943</v>
      </c>
      <c r="P57" s="8">
        <v>-3943</v>
      </c>
      <c r="Q57" s="8">
        <v>-3943</v>
      </c>
      <c r="R57" s="8">
        <v>-3943</v>
      </c>
      <c r="S57" s="8">
        <v>-3943</v>
      </c>
      <c r="T57" s="8">
        <v>-3943</v>
      </c>
      <c r="U57" s="8">
        <v>-3943</v>
      </c>
      <c r="V57" s="8">
        <v>-3943</v>
      </c>
      <c r="W57" s="8">
        <f>SUM(K57:V57)</f>
        <v>-41435</v>
      </c>
    </row>
    <row r="58" spans="1:23" s="27" customFormat="1" x14ac:dyDescent="0.2">
      <c r="A58" s="28" t="s">
        <v>124</v>
      </c>
      <c r="B58" s="28" t="s">
        <v>44</v>
      </c>
      <c r="C58" s="22">
        <v>1195</v>
      </c>
      <c r="D58" s="23" t="s">
        <v>60</v>
      </c>
      <c r="E58" s="23">
        <v>111593</v>
      </c>
      <c r="F58" s="24">
        <v>37004</v>
      </c>
      <c r="G58" s="24"/>
      <c r="H58" s="25">
        <v>2667</v>
      </c>
      <c r="I58" s="26">
        <f>(400+(H58*0.136)+(H58*0.09))</f>
        <v>1002.742</v>
      </c>
      <c r="J58" s="26">
        <f>H58+I58</f>
        <v>3669.7420000000002</v>
      </c>
      <c r="K58" s="26">
        <v>0</v>
      </c>
      <c r="L58" s="26">
        <v>0</v>
      </c>
      <c r="M58" s="26">
        <v>0</v>
      </c>
      <c r="N58" s="26">
        <v>0</v>
      </c>
      <c r="O58" s="26">
        <v>-3670</v>
      </c>
      <c r="P58" s="26">
        <v>-3670</v>
      </c>
      <c r="Q58" s="26">
        <v>-3670</v>
      </c>
      <c r="R58" s="26">
        <v>-3670</v>
      </c>
      <c r="S58" s="26">
        <v>-3670</v>
      </c>
      <c r="T58" s="26">
        <v>-3670</v>
      </c>
      <c r="U58" s="26">
        <v>-3670</v>
      </c>
      <c r="V58" s="26">
        <v>-3670</v>
      </c>
      <c r="W58" s="26">
        <f>SUM(K58:V58)</f>
        <v>-29360</v>
      </c>
    </row>
    <row r="59" spans="1:23" x14ac:dyDescent="0.2">
      <c r="A59" s="4" t="s">
        <v>77</v>
      </c>
      <c r="B59" s="4" t="s">
        <v>41</v>
      </c>
      <c r="C59" s="10">
        <v>1195</v>
      </c>
      <c r="D59" s="7" t="s">
        <v>60</v>
      </c>
      <c r="E59" s="7">
        <v>112253</v>
      </c>
      <c r="F59" s="6">
        <v>36927</v>
      </c>
      <c r="G59" s="6"/>
      <c r="H59" s="5">
        <v>2559.4299999999998</v>
      </c>
      <c r="I59" s="8">
        <v>978.43118000000004</v>
      </c>
      <c r="J59" s="8">
        <v>3537.8611799999999</v>
      </c>
      <c r="K59" s="8">
        <v>0</v>
      </c>
      <c r="L59" s="8">
        <v>-3537.8611799999999</v>
      </c>
      <c r="M59" s="8">
        <v>-3537.8611799999999</v>
      </c>
      <c r="N59" s="8">
        <v>-3537.8611799999999</v>
      </c>
      <c r="O59" s="8">
        <v>-3537.8611799999999</v>
      </c>
      <c r="P59" s="8">
        <v>-3537.8611799999999</v>
      </c>
      <c r="Q59" s="8">
        <v>-3537.8611799999999</v>
      </c>
      <c r="R59" s="8">
        <v>-3537.8611799999999</v>
      </c>
      <c r="S59" s="8">
        <v>-3537.8611799999999</v>
      </c>
      <c r="T59" s="8">
        <v>-3537.8611799999999</v>
      </c>
      <c r="U59" s="8">
        <v>-3537.8611799999999</v>
      </c>
      <c r="V59" s="8">
        <v>-3537.8611799999999</v>
      </c>
      <c r="W59" s="8">
        <f t="shared" si="3"/>
        <v>-38916.472979999999</v>
      </c>
    </row>
    <row r="60" spans="1:23" x14ac:dyDescent="0.2">
      <c r="A60" s="3" t="s">
        <v>62</v>
      </c>
      <c r="B60" s="3" t="s">
        <v>44</v>
      </c>
      <c r="C60" s="10">
        <v>1195</v>
      </c>
      <c r="D60" s="7" t="s">
        <v>60</v>
      </c>
      <c r="E60" s="7">
        <v>112229</v>
      </c>
      <c r="F60" s="6">
        <v>36969</v>
      </c>
      <c r="G60" s="6"/>
      <c r="H60" s="5">
        <v>2522.6799999999998</v>
      </c>
      <c r="I60" s="8">
        <v>970.12567999999999</v>
      </c>
      <c r="J60" s="8">
        <v>3492.8056799999999</v>
      </c>
      <c r="K60" s="8">
        <v>0</v>
      </c>
      <c r="L60" s="8">
        <v>0</v>
      </c>
      <c r="M60" s="8">
        <f>-3493*0.5</f>
        <v>-1746.5</v>
      </c>
      <c r="N60" s="8">
        <v>-3492.8056799999999</v>
      </c>
      <c r="O60" s="8">
        <v>-3492.8056799999999</v>
      </c>
      <c r="P60" s="8">
        <v>-3492.8056799999999</v>
      </c>
      <c r="Q60" s="8">
        <v>-3492.8056799999999</v>
      </c>
      <c r="R60" s="8">
        <v>-3492.8056799999999</v>
      </c>
      <c r="S60" s="8">
        <v>-3492.8056799999999</v>
      </c>
      <c r="T60" s="8">
        <v>-3492.8056799999999</v>
      </c>
      <c r="U60" s="8">
        <v>-3492.8056799999999</v>
      </c>
      <c r="V60" s="8">
        <v>-3492.8056799999999</v>
      </c>
      <c r="W60" s="8">
        <f t="shared" si="3"/>
        <v>-33181.751120000001</v>
      </c>
    </row>
    <row r="61" spans="1:23" x14ac:dyDescent="0.2">
      <c r="A61" s="3" t="s">
        <v>69</v>
      </c>
      <c r="B61" s="3" t="s">
        <v>44</v>
      </c>
      <c r="C61" s="10">
        <v>1195</v>
      </c>
      <c r="D61" s="7" t="s">
        <v>60</v>
      </c>
      <c r="E61" s="7">
        <v>112290</v>
      </c>
      <c r="F61" s="6">
        <v>36938</v>
      </c>
      <c r="G61" s="6"/>
      <c r="H61" s="5">
        <v>2345.83</v>
      </c>
      <c r="I61" s="8">
        <v>930.15757999999994</v>
      </c>
      <c r="J61" s="8">
        <v>3275.98758</v>
      </c>
      <c r="K61" s="8">
        <v>0</v>
      </c>
      <c r="L61" s="8">
        <f>-3276*0.5</f>
        <v>-1638</v>
      </c>
      <c r="M61" s="8">
        <v>-3275.98758</v>
      </c>
      <c r="N61" s="8">
        <v>-3275.98758</v>
      </c>
      <c r="O61" s="8">
        <v>-3275.98758</v>
      </c>
      <c r="P61" s="8">
        <v>-3275.98758</v>
      </c>
      <c r="Q61" s="8">
        <v>-3275.98758</v>
      </c>
      <c r="R61" s="8">
        <v>-3275.98758</v>
      </c>
      <c r="S61" s="8">
        <v>-3275.98758</v>
      </c>
      <c r="T61" s="8">
        <v>-3275.98758</v>
      </c>
      <c r="U61" s="8">
        <v>-3275.98758</v>
      </c>
      <c r="V61" s="8">
        <v>-3275.98758</v>
      </c>
      <c r="W61" s="8">
        <f t="shared" si="3"/>
        <v>-34397.875800000002</v>
      </c>
    </row>
    <row r="62" spans="1:23" x14ac:dyDescent="0.2">
      <c r="A62" s="4" t="s">
        <v>85</v>
      </c>
      <c r="B62" s="4" t="s">
        <v>41</v>
      </c>
      <c r="C62" s="10">
        <v>1195</v>
      </c>
      <c r="D62" s="7" t="s">
        <v>60</v>
      </c>
      <c r="E62" s="7">
        <v>112292</v>
      </c>
      <c r="F62" s="6">
        <v>36906</v>
      </c>
      <c r="G62" s="6"/>
      <c r="H62" s="5">
        <v>5291.67</v>
      </c>
      <c r="I62" s="8">
        <v>1595.91742</v>
      </c>
      <c r="J62" s="8">
        <v>6887.5874199999998</v>
      </c>
      <c r="K62" s="8">
        <f>-6888*0.5</f>
        <v>-3444</v>
      </c>
      <c r="L62" s="8">
        <v>-6887.5874199999998</v>
      </c>
      <c r="M62" s="8">
        <v>-6887.5874199999998</v>
      </c>
      <c r="N62" s="8">
        <v>-6887.5874199999998</v>
      </c>
      <c r="O62" s="8">
        <v>-6887.5874199999998</v>
      </c>
      <c r="P62" s="8">
        <v>-6887.5874199999998</v>
      </c>
      <c r="Q62" s="8">
        <v>-6887.5874199999998</v>
      </c>
      <c r="R62" s="8">
        <v>-6887.5874199999998</v>
      </c>
      <c r="S62" s="8">
        <v>-6887.5874199999998</v>
      </c>
      <c r="T62" s="8">
        <v>-6887.5874199999998</v>
      </c>
      <c r="U62" s="8">
        <v>-6887.5874199999998</v>
      </c>
      <c r="V62" s="8">
        <v>-6887.5874199999998</v>
      </c>
      <c r="W62" s="8">
        <f t="shared" si="3"/>
        <v>-79207.461619999973</v>
      </c>
    </row>
    <row r="63" spans="1:23" x14ac:dyDescent="0.2">
      <c r="A63" s="4" t="s">
        <v>81</v>
      </c>
      <c r="B63" s="4" t="s">
        <v>41</v>
      </c>
      <c r="C63" s="10">
        <v>1195</v>
      </c>
      <c r="D63" s="7" t="s">
        <v>60</v>
      </c>
      <c r="E63" s="7">
        <v>112263</v>
      </c>
      <c r="F63" s="6">
        <v>36860</v>
      </c>
      <c r="G63" s="6"/>
      <c r="H63" s="5">
        <v>3004.43</v>
      </c>
      <c r="I63" s="8">
        <v>1079.00118</v>
      </c>
      <c r="J63" s="8">
        <v>4083.4311799999996</v>
      </c>
      <c r="K63" s="8">
        <v>-4083.4311799999996</v>
      </c>
      <c r="L63" s="8">
        <v>-4083.4311799999996</v>
      </c>
      <c r="M63" s="8">
        <v>-4083.4311799999996</v>
      </c>
      <c r="N63" s="8">
        <v>-4083.4311799999996</v>
      </c>
      <c r="O63" s="8">
        <v>-4083.4311799999996</v>
      </c>
      <c r="P63" s="8">
        <v>-4083.4311799999996</v>
      </c>
      <c r="Q63" s="8">
        <v>-4083.4311799999996</v>
      </c>
      <c r="R63" s="8">
        <v>-4083.4311799999996</v>
      </c>
      <c r="S63" s="8">
        <v>-4083.4311799999996</v>
      </c>
      <c r="T63" s="8">
        <v>-4083.4311799999996</v>
      </c>
      <c r="U63" s="8">
        <v>-4083.4311799999996</v>
      </c>
      <c r="V63" s="8">
        <v>-4083.4311799999996</v>
      </c>
      <c r="W63" s="8">
        <f t="shared" si="3"/>
        <v>-49001.174159999995</v>
      </c>
    </row>
    <row r="64" spans="1:23" x14ac:dyDescent="0.2">
      <c r="A64" s="3" t="s">
        <v>71</v>
      </c>
      <c r="B64" s="3" t="s">
        <v>44</v>
      </c>
      <c r="C64" s="10">
        <v>1195</v>
      </c>
      <c r="D64" s="7" t="s">
        <v>60</v>
      </c>
      <c r="E64" s="7">
        <v>112224</v>
      </c>
      <c r="F64" s="6">
        <v>36969</v>
      </c>
      <c r="G64" s="6" t="s">
        <v>45</v>
      </c>
      <c r="H64" s="5">
        <v>3917</v>
      </c>
      <c r="I64" s="8">
        <v>1285.242</v>
      </c>
      <c r="J64" s="8">
        <v>5202.2420000000002</v>
      </c>
      <c r="K64" s="8">
        <v>0</v>
      </c>
      <c r="L64" s="8">
        <v>0</v>
      </c>
      <c r="M64" s="8">
        <f>-3996*0.5</f>
        <v>-1998</v>
      </c>
      <c r="N64" s="8">
        <v>-3996</v>
      </c>
      <c r="O64" s="8">
        <v>-3996</v>
      </c>
      <c r="P64" s="8">
        <v>-3996</v>
      </c>
      <c r="Q64" s="8">
        <v>-3996</v>
      </c>
      <c r="R64" s="8">
        <v>-3996</v>
      </c>
      <c r="S64" s="8">
        <v>-3996</v>
      </c>
      <c r="T64" s="8">
        <v>-3996</v>
      </c>
      <c r="U64" s="8">
        <v>-3996</v>
      </c>
      <c r="V64" s="8">
        <v>-3996</v>
      </c>
      <c r="W64" s="8">
        <f t="shared" si="3"/>
        <v>-37962</v>
      </c>
    </row>
    <row r="65" spans="1:23" x14ac:dyDescent="0.2">
      <c r="A65" s="3" t="s">
        <v>51</v>
      </c>
      <c r="B65" s="3" t="s">
        <v>44</v>
      </c>
      <c r="C65" s="10">
        <v>1195</v>
      </c>
      <c r="D65" s="7" t="s">
        <v>60</v>
      </c>
      <c r="E65" s="7">
        <v>112291</v>
      </c>
      <c r="F65" s="6">
        <v>36938</v>
      </c>
      <c r="G65" s="6"/>
      <c r="H65" s="5">
        <v>2253.33</v>
      </c>
      <c r="I65" s="8">
        <v>909.25258000000008</v>
      </c>
      <c r="J65" s="8">
        <v>3162.5825800000002</v>
      </c>
      <c r="K65" s="8">
        <v>0</v>
      </c>
      <c r="L65" s="8">
        <f>-3163*0.5</f>
        <v>-1581.5</v>
      </c>
      <c r="M65" s="8">
        <v>-3162.5825800000002</v>
      </c>
      <c r="N65" s="8">
        <v>-3162.5825800000002</v>
      </c>
      <c r="O65" s="8">
        <v>-3162.5825800000002</v>
      </c>
      <c r="P65" s="8">
        <v>-3162.5825800000002</v>
      </c>
      <c r="Q65" s="8">
        <v>-3162.5825800000002</v>
      </c>
      <c r="R65" s="8">
        <v>-3162.5825800000002</v>
      </c>
      <c r="S65" s="8">
        <v>-3162.5825800000002</v>
      </c>
      <c r="T65" s="8">
        <v>-3162.5825800000002</v>
      </c>
      <c r="U65" s="8">
        <v>-3162.5825800000002</v>
      </c>
      <c r="V65" s="8">
        <v>-3162.5825800000002</v>
      </c>
      <c r="W65" s="8">
        <f t="shared" si="3"/>
        <v>-33207.325800000013</v>
      </c>
    </row>
    <row r="66" spans="1:23" s="27" customFormat="1" x14ac:dyDescent="0.2">
      <c r="A66" s="28" t="s">
        <v>125</v>
      </c>
      <c r="B66" s="28" t="s">
        <v>41</v>
      </c>
      <c r="C66" s="22">
        <v>1195</v>
      </c>
      <c r="D66" s="23" t="s">
        <v>60</v>
      </c>
      <c r="E66" s="23">
        <v>111613</v>
      </c>
      <c r="F66" s="24">
        <v>36980</v>
      </c>
      <c r="G66" s="24"/>
      <c r="H66" s="25">
        <v>4215</v>
      </c>
      <c r="I66" s="26">
        <f>(400+(H66*0.136)+(H66*0.09))</f>
        <v>1352.59</v>
      </c>
      <c r="J66" s="26">
        <f>H66+I66</f>
        <v>5567.59</v>
      </c>
      <c r="K66" s="26">
        <v>0</v>
      </c>
      <c r="L66" s="26">
        <v>0</v>
      </c>
      <c r="M66" s="26">
        <v>0</v>
      </c>
      <c r="N66" s="26">
        <v>-5568</v>
      </c>
      <c r="O66" s="26">
        <v>-5568</v>
      </c>
      <c r="P66" s="26">
        <v>-5568</v>
      </c>
      <c r="Q66" s="26">
        <v>-5568</v>
      </c>
      <c r="R66" s="26">
        <v>-5568</v>
      </c>
      <c r="S66" s="26">
        <v>-5568</v>
      </c>
      <c r="T66" s="26">
        <v>-5568</v>
      </c>
      <c r="U66" s="26">
        <v>-5568</v>
      </c>
      <c r="V66" s="26">
        <v>-5568</v>
      </c>
      <c r="W66" s="26">
        <f t="shared" si="3"/>
        <v>-50112</v>
      </c>
    </row>
    <row r="67" spans="1:23" x14ac:dyDescent="0.2">
      <c r="A67" s="4" t="s">
        <v>72</v>
      </c>
      <c r="B67" s="4" t="s">
        <v>41</v>
      </c>
      <c r="C67" s="10">
        <v>1195</v>
      </c>
      <c r="D67" s="7" t="s">
        <v>60</v>
      </c>
      <c r="E67" s="7">
        <v>112246</v>
      </c>
      <c r="F67" s="6">
        <v>36860</v>
      </c>
      <c r="G67" s="6"/>
      <c r="H67" s="5">
        <v>4534.24</v>
      </c>
      <c r="I67" s="8">
        <v>1424.7382400000001</v>
      </c>
      <c r="J67" s="8">
        <v>5958.9782400000004</v>
      </c>
      <c r="K67" s="8">
        <v>-5958.9782400000004</v>
      </c>
      <c r="L67" s="8">
        <v>-5958.9782400000004</v>
      </c>
      <c r="M67" s="8">
        <v>-5958.9782400000004</v>
      </c>
      <c r="N67" s="8">
        <v>-5958.9782400000004</v>
      </c>
      <c r="O67" s="8">
        <v>-5958.9782400000004</v>
      </c>
      <c r="P67" s="8">
        <v>-5958.9782400000004</v>
      </c>
      <c r="Q67" s="8">
        <v>-5958.9782400000004</v>
      </c>
      <c r="R67" s="8">
        <v>-5958.9782400000004</v>
      </c>
      <c r="S67" s="8">
        <v>-5958.9782400000004</v>
      </c>
      <c r="T67" s="8">
        <v>-5958.9782400000004</v>
      </c>
      <c r="U67" s="8">
        <v>-5958.9782400000004</v>
      </c>
      <c r="V67" s="8">
        <v>-5958.9782400000004</v>
      </c>
      <c r="W67" s="8">
        <f t="shared" si="3"/>
        <v>-71507.73887999999</v>
      </c>
    </row>
    <row r="68" spans="1:23" x14ac:dyDescent="0.2">
      <c r="A68" s="3" t="s">
        <v>64</v>
      </c>
      <c r="B68" s="3" t="s">
        <v>44</v>
      </c>
      <c r="C68" s="10">
        <v>1195</v>
      </c>
      <c r="D68" s="7" t="s">
        <v>60</v>
      </c>
      <c r="E68" s="7">
        <v>112241</v>
      </c>
      <c r="F68" s="6">
        <v>36969</v>
      </c>
      <c r="G68" s="6"/>
      <c r="H68" s="5">
        <v>2553.34</v>
      </c>
      <c r="I68" s="8">
        <v>977.05484000000001</v>
      </c>
      <c r="J68" s="8">
        <v>3530.3948399999999</v>
      </c>
      <c r="K68" s="8">
        <v>0</v>
      </c>
      <c r="L68" s="8">
        <v>0</v>
      </c>
      <c r="M68" s="8">
        <f>-3530*0.5</f>
        <v>-1765</v>
      </c>
      <c r="N68" s="8">
        <v>-3530.3948399999999</v>
      </c>
      <c r="O68" s="8">
        <v>-3530.3948399999999</v>
      </c>
      <c r="P68" s="8">
        <v>-3530.3948399999999</v>
      </c>
      <c r="Q68" s="8">
        <v>-3530.3948399999999</v>
      </c>
      <c r="R68" s="8">
        <v>-3530.3948399999999</v>
      </c>
      <c r="S68" s="8">
        <v>-3530.3948399999999</v>
      </c>
      <c r="T68" s="8">
        <v>-3530.3948399999999</v>
      </c>
      <c r="U68" s="8">
        <v>-3530.3948399999999</v>
      </c>
      <c r="V68" s="8">
        <v>-3530.3948399999999</v>
      </c>
      <c r="W68" s="8">
        <f t="shared" si="3"/>
        <v>-33538.55356</v>
      </c>
    </row>
    <row r="69" spans="1:23" x14ac:dyDescent="0.2">
      <c r="A69" s="3" t="s">
        <v>39</v>
      </c>
      <c r="B69" s="3" t="s">
        <v>44</v>
      </c>
      <c r="C69" s="10">
        <v>1195</v>
      </c>
      <c r="D69" s="7" t="s">
        <v>60</v>
      </c>
      <c r="E69" s="7">
        <v>112291</v>
      </c>
      <c r="F69" s="6">
        <v>36938</v>
      </c>
      <c r="G69" s="6"/>
      <c r="H69" s="5">
        <v>4492.83</v>
      </c>
      <c r="I69" s="8">
        <v>1415.37958</v>
      </c>
      <c r="J69" s="8">
        <v>5908.2095799999997</v>
      </c>
      <c r="K69" s="8">
        <v>0</v>
      </c>
      <c r="L69" s="8">
        <f>-5908*0.5</f>
        <v>-2954</v>
      </c>
      <c r="M69" s="8">
        <v>-5908.2095799999997</v>
      </c>
      <c r="N69" s="8">
        <v>-5908.2095799999997</v>
      </c>
      <c r="O69" s="8">
        <v>-5908.2095799999997</v>
      </c>
      <c r="P69" s="8">
        <v>-5908.2095799999997</v>
      </c>
      <c r="Q69" s="8">
        <v>-5908.2095799999997</v>
      </c>
      <c r="R69" s="8">
        <v>-5908.2095799999997</v>
      </c>
      <c r="S69" s="8">
        <v>-5908.2095799999997</v>
      </c>
      <c r="T69" s="8">
        <v>-5908.2095799999997</v>
      </c>
      <c r="U69" s="8">
        <v>-5908.2095799999997</v>
      </c>
      <c r="V69" s="8">
        <v>-5908.2095799999997</v>
      </c>
      <c r="W69" s="8">
        <f t="shared" si="3"/>
        <v>-62036.095800000003</v>
      </c>
    </row>
    <row r="70" spans="1:23" x14ac:dyDescent="0.2">
      <c r="A70" s="3" t="s">
        <v>63</v>
      </c>
      <c r="B70" s="3" t="s">
        <v>44</v>
      </c>
      <c r="C70" s="10">
        <v>1195</v>
      </c>
      <c r="D70" s="7" t="s">
        <v>60</v>
      </c>
      <c r="E70" s="7">
        <v>112254</v>
      </c>
      <c r="F70" s="6">
        <v>36948</v>
      </c>
      <c r="G70" s="6"/>
      <c r="H70" s="5">
        <v>2594.9899999999998</v>
      </c>
      <c r="I70" s="8">
        <v>986.46773999999994</v>
      </c>
      <c r="J70" s="8">
        <v>3581.4577399999998</v>
      </c>
      <c r="K70" s="8">
        <v>0</v>
      </c>
      <c r="L70" s="8">
        <v>0</v>
      </c>
      <c r="M70" s="8">
        <v>-3581.4577399999998</v>
      </c>
      <c r="N70" s="8">
        <v>-3581.4577399999998</v>
      </c>
      <c r="O70" s="8">
        <v>-3581.4577399999998</v>
      </c>
      <c r="P70" s="8">
        <v>-3581.4577399999998</v>
      </c>
      <c r="Q70" s="8">
        <v>-3581.4577399999998</v>
      </c>
      <c r="R70" s="8">
        <v>-3581.4577399999998</v>
      </c>
      <c r="S70" s="8">
        <v>-3581.4577399999998</v>
      </c>
      <c r="T70" s="8">
        <v>-3581.4577399999998</v>
      </c>
      <c r="U70" s="8">
        <v>-3581.4577399999998</v>
      </c>
      <c r="V70" s="8">
        <v>-3581.4577399999998</v>
      </c>
      <c r="W70" s="8">
        <f t="shared" si="3"/>
        <v>-35814.577399999987</v>
      </c>
    </row>
    <row r="71" spans="1:23" x14ac:dyDescent="0.2">
      <c r="A71" s="4" t="s">
        <v>75</v>
      </c>
      <c r="B71" s="4" t="s">
        <v>41</v>
      </c>
      <c r="C71" s="10">
        <v>1195</v>
      </c>
      <c r="D71" s="7" t="s">
        <v>60</v>
      </c>
      <c r="E71" s="7">
        <v>112248</v>
      </c>
      <c r="F71" s="6">
        <v>36942</v>
      </c>
      <c r="G71" s="6"/>
      <c r="H71" s="5">
        <v>2875.43</v>
      </c>
      <c r="I71" s="8">
        <v>1049.84718</v>
      </c>
      <c r="J71" s="8">
        <v>3925.27718</v>
      </c>
      <c r="K71" s="8">
        <v>0</v>
      </c>
      <c r="L71" s="8">
        <v>-3925.27718</v>
      </c>
      <c r="M71" s="8">
        <v>-3925.27718</v>
      </c>
      <c r="N71" s="8">
        <v>-3925.27718</v>
      </c>
      <c r="O71" s="8">
        <v>-3925.27718</v>
      </c>
      <c r="P71" s="8">
        <v>-3925.27718</v>
      </c>
      <c r="Q71" s="8">
        <v>-3925.27718</v>
      </c>
      <c r="R71" s="8">
        <v>-3925.27718</v>
      </c>
      <c r="S71" s="8">
        <v>-3925.27718</v>
      </c>
      <c r="T71" s="8">
        <v>-3925.27718</v>
      </c>
      <c r="U71" s="8">
        <v>-3925.27718</v>
      </c>
      <c r="V71" s="8">
        <v>-3925.27718</v>
      </c>
      <c r="W71" s="8">
        <f t="shared" si="3"/>
        <v>-43178.04898</v>
      </c>
    </row>
    <row r="72" spans="1:23" x14ac:dyDescent="0.2">
      <c r="A72" s="3" t="s">
        <v>35</v>
      </c>
      <c r="B72" s="3" t="s">
        <v>44</v>
      </c>
      <c r="C72" s="10">
        <v>1195</v>
      </c>
      <c r="D72" s="7" t="s">
        <v>60</v>
      </c>
      <c r="E72" s="7">
        <v>112285</v>
      </c>
      <c r="F72" s="6">
        <v>36938</v>
      </c>
      <c r="G72" s="6"/>
      <c r="H72" s="5">
        <v>2550</v>
      </c>
      <c r="I72" s="8">
        <v>976.3</v>
      </c>
      <c r="J72" s="8">
        <v>3526.3</v>
      </c>
      <c r="K72" s="8">
        <v>0</v>
      </c>
      <c r="L72" s="8">
        <f>-3526*0.5</f>
        <v>-1763</v>
      </c>
      <c r="M72" s="8">
        <v>-3526.3</v>
      </c>
      <c r="N72" s="8">
        <v>-3526.3</v>
      </c>
      <c r="O72" s="8">
        <v>-3526.3</v>
      </c>
      <c r="P72" s="8">
        <v>-3526.3</v>
      </c>
      <c r="Q72" s="8">
        <v>-3526.3</v>
      </c>
      <c r="R72" s="8">
        <v>-3526.3</v>
      </c>
      <c r="S72" s="8">
        <v>-3526.3</v>
      </c>
      <c r="T72" s="8">
        <v>-3526.3</v>
      </c>
      <c r="U72" s="8">
        <v>-3526.3</v>
      </c>
      <c r="V72" s="8">
        <v>-3526.3</v>
      </c>
      <c r="W72" s="8">
        <f t="shared" si="3"/>
        <v>-37026</v>
      </c>
    </row>
    <row r="73" spans="1:23" s="27" customFormat="1" x14ac:dyDescent="0.2">
      <c r="A73" s="28" t="s">
        <v>126</v>
      </c>
      <c r="B73" s="28" t="s">
        <v>44</v>
      </c>
      <c r="C73" s="22">
        <v>1195</v>
      </c>
      <c r="D73" s="23" t="s">
        <v>60</v>
      </c>
      <c r="E73" s="23">
        <v>111566</v>
      </c>
      <c r="F73" s="24">
        <v>37004</v>
      </c>
      <c r="G73" s="24"/>
      <c r="H73" s="25">
        <v>2498</v>
      </c>
      <c r="I73" s="26">
        <f>(400+(H73*0.136)+(H73*0.09))</f>
        <v>964.548</v>
      </c>
      <c r="J73" s="26">
        <f>H73+I73</f>
        <v>3462.5479999999998</v>
      </c>
      <c r="K73" s="26">
        <v>0</v>
      </c>
      <c r="L73" s="26">
        <v>0</v>
      </c>
      <c r="M73" s="26">
        <v>0</v>
      </c>
      <c r="N73" s="26">
        <v>0</v>
      </c>
      <c r="O73" s="26">
        <v>-3463</v>
      </c>
      <c r="P73" s="26">
        <v>-3463</v>
      </c>
      <c r="Q73" s="26">
        <v>-3463</v>
      </c>
      <c r="R73" s="26">
        <v>-3463</v>
      </c>
      <c r="S73" s="26">
        <v>-3463</v>
      </c>
      <c r="T73" s="26">
        <v>-3463</v>
      </c>
      <c r="U73" s="26">
        <v>-3463</v>
      </c>
      <c r="V73" s="26">
        <v>-3463</v>
      </c>
      <c r="W73" s="26">
        <f t="shared" si="3"/>
        <v>-27704</v>
      </c>
    </row>
    <row r="74" spans="1:23" x14ac:dyDescent="0.2">
      <c r="A74" s="4" t="s">
        <v>65</v>
      </c>
      <c r="B74" s="4" t="s">
        <v>41</v>
      </c>
      <c r="C74" s="10">
        <v>1195</v>
      </c>
      <c r="D74" s="7" t="s">
        <v>60</v>
      </c>
      <c r="E74" s="7">
        <v>111230</v>
      </c>
      <c r="F74" s="6">
        <v>36945</v>
      </c>
      <c r="G74" s="6"/>
      <c r="H74" s="5">
        <v>6081.25</v>
      </c>
      <c r="I74" s="8">
        <v>1774.3625000000002</v>
      </c>
      <c r="J74" s="8">
        <v>7855.6125000000002</v>
      </c>
      <c r="K74" s="8">
        <v>0</v>
      </c>
      <c r="L74" s="8">
        <v>-7855.6125000000002</v>
      </c>
      <c r="M74" s="8">
        <v>-7855.6125000000002</v>
      </c>
      <c r="N74" s="8">
        <v>-7855.6125000000002</v>
      </c>
      <c r="O74" s="8">
        <v>-7855.6125000000002</v>
      </c>
      <c r="P74" s="8">
        <v>-7855.6125000000002</v>
      </c>
      <c r="Q74" s="8">
        <v>-7855.6125000000002</v>
      </c>
      <c r="R74" s="8">
        <v>-7855.6125000000002</v>
      </c>
      <c r="S74" s="8">
        <v>-7855.6125000000002</v>
      </c>
      <c r="T74" s="8">
        <v>-7855.6125000000002</v>
      </c>
      <c r="U74" s="8">
        <v>-7855.6125000000002</v>
      </c>
      <c r="V74" s="8">
        <v>-7855.6125000000002</v>
      </c>
      <c r="W74" s="8">
        <f t="shared" si="3"/>
        <v>-86411.737500000017</v>
      </c>
    </row>
    <row r="75" spans="1:23" x14ac:dyDescent="0.2">
      <c r="A75" s="4" t="s">
        <v>83</v>
      </c>
      <c r="B75" s="4" t="s">
        <v>41</v>
      </c>
      <c r="C75" s="10">
        <v>1195</v>
      </c>
      <c r="D75" s="7" t="s">
        <v>60</v>
      </c>
      <c r="E75" s="7">
        <v>112265</v>
      </c>
      <c r="F75" s="6">
        <v>36929</v>
      </c>
      <c r="G75" s="6"/>
      <c r="H75" s="5">
        <v>2946.67</v>
      </c>
      <c r="I75" s="8">
        <v>1065.94742</v>
      </c>
      <c r="J75" s="8">
        <v>4012.61742</v>
      </c>
      <c r="K75" s="8">
        <v>0</v>
      </c>
      <c r="L75" s="8">
        <v>-4012.61742</v>
      </c>
      <c r="M75" s="8">
        <v>-4012.61742</v>
      </c>
      <c r="N75" s="8">
        <v>-4012.61742</v>
      </c>
      <c r="O75" s="8">
        <v>-4012.61742</v>
      </c>
      <c r="P75" s="8">
        <v>-4012.61742</v>
      </c>
      <c r="Q75" s="8">
        <v>-4012.61742</v>
      </c>
      <c r="R75" s="8">
        <v>-4012.61742</v>
      </c>
      <c r="S75" s="8">
        <v>-4012.61742</v>
      </c>
      <c r="T75" s="8">
        <v>-4012.61742</v>
      </c>
      <c r="U75" s="8">
        <v>-4012.61742</v>
      </c>
      <c r="V75" s="8">
        <v>-4012.61742</v>
      </c>
      <c r="W75" s="8">
        <f t="shared" si="3"/>
        <v>-44138.791620000004</v>
      </c>
    </row>
    <row r="76" spans="1:23" x14ac:dyDescent="0.2">
      <c r="A76" s="3" t="s">
        <v>29</v>
      </c>
      <c r="B76" s="3" t="s">
        <v>44</v>
      </c>
      <c r="C76" s="10">
        <v>1195</v>
      </c>
      <c r="D76" s="7" t="s">
        <v>60</v>
      </c>
      <c r="E76" s="7">
        <v>112266</v>
      </c>
      <c r="F76" s="6">
        <v>36938</v>
      </c>
      <c r="G76" s="6" t="s">
        <v>45</v>
      </c>
      <c r="H76" s="5">
        <v>3291</v>
      </c>
      <c r="I76" s="8">
        <v>1143.7660000000001</v>
      </c>
      <c r="J76" s="8">
        <v>4434.7659999999996</v>
      </c>
      <c r="K76" s="8">
        <v>0</v>
      </c>
      <c r="L76" s="8">
        <v>-2032</v>
      </c>
      <c r="M76" s="8">
        <v>-3694</v>
      </c>
      <c r="N76" s="8">
        <v>-3694</v>
      </c>
      <c r="O76" s="8">
        <v>-3694</v>
      </c>
      <c r="P76" s="8">
        <v>-3694</v>
      </c>
      <c r="Q76" s="8">
        <v>-3694</v>
      </c>
      <c r="R76" s="8">
        <v>-3694</v>
      </c>
      <c r="S76" s="8">
        <v>-3694</v>
      </c>
      <c r="T76" s="8">
        <v>-3694</v>
      </c>
      <c r="U76" s="8">
        <v>-3694</v>
      </c>
      <c r="V76" s="8">
        <v>-3694</v>
      </c>
      <c r="W76" s="8">
        <f t="shared" si="3"/>
        <v>-38972</v>
      </c>
    </row>
    <row r="77" spans="1:23" x14ac:dyDescent="0.2">
      <c r="A77" s="3" t="s">
        <v>52</v>
      </c>
      <c r="B77" s="3" t="s">
        <v>44</v>
      </c>
      <c r="C77" s="10">
        <v>1195</v>
      </c>
      <c r="D77" s="7" t="s">
        <v>60</v>
      </c>
      <c r="E77" s="7">
        <v>112254</v>
      </c>
      <c r="F77" s="6">
        <v>36969</v>
      </c>
      <c r="G77" s="6"/>
      <c r="H77" s="5">
        <v>2917.25</v>
      </c>
      <c r="I77" s="8">
        <v>1059.2985000000001</v>
      </c>
      <c r="J77" s="8">
        <v>3976.5484999999999</v>
      </c>
      <c r="K77" s="8">
        <v>0</v>
      </c>
      <c r="L77" s="8">
        <v>0</v>
      </c>
      <c r="M77" s="8">
        <f>-3977*0.5</f>
        <v>-1988.5</v>
      </c>
      <c r="N77" s="8">
        <v>-3976.5484999999999</v>
      </c>
      <c r="O77" s="8">
        <v>-3976.5484999999999</v>
      </c>
      <c r="P77" s="8">
        <v>-3976.5484999999999</v>
      </c>
      <c r="Q77" s="8">
        <v>-3976.5484999999999</v>
      </c>
      <c r="R77" s="8">
        <v>-3976.5484999999999</v>
      </c>
      <c r="S77" s="8">
        <v>-3976.5484999999999</v>
      </c>
      <c r="T77" s="8">
        <v>-3976.5484999999999</v>
      </c>
      <c r="U77" s="8">
        <v>-3976.5484999999999</v>
      </c>
      <c r="V77" s="8">
        <v>-3976.5484999999999</v>
      </c>
      <c r="W77" s="8">
        <f t="shared" si="3"/>
        <v>-37777.436499999996</v>
      </c>
    </row>
    <row r="78" spans="1:23" x14ac:dyDescent="0.2">
      <c r="A78" s="4" t="s">
        <v>74</v>
      </c>
      <c r="B78" s="4" t="s">
        <v>41</v>
      </c>
      <c r="C78" s="10">
        <v>1195</v>
      </c>
      <c r="D78" s="7" t="s">
        <v>60</v>
      </c>
      <c r="E78" s="7">
        <v>112247</v>
      </c>
      <c r="F78" s="6">
        <v>36959</v>
      </c>
      <c r="G78" s="6"/>
      <c r="H78" s="5">
        <v>2502.4499999999998</v>
      </c>
      <c r="I78" s="8">
        <v>965.55370000000005</v>
      </c>
      <c r="J78" s="8">
        <v>3468.0036999999998</v>
      </c>
      <c r="K78" s="8">
        <v>0</v>
      </c>
      <c r="L78" s="8">
        <v>0</v>
      </c>
      <c r="M78" s="8">
        <v>-3468.0036999999998</v>
      </c>
      <c r="N78" s="8">
        <v>-3468.0036999999998</v>
      </c>
      <c r="O78" s="8">
        <v>-3468.0036999999998</v>
      </c>
      <c r="P78" s="8">
        <v>-3468.0036999999998</v>
      </c>
      <c r="Q78" s="8">
        <v>-3468.0036999999998</v>
      </c>
      <c r="R78" s="8">
        <v>-3468.0036999999998</v>
      </c>
      <c r="S78" s="8">
        <v>-3468.0036999999998</v>
      </c>
      <c r="T78" s="8">
        <v>-3468.0036999999998</v>
      </c>
      <c r="U78" s="8">
        <v>-3468.0036999999998</v>
      </c>
      <c r="V78" s="8">
        <v>-3468.0036999999998</v>
      </c>
      <c r="W78" s="8">
        <f t="shared" si="3"/>
        <v>-34680.037000000004</v>
      </c>
    </row>
    <row r="79" spans="1:23" x14ac:dyDescent="0.2">
      <c r="A79" s="4" t="s">
        <v>110</v>
      </c>
      <c r="B79" s="4"/>
      <c r="C79" s="10"/>
      <c r="F79" s="6"/>
      <c r="G79" s="6"/>
      <c r="H79" s="5"/>
      <c r="I79" s="8"/>
      <c r="J79" s="8"/>
      <c r="K79" s="20">
        <f t="shared" ref="K79:W79" si="4">SUM(K30:K78)</f>
        <v>-32996.469420000001</v>
      </c>
      <c r="L79" s="20">
        <f t="shared" si="4"/>
        <v>-111524.16503999999</v>
      </c>
      <c r="M79" s="20">
        <f t="shared" si="4"/>
        <v>-184168.76615999997</v>
      </c>
      <c r="N79" s="20">
        <f t="shared" si="4"/>
        <v>-207961.22107999996</v>
      </c>
      <c r="O79" s="20">
        <f t="shared" si="4"/>
        <v>-215094.22107999996</v>
      </c>
      <c r="P79" s="20">
        <f t="shared" si="4"/>
        <v>-215094.22107999996</v>
      </c>
      <c r="Q79" s="20">
        <f t="shared" si="4"/>
        <v>-215094.22107999996</v>
      </c>
      <c r="R79" s="20">
        <f t="shared" si="4"/>
        <v>-215094.22107999996</v>
      </c>
      <c r="S79" s="20">
        <f t="shared" si="4"/>
        <v>-215094.22107999996</v>
      </c>
      <c r="T79" s="20">
        <f t="shared" si="4"/>
        <v>-215094.22107999996</v>
      </c>
      <c r="U79" s="20">
        <f t="shared" si="4"/>
        <v>-215094.22107999996</v>
      </c>
      <c r="V79" s="20">
        <f t="shared" si="4"/>
        <v>-215094.22107999996</v>
      </c>
      <c r="W79" s="20">
        <f t="shared" si="4"/>
        <v>-2257404.3903399995</v>
      </c>
    </row>
    <row r="80" spans="1:23" x14ac:dyDescent="0.2">
      <c r="A80" s="4"/>
      <c r="B80" s="4"/>
      <c r="C80" s="10"/>
      <c r="F80" s="6"/>
      <c r="G80" s="6"/>
      <c r="H80" s="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">
      <c r="A81" s="17" t="s">
        <v>111</v>
      </c>
      <c r="B81" s="4"/>
      <c r="C81" s="10"/>
      <c r="F81" s="6"/>
      <c r="G81" s="6"/>
      <c r="H81" s="5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2">
      <c r="A82" s="3" t="s">
        <v>47</v>
      </c>
      <c r="B82" s="3" t="s">
        <v>25</v>
      </c>
      <c r="C82" s="10">
        <v>1195</v>
      </c>
      <c r="D82" s="7" t="s">
        <v>100</v>
      </c>
      <c r="E82" s="7">
        <v>111196</v>
      </c>
      <c r="F82" s="6">
        <v>36938</v>
      </c>
      <c r="G82" s="6"/>
      <c r="H82" s="5">
        <v>5069</v>
      </c>
      <c r="I82" s="8">
        <v>1545.5940000000001</v>
      </c>
      <c r="J82" s="8">
        <v>6614.5940000000001</v>
      </c>
      <c r="K82" s="8">
        <v>0</v>
      </c>
      <c r="L82" s="8">
        <v>3308</v>
      </c>
      <c r="M82" s="8">
        <v>6614.5940000000001</v>
      </c>
      <c r="N82" s="8">
        <v>6614.5940000000001</v>
      </c>
      <c r="O82" s="8">
        <v>6614.5940000000001</v>
      </c>
      <c r="P82" s="8">
        <v>6614.5940000000001</v>
      </c>
      <c r="Q82" s="8">
        <v>6614.5940000000001</v>
      </c>
      <c r="R82" s="8">
        <v>6614.5940000000001</v>
      </c>
      <c r="S82" s="8">
        <v>6614.5940000000001</v>
      </c>
      <c r="T82" s="8">
        <v>6614.5940000000001</v>
      </c>
      <c r="U82" s="8">
        <v>6614.5940000000001</v>
      </c>
      <c r="V82" s="8">
        <v>6614.5940000000001</v>
      </c>
      <c r="W82" s="8">
        <f>SUM(K82:V82)</f>
        <v>69453.939999999988</v>
      </c>
    </row>
    <row r="83" spans="1:23" x14ac:dyDescent="0.2">
      <c r="A83" s="3" t="s">
        <v>49</v>
      </c>
      <c r="B83" s="3" t="s">
        <v>25</v>
      </c>
      <c r="C83" s="10">
        <v>1195</v>
      </c>
      <c r="D83" s="7" t="s">
        <v>101</v>
      </c>
      <c r="E83" s="7">
        <v>111214</v>
      </c>
      <c r="F83" s="6">
        <v>36938</v>
      </c>
      <c r="G83" s="6"/>
      <c r="H83" s="5">
        <v>4562</v>
      </c>
      <c r="I83" s="8">
        <v>1431.0119999999999</v>
      </c>
      <c r="J83" s="8">
        <v>5993.0119999999997</v>
      </c>
      <c r="K83" s="8">
        <v>0</v>
      </c>
      <c r="L83" s="8">
        <f>5993.012*0.5</f>
        <v>2996.5059999999999</v>
      </c>
      <c r="M83" s="8">
        <v>5993.0119999999997</v>
      </c>
      <c r="N83" s="8">
        <v>5993.0119999999997</v>
      </c>
      <c r="O83" s="8">
        <v>5993.0119999999997</v>
      </c>
      <c r="P83" s="8">
        <v>5993.0119999999997</v>
      </c>
      <c r="Q83" s="8">
        <v>5993.0119999999997</v>
      </c>
      <c r="R83" s="8">
        <v>5993.0119999999997</v>
      </c>
      <c r="S83" s="8">
        <v>5993.0119999999997</v>
      </c>
      <c r="T83" s="8">
        <v>5993.0119999999997</v>
      </c>
      <c r="U83" s="8">
        <v>5993.0119999999997</v>
      </c>
      <c r="V83" s="8">
        <v>5993.0119999999997</v>
      </c>
      <c r="W83" s="8">
        <f>SUM(K83:V83)</f>
        <v>62926.626000000011</v>
      </c>
    </row>
    <row r="84" spans="1:23" x14ac:dyDescent="0.2">
      <c r="A84" s="3" t="s">
        <v>71</v>
      </c>
      <c r="B84" s="3" t="s">
        <v>25</v>
      </c>
      <c r="C84" s="10">
        <v>1195</v>
      </c>
      <c r="D84" s="7" t="s">
        <v>102</v>
      </c>
      <c r="E84" s="7">
        <v>112224</v>
      </c>
      <c r="F84" s="6">
        <v>36969</v>
      </c>
      <c r="G84" s="6" t="s">
        <v>45</v>
      </c>
      <c r="H84" s="5">
        <v>3917</v>
      </c>
      <c r="I84" s="8">
        <v>1285.242</v>
      </c>
      <c r="J84" s="8">
        <v>5202.2420000000002</v>
      </c>
      <c r="K84" s="8">
        <v>0</v>
      </c>
      <c r="L84" s="8">
        <v>0</v>
      </c>
      <c r="M84" s="8">
        <f>4599.05*0.5</f>
        <v>2299.5250000000001</v>
      </c>
      <c r="N84" s="8">
        <v>5202.2420000000002</v>
      </c>
      <c r="O84" s="8">
        <v>5202.2420000000002</v>
      </c>
      <c r="P84" s="8">
        <v>5202.2420000000002</v>
      </c>
      <c r="Q84" s="8">
        <v>5202.2420000000002</v>
      </c>
      <c r="R84" s="8">
        <v>5202.2420000000002</v>
      </c>
      <c r="S84" s="8">
        <v>5202.2420000000002</v>
      </c>
      <c r="T84" s="8">
        <v>5202.2420000000002</v>
      </c>
      <c r="U84" s="8">
        <v>5202.2420000000002</v>
      </c>
      <c r="V84" s="8">
        <v>5202.2420000000002</v>
      </c>
      <c r="W84" s="8">
        <f>SUM(K84:V84)</f>
        <v>49119.702999999994</v>
      </c>
    </row>
    <row r="85" spans="1:23" x14ac:dyDescent="0.2">
      <c r="A85" s="3" t="s">
        <v>37</v>
      </c>
      <c r="B85" s="3" t="s">
        <v>25</v>
      </c>
      <c r="C85" s="10">
        <v>1195</v>
      </c>
      <c r="D85" s="7" t="s">
        <v>99</v>
      </c>
      <c r="E85" s="7">
        <v>112241</v>
      </c>
      <c r="F85" s="6">
        <v>36938</v>
      </c>
      <c r="G85" s="6" t="s">
        <v>45</v>
      </c>
      <c r="H85" s="5">
        <v>3917</v>
      </c>
      <c r="I85" s="8">
        <v>1285.242</v>
      </c>
      <c r="J85" s="8">
        <v>5202.2420000000002</v>
      </c>
      <c r="K85" s="8">
        <v>0</v>
      </c>
      <c r="L85" s="8">
        <f>4629.087*0.5</f>
        <v>2314.5435000000002</v>
      </c>
      <c r="M85" s="8">
        <v>5202.2420000000002</v>
      </c>
      <c r="N85" s="8">
        <v>5202.2420000000002</v>
      </c>
      <c r="O85" s="8">
        <v>5202.2420000000002</v>
      </c>
      <c r="P85" s="8">
        <v>5202.2420000000002</v>
      </c>
      <c r="Q85" s="8">
        <v>5202.2420000000002</v>
      </c>
      <c r="R85" s="8">
        <v>5202.2420000000002</v>
      </c>
      <c r="S85" s="8">
        <v>5202.2420000000002</v>
      </c>
      <c r="T85" s="8">
        <v>5202.2420000000002</v>
      </c>
      <c r="U85" s="8">
        <v>5202.2420000000002</v>
      </c>
      <c r="V85" s="8">
        <v>5202.2420000000002</v>
      </c>
      <c r="W85" s="8">
        <f t="shared" si="3"/>
        <v>54336.963499999991</v>
      </c>
    </row>
    <row r="86" spans="1:23" x14ac:dyDescent="0.2">
      <c r="A86" s="3" t="s">
        <v>57</v>
      </c>
      <c r="B86" s="3" t="s">
        <v>25</v>
      </c>
      <c r="C86" s="10">
        <v>1195</v>
      </c>
      <c r="D86" s="7" t="s">
        <v>99</v>
      </c>
      <c r="E86" s="7">
        <v>111528</v>
      </c>
      <c r="F86" s="6">
        <v>36938</v>
      </c>
      <c r="G86" s="6" t="s">
        <v>45</v>
      </c>
      <c r="H86" s="5">
        <v>3916</v>
      </c>
      <c r="I86" s="8">
        <f>(400+(H86*0.136)+(H86*0.09))</f>
        <v>1285.0160000000001</v>
      </c>
      <c r="J86" s="8">
        <f>H86+I86</f>
        <v>5201.0159999999996</v>
      </c>
      <c r="K86" s="8">
        <v>0</v>
      </c>
      <c r="L86" s="8">
        <f>5201*0.5</f>
        <v>2600.5</v>
      </c>
      <c r="M86" s="8">
        <v>5201</v>
      </c>
      <c r="N86" s="8">
        <v>5201</v>
      </c>
      <c r="O86" s="8">
        <v>5201</v>
      </c>
      <c r="P86" s="8">
        <v>5201</v>
      </c>
      <c r="Q86" s="8">
        <v>5201</v>
      </c>
      <c r="R86" s="8">
        <v>5201</v>
      </c>
      <c r="S86" s="8">
        <v>5201</v>
      </c>
      <c r="T86" s="8">
        <v>5201</v>
      </c>
      <c r="U86" s="8">
        <v>5201</v>
      </c>
      <c r="V86" s="8">
        <v>5201</v>
      </c>
      <c r="W86" s="8">
        <f t="shared" si="3"/>
        <v>54610.5</v>
      </c>
    </row>
    <row r="87" spans="1:23" x14ac:dyDescent="0.2">
      <c r="A87" s="3" t="s">
        <v>114</v>
      </c>
      <c r="B87" s="3" t="s">
        <v>25</v>
      </c>
      <c r="C87" s="10">
        <v>1195</v>
      </c>
      <c r="D87" s="7" t="s">
        <v>117</v>
      </c>
      <c r="F87" s="6">
        <v>36923</v>
      </c>
      <c r="G87" s="6"/>
      <c r="H87" s="5">
        <v>3518</v>
      </c>
      <c r="I87" s="8">
        <f>(400+(H87*0.136)+(H87*0.09))</f>
        <v>1195.0680000000002</v>
      </c>
      <c r="J87" s="8">
        <f>H87+I87</f>
        <v>4713.0680000000002</v>
      </c>
      <c r="K87" s="8">
        <v>0</v>
      </c>
      <c r="L87" s="8">
        <v>4713</v>
      </c>
      <c r="M87" s="8">
        <v>4713</v>
      </c>
      <c r="N87" s="8">
        <v>4713</v>
      </c>
      <c r="O87" s="8">
        <v>4713</v>
      </c>
      <c r="P87" s="8">
        <v>4713</v>
      </c>
      <c r="Q87" s="8">
        <v>4713</v>
      </c>
      <c r="R87" s="8">
        <v>4713</v>
      </c>
      <c r="S87" s="8">
        <v>4713</v>
      </c>
      <c r="T87" s="8">
        <v>4713</v>
      </c>
      <c r="U87" s="8">
        <v>4713</v>
      </c>
      <c r="V87" s="8">
        <v>4713</v>
      </c>
      <c r="W87" s="8">
        <f t="shared" si="3"/>
        <v>51843</v>
      </c>
    </row>
    <row r="88" spans="1:23" x14ac:dyDescent="0.2">
      <c r="A88" s="3" t="s">
        <v>115</v>
      </c>
      <c r="B88" s="3" t="s">
        <v>25</v>
      </c>
      <c r="C88" s="10">
        <v>1195</v>
      </c>
      <c r="D88" s="7" t="s">
        <v>117</v>
      </c>
      <c r="F88" s="6">
        <v>36923</v>
      </c>
      <c r="G88" s="6"/>
      <c r="H88" s="5">
        <v>3739</v>
      </c>
      <c r="I88" s="8">
        <f>(400+(H88*0.136)+(H88*0.09))</f>
        <v>1245.0140000000001</v>
      </c>
      <c r="J88" s="8">
        <f>H88+I88</f>
        <v>4984.0140000000001</v>
      </c>
      <c r="K88" s="8">
        <v>0</v>
      </c>
      <c r="L88" s="8">
        <v>4984</v>
      </c>
      <c r="M88" s="8">
        <v>4984</v>
      </c>
      <c r="N88" s="8">
        <v>4984</v>
      </c>
      <c r="O88" s="8">
        <v>4984</v>
      </c>
      <c r="P88" s="8">
        <v>4984</v>
      </c>
      <c r="Q88" s="8">
        <v>4984</v>
      </c>
      <c r="R88" s="8">
        <v>4984</v>
      </c>
      <c r="S88" s="8">
        <v>4984</v>
      </c>
      <c r="T88" s="8">
        <v>4984</v>
      </c>
      <c r="U88" s="8">
        <v>4984</v>
      </c>
      <c r="V88" s="8">
        <v>4984</v>
      </c>
      <c r="W88" s="8">
        <f t="shared" si="3"/>
        <v>54824</v>
      </c>
    </row>
    <row r="89" spans="1:23" x14ac:dyDescent="0.2">
      <c r="A89" s="3" t="s">
        <v>116</v>
      </c>
      <c r="B89" s="3" t="s">
        <v>25</v>
      </c>
      <c r="C89" s="10">
        <v>1195</v>
      </c>
      <c r="D89" s="7" t="s">
        <v>117</v>
      </c>
      <c r="F89" s="6">
        <v>36923</v>
      </c>
      <c r="G89" s="6"/>
      <c r="H89" s="5">
        <v>3535</v>
      </c>
      <c r="I89" s="8">
        <f>(400+(H89*0.136)+(H89*0.09))</f>
        <v>1198.9099999999999</v>
      </c>
      <c r="J89" s="8">
        <f>H89+I89</f>
        <v>4733.91</v>
      </c>
      <c r="K89" s="8">
        <v>0</v>
      </c>
      <c r="L89" s="8">
        <v>4734</v>
      </c>
      <c r="M89" s="8">
        <v>4734</v>
      </c>
      <c r="N89" s="8">
        <v>4734</v>
      </c>
      <c r="O89" s="8">
        <v>4734</v>
      </c>
      <c r="P89" s="8">
        <v>4734</v>
      </c>
      <c r="Q89" s="8">
        <v>4734</v>
      </c>
      <c r="R89" s="8">
        <v>4734</v>
      </c>
      <c r="S89" s="8">
        <v>4734</v>
      </c>
      <c r="T89" s="8">
        <v>4734</v>
      </c>
      <c r="U89" s="8">
        <v>4734</v>
      </c>
      <c r="V89" s="8">
        <v>4734</v>
      </c>
      <c r="W89" s="8">
        <f t="shared" si="3"/>
        <v>52074</v>
      </c>
    </row>
    <row r="90" spans="1:23" x14ac:dyDescent="0.2">
      <c r="A90" s="3" t="s">
        <v>66</v>
      </c>
      <c r="B90" s="3" t="s">
        <v>25</v>
      </c>
      <c r="C90" s="10">
        <v>1195</v>
      </c>
      <c r="D90" s="7" t="s">
        <v>98</v>
      </c>
      <c r="E90" s="7">
        <v>112248</v>
      </c>
      <c r="F90" s="6">
        <v>36938</v>
      </c>
      <c r="G90" s="6"/>
      <c r="H90" s="5">
        <v>3927.58</v>
      </c>
      <c r="I90" s="8">
        <v>1287.6330800000001</v>
      </c>
      <c r="J90" s="8">
        <v>5215.2130799999995</v>
      </c>
      <c r="K90" s="8">
        <v>0</v>
      </c>
      <c r="L90" s="8">
        <f>5215*0.5</f>
        <v>2607.5</v>
      </c>
      <c r="M90" s="8">
        <v>5215</v>
      </c>
      <c r="N90" s="8">
        <v>5215</v>
      </c>
      <c r="O90" s="8">
        <v>5215</v>
      </c>
      <c r="P90" s="8">
        <v>5215</v>
      </c>
      <c r="Q90" s="8">
        <v>5215</v>
      </c>
      <c r="R90" s="8">
        <v>5215</v>
      </c>
      <c r="S90" s="8">
        <v>5215</v>
      </c>
      <c r="T90" s="8">
        <v>5215</v>
      </c>
      <c r="U90" s="8">
        <v>5215</v>
      </c>
      <c r="V90" s="8">
        <v>5215</v>
      </c>
      <c r="W90" s="8">
        <f t="shared" si="3"/>
        <v>54757.5</v>
      </c>
    </row>
    <row r="91" spans="1:23" x14ac:dyDescent="0.2">
      <c r="A91" s="3" t="s">
        <v>39</v>
      </c>
      <c r="B91" s="3" t="s">
        <v>25</v>
      </c>
      <c r="C91" s="10">
        <v>1195</v>
      </c>
      <c r="D91" s="7" t="s">
        <v>98</v>
      </c>
      <c r="E91" s="7" t="s">
        <v>118</v>
      </c>
      <c r="F91" s="6">
        <v>36938</v>
      </c>
      <c r="G91" s="6"/>
      <c r="H91" s="5">
        <v>4493</v>
      </c>
      <c r="I91" s="8">
        <v>1415.4180000000001</v>
      </c>
      <c r="J91" s="8">
        <v>5908.4179999999997</v>
      </c>
      <c r="K91" s="8">
        <v>0</v>
      </c>
      <c r="L91" s="8">
        <f>5908.418*0.5</f>
        <v>2954.2089999999998</v>
      </c>
      <c r="M91" s="8">
        <v>5908.4179999999997</v>
      </c>
      <c r="N91" s="8">
        <v>5908.4179999999997</v>
      </c>
      <c r="O91" s="8">
        <v>5908.4179999999997</v>
      </c>
      <c r="P91" s="8">
        <v>5908.4179999999997</v>
      </c>
      <c r="Q91" s="8">
        <v>5908.4179999999997</v>
      </c>
      <c r="R91" s="8">
        <v>5908.4179999999997</v>
      </c>
      <c r="S91" s="8">
        <v>5908.4179999999997</v>
      </c>
      <c r="T91" s="8">
        <v>5908.4179999999997</v>
      </c>
      <c r="U91" s="8">
        <v>5908.4179999999997</v>
      </c>
      <c r="V91" s="8">
        <v>5908.4179999999997</v>
      </c>
      <c r="W91" s="8">
        <f t="shared" si="3"/>
        <v>62038.388999999988</v>
      </c>
    </row>
    <row r="92" spans="1:23" x14ac:dyDescent="0.2">
      <c r="A92" s="4" t="s">
        <v>43</v>
      </c>
      <c r="B92" s="4" t="s">
        <v>41</v>
      </c>
      <c r="C92" s="10">
        <v>1195</v>
      </c>
      <c r="D92" s="7" t="s">
        <v>42</v>
      </c>
      <c r="E92" s="7">
        <v>112218</v>
      </c>
      <c r="F92" s="6">
        <v>36891</v>
      </c>
      <c r="G92" s="6"/>
      <c r="H92" s="5">
        <v>5660.42</v>
      </c>
      <c r="I92" s="8">
        <v>1679.2549200000001</v>
      </c>
      <c r="J92" s="8">
        <v>7339.6749200000004</v>
      </c>
      <c r="K92" s="8">
        <v>-7339.6749200000004</v>
      </c>
      <c r="L92" s="8">
        <v>-7339.6749200000004</v>
      </c>
      <c r="M92" s="8">
        <v>-7339.6749200000004</v>
      </c>
      <c r="N92" s="8">
        <v>-7339.6749200000004</v>
      </c>
      <c r="O92" s="8">
        <v>-7339.6749200000004</v>
      </c>
      <c r="P92" s="8">
        <v>-7339.6749200000004</v>
      </c>
      <c r="Q92" s="8">
        <v>-7339.6749200000004</v>
      </c>
      <c r="R92" s="8">
        <v>-7339.6749200000004</v>
      </c>
      <c r="S92" s="8">
        <v>-7339.6749200000004</v>
      </c>
      <c r="T92" s="8">
        <v>-7339.6749200000004</v>
      </c>
      <c r="U92" s="8">
        <v>-7339.6749200000004</v>
      </c>
      <c r="V92" s="8">
        <v>-7339.6749200000004</v>
      </c>
      <c r="W92" s="8">
        <f>SUM(K92:V92)</f>
        <v>-88076.099040000016</v>
      </c>
    </row>
    <row r="93" spans="1:23" x14ac:dyDescent="0.2">
      <c r="A93" s="4" t="s">
        <v>40</v>
      </c>
      <c r="B93" s="4" t="s">
        <v>41</v>
      </c>
      <c r="C93" s="10">
        <v>1195</v>
      </c>
      <c r="D93" s="7" t="s">
        <v>42</v>
      </c>
      <c r="E93" s="7">
        <v>112217</v>
      </c>
      <c r="F93" s="6">
        <v>36930</v>
      </c>
      <c r="G93" s="6"/>
      <c r="H93" s="5">
        <v>3250</v>
      </c>
      <c r="I93" s="8">
        <v>1134.5</v>
      </c>
      <c r="J93" s="8">
        <v>4384.5</v>
      </c>
      <c r="K93" s="8">
        <v>0</v>
      </c>
      <c r="L93" s="8">
        <v>-4384.5</v>
      </c>
      <c r="M93" s="8">
        <v>-4384.5</v>
      </c>
      <c r="N93" s="8">
        <v>-4384.5</v>
      </c>
      <c r="O93" s="8">
        <v>-4384.5</v>
      </c>
      <c r="P93" s="8">
        <v>-4384.5</v>
      </c>
      <c r="Q93" s="8">
        <v>-4384.5</v>
      </c>
      <c r="R93" s="8">
        <v>-4384.5</v>
      </c>
      <c r="S93" s="8">
        <v>-4384.5</v>
      </c>
      <c r="T93" s="8">
        <v>-4384.5</v>
      </c>
      <c r="U93" s="8">
        <v>-4384.5</v>
      </c>
      <c r="V93" s="8">
        <v>-4384.5</v>
      </c>
      <c r="W93" s="8">
        <f>SUM(K93:V93)</f>
        <v>-48229.5</v>
      </c>
    </row>
    <row r="94" spans="1:23" x14ac:dyDescent="0.2">
      <c r="A94" s="4" t="s">
        <v>46</v>
      </c>
      <c r="B94" s="4" t="s">
        <v>41</v>
      </c>
      <c r="C94" s="10">
        <v>1195</v>
      </c>
      <c r="D94" s="7" t="s">
        <v>42</v>
      </c>
      <c r="E94" s="7">
        <v>112219</v>
      </c>
      <c r="F94" s="6">
        <v>36928</v>
      </c>
      <c r="G94" s="6"/>
      <c r="H94" s="5">
        <v>5287.49</v>
      </c>
      <c r="I94" s="8">
        <v>1594.9727400000002</v>
      </c>
      <c r="J94" s="8">
        <v>6882.4627399999999</v>
      </c>
      <c r="K94" s="8">
        <v>0</v>
      </c>
      <c r="L94" s="8">
        <v>-6882.4627399999999</v>
      </c>
      <c r="M94" s="8">
        <v>-6882.4627399999999</v>
      </c>
      <c r="N94" s="8">
        <v>-6882.4627399999999</v>
      </c>
      <c r="O94" s="8">
        <v>-6882.4627399999999</v>
      </c>
      <c r="P94" s="8">
        <v>-6882.4627399999999</v>
      </c>
      <c r="Q94" s="8">
        <v>-6882.4627399999999</v>
      </c>
      <c r="R94" s="8">
        <v>-6882.4627399999999</v>
      </c>
      <c r="S94" s="8">
        <v>-6882.4627399999999</v>
      </c>
      <c r="T94" s="8">
        <v>-6882.4627399999999</v>
      </c>
      <c r="U94" s="8">
        <v>-6882.4627399999999</v>
      </c>
      <c r="V94" s="8">
        <v>-6882.4627399999999</v>
      </c>
      <c r="W94" s="8">
        <f>SUM(K94:V94)</f>
        <v>-75707.090140000015</v>
      </c>
    </row>
    <row r="95" spans="1:23" x14ac:dyDescent="0.2">
      <c r="A95" s="1" t="s">
        <v>112</v>
      </c>
      <c r="H95" s="9"/>
      <c r="I95" s="9"/>
      <c r="J95" s="9"/>
      <c r="K95" s="19">
        <f t="shared" ref="K95:W95" si="5">SUM(K82:K94)</f>
        <v>-7339.6749200000004</v>
      </c>
      <c r="L95" s="19">
        <f t="shared" si="5"/>
        <v>12605.62084</v>
      </c>
      <c r="M95" s="19">
        <f t="shared" si="5"/>
        <v>32258.153340000001</v>
      </c>
      <c r="N95" s="19">
        <f t="shared" si="5"/>
        <v>35160.870339999994</v>
      </c>
      <c r="O95" s="19">
        <f t="shared" si="5"/>
        <v>35160.870339999994</v>
      </c>
      <c r="P95" s="19">
        <f t="shared" si="5"/>
        <v>35160.870339999994</v>
      </c>
      <c r="Q95" s="19">
        <f t="shared" si="5"/>
        <v>35160.870339999994</v>
      </c>
      <c r="R95" s="19">
        <f t="shared" si="5"/>
        <v>35160.870339999994</v>
      </c>
      <c r="S95" s="19">
        <f t="shared" si="5"/>
        <v>35160.870339999994</v>
      </c>
      <c r="T95" s="19">
        <f t="shared" si="5"/>
        <v>35160.870339999994</v>
      </c>
      <c r="U95" s="19">
        <f t="shared" si="5"/>
        <v>35160.870339999994</v>
      </c>
      <c r="V95" s="19">
        <f t="shared" si="5"/>
        <v>35160.870339999994</v>
      </c>
      <c r="W95" s="19">
        <f t="shared" si="5"/>
        <v>353971.93231999991</v>
      </c>
    </row>
    <row r="96" spans="1:23" x14ac:dyDescent="0.2"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</row>
    <row r="97" spans="1:23" ht="12" thickBot="1" x14ac:dyDescent="0.25">
      <c r="A97" s="12" t="s">
        <v>113</v>
      </c>
      <c r="H97" s="9"/>
      <c r="I97" s="9"/>
      <c r="J97" s="9"/>
      <c r="K97" s="18">
        <f t="shared" ref="K97:V97" si="6">K7+K27+K79+K95</f>
        <v>-45033.17626</v>
      </c>
      <c r="L97" s="18">
        <f t="shared" si="6"/>
        <v>-128564.3409</v>
      </c>
      <c r="M97" s="18">
        <f t="shared" si="6"/>
        <v>-224033.31384666663</v>
      </c>
      <c r="N97" s="18">
        <f t="shared" si="6"/>
        <v>-251607.23928666665</v>
      </c>
      <c r="O97" s="18">
        <f t="shared" si="6"/>
        <v>-258740.23928666665</v>
      </c>
      <c r="P97" s="18">
        <f t="shared" si="6"/>
        <v>-258740.23928666665</v>
      </c>
      <c r="Q97" s="18">
        <f t="shared" si="6"/>
        <v>-258740.23928666665</v>
      </c>
      <c r="R97" s="18">
        <f t="shared" si="6"/>
        <v>-261218.97261999999</v>
      </c>
      <c r="S97" s="18">
        <f t="shared" si="6"/>
        <v>-261218.97261999999</v>
      </c>
      <c r="T97" s="18">
        <f t="shared" si="6"/>
        <v>-261218.97261999999</v>
      </c>
      <c r="U97" s="18">
        <f t="shared" si="6"/>
        <v>-261218.97261999999</v>
      </c>
      <c r="V97" s="18">
        <f t="shared" si="6"/>
        <v>-261218.97261999999</v>
      </c>
      <c r="W97" s="18">
        <f>SUM(K97:V97)</f>
        <v>-2731553.6512533333</v>
      </c>
    </row>
    <row r="98" spans="1:23" ht="12" thickTop="1" x14ac:dyDescent="0.2"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100" spans="1:23" hidden="1" x14ac:dyDescent="0.2">
      <c r="A100" s="1" t="s">
        <v>119</v>
      </c>
      <c r="K100" s="8">
        <f>NPV((7%/12),K97:S97)</f>
        <v>-1884675.3017805598</v>
      </c>
      <c r="S100" s="8"/>
    </row>
    <row r="101" spans="1:23" hidden="1" x14ac:dyDescent="0.2">
      <c r="A101" s="1" t="s">
        <v>119</v>
      </c>
      <c r="K101" s="8"/>
      <c r="S101" s="8"/>
      <c r="W101" s="8">
        <f>NPV((7%/12),K97:V97)*(1+7%/12)^11</f>
        <v>-2792864.0632802276</v>
      </c>
    </row>
    <row r="102" spans="1:23" hidden="1" x14ac:dyDescent="0.2">
      <c r="K102" s="8"/>
      <c r="S102" s="8"/>
      <c r="W102" s="8"/>
    </row>
    <row r="103" spans="1:23" hidden="1" x14ac:dyDescent="0.2">
      <c r="A103" s="1" t="s">
        <v>86</v>
      </c>
    </row>
    <row r="104" spans="1:23" hidden="1" x14ac:dyDescent="0.2">
      <c r="A104" s="1" t="s">
        <v>87</v>
      </c>
      <c r="B104" s="8">
        <v>2982</v>
      </c>
      <c r="C104" s="8">
        <f t="shared" ref="C104:C109" si="7">(400+(B104*0.136)+(B104*0.09))</f>
        <v>1073.932</v>
      </c>
      <c r="D104" s="8">
        <f t="shared" ref="D104:D109" si="8">B104+C104</f>
        <v>4055.9319999999998</v>
      </c>
    </row>
    <row r="105" spans="1:23" hidden="1" x14ac:dyDescent="0.2">
      <c r="A105" s="1" t="s">
        <v>88</v>
      </c>
      <c r="B105" s="8">
        <v>2860</v>
      </c>
      <c r="C105" s="8">
        <f t="shared" si="7"/>
        <v>1046.3600000000001</v>
      </c>
      <c r="D105" s="8">
        <f t="shared" si="8"/>
        <v>3906.36</v>
      </c>
    </row>
    <row r="106" spans="1:23" hidden="1" x14ac:dyDescent="0.2">
      <c r="A106" s="1" t="s">
        <v>89</v>
      </c>
      <c r="B106" s="8">
        <v>2890</v>
      </c>
      <c r="C106" s="8">
        <f t="shared" si="7"/>
        <v>1053.1399999999999</v>
      </c>
      <c r="D106" s="8">
        <f t="shared" si="8"/>
        <v>3943.14</v>
      </c>
    </row>
    <row r="107" spans="1:23" hidden="1" x14ac:dyDescent="0.2">
      <c r="A107" s="1" t="s">
        <v>90</v>
      </c>
      <c r="B107" s="8">
        <v>2687</v>
      </c>
      <c r="C107" s="8">
        <f t="shared" si="7"/>
        <v>1007.2619999999999</v>
      </c>
      <c r="D107" s="8">
        <f t="shared" si="8"/>
        <v>3694.2619999999997</v>
      </c>
    </row>
    <row r="108" spans="1:23" hidden="1" x14ac:dyDescent="0.2">
      <c r="A108" s="1" t="s">
        <v>91</v>
      </c>
      <c r="B108" s="8">
        <v>2933</v>
      </c>
      <c r="C108" s="8">
        <f t="shared" si="7"/>
        <v>1062.8579999999999</v>
      </c>
      <c r="D108" s="8">
        <f t="shared" si="8"/>
        <v>3995.8580000000002</v>
      </c>
    </row>
    <row r="109" spans="1:23" hidden="1" x14ac:dyDescent="0.2">
      <c r="A109" s="1" t="s">
        <v>97</v>
      </c>
      <c r="B109" s="8">
        <v>2783</v>
      </c>
      <c r="C109" s="8">
        <f t="shared" si="7"/>
        <v>1028.9580000000001</v>
      </c>
      <c r="D109" s="8">
        <f t="shared" si="8"/>
        <v>3811.9580000000001</v>
      </c>
    </row>
    <row r="110" spans="1:23" hidden="1" x14ac:dyDescent="0.2"/>
  </sheetData>
  <pageMargins left="0" right="0" top="0.25" bottom="0.25" header="0.25" footer="0.25"/>
  <pageSetup paperSize="5" orientation="landscape" horizontalDpi="0" verticalDpi="300" r:id="rId1"/>
  <headerFooter alignWithMargins="0">
    <oddHeader>&amp;R&amp;F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By Organization-rev. Apr 4</vt:lpstr>
      <vt:lpstr>'By Organization-rev. Apr 4'!Print_Titles</vt:lpstr>
    </vt:vector>
  </TitlesOfParts>
  <Company>Florida Gas Transmission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tloyd</dc:creator>
  <cp:lastModifiedBy>Jan Havlíček</cp:lastModifiedBy>
  <cp:lastPrinted>2001-04-11T13:52:23Z</cp:lastPrinted>
  <dcterms:created xsi:type="dcterms:W3CDTF">2001-03-09T14:56:41Z</dcterms:created>
  <dcterms:modified xsi:type="dcterms:W3CDTF">2023-09-14T18:36:23Z</dcterms:modified>
</cp:coreProperties>
</file>