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9067EE-E0DC-41CD-947D-35E382C259FD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A117" i="8"/>
  <c r="AA118" i="8"/>
  <c r="C119" i="8"/>
  <c r="D119" i="8"/>
  <c r="E119" i="8"/>
  <c r="F119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<sst xmlns="http://schemas.openxmlformats.org/spreadsheetml/2006/main" count="1366" uniqueCount="214">
  <si>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</si>
  <si>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</si>
  <si>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</si>
  <si>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</si>
  <si>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</si>
  <si>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</si>
  <si>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</si>
  <si>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</si>
  <si>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</si>
  <si>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</si>
  <si>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</si>
  <si>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</si>
  <si>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</si>
  <si>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</si>
  <si>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</si>
  <si>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</si>
  <si>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</si>
  <si>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</si>
  <si>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</si>
  <si>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</si>
  <si>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</si>
  <si>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</si>
  <si>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</si>
  <si>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</si>
  <si>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</si>
  <si>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</si>
  <si>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</si>
  <si>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</si>
  <si>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</si>
  <si>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</si>
  <si>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</si>
  <si>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</si>
  <si>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</si>
  <si>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</si>
  <si>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</si>
  <si>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</si>
  <si>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</si>
  <si>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</si>
  <si>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</si>
  <si>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</si>
  <si>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</si>
  <si>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</si>
  <si>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</si>
  <si>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</si>
  <si>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</si>
  <si>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</si>
  <si>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</si>
  <si>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</si>
  <si>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</si>
  <si>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</si>
  <si>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</si>
  <si>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</si>
  <si>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</si>
  <si>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</si>
  <si>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</si>
  <si>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</si>
  <si>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</si>
  <si>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</si>
  <si>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</si>
  <si>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</si>
  <si>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</si>
  <si>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</si>
  <si>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</si>
  <si>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</si>
  <si>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</si>
  <si>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</si>
  <si>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</si>
  <si>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</si>
  <si>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</si>
  <si>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</si>
  <si>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</si>
  <si>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</si>
  <si>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</si>
  <si>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</si>
  <si>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</si>
  <si>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</si>
  <si>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</si>
  <si>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</si>
  <si>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</si>
  <si>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</si>
  <si>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</si>
  <si>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</si>
  <si>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</si>
  <si>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</si>
  <si>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</si>
  <si>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</si>
  <si>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</si>
  <si>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</si>
  <si>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</si>
  <si>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</si>
  <si>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</si>
  <si>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</si>
  <si>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</si>
  <si>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</si>
  <si>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</si>
  <si>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</si>
  <si>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</si>
  <si>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</si>
  <si>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</si>
  <si>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</si>
  <si>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</si>
  <si>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</si>
  <si>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</si>
  <si>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</si>
  <si>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</si>
  <si>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</si>
  <si>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</si>
  <si>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</si>
  <si>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</si>
  <si>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</si>
  <si>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</si>
  <si>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</si>
  <si>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</si>
  <si>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</si>
  <si>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</si>
  <si>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</si>
  <si>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</si>
  <si>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</si>
  <si>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</si>
  <si>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</si>
  <si>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</si>
  <si>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</si>
  <si>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</si>
  <si>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</si>
  <si>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</si>
  <si>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</si>
  <si>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</si>
  <si>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</si>
  <si>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</si>
  <si>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</si>
  <si>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</si>
  <si>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</si>
  <si>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</si>
  <si>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</si>
  <si>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</si>
  <si>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</si>
  <si>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</si>
  <si>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</si>
  <si>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</si>
  <si>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</si>
  <si>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</si>
  <si>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</si>
  <si>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</si>
  <si>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</si>
  <si>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19, 2001</t>
  </si>
  <si>
    <t>Speculative vs Hedge Books</t>
  </si>
  <si>
    <t>Valuation Date:  11/19/2001</t>
  </si>
  <si>
    <t>As of:                11/19/2001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</si>
  <si>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</si>
  <si>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</si>
  <si>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</si>
  <si>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</si>
  <si>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</si>
  <si>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</si>
  <si>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</si>
  <si>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</si>
  <si>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</si>
  <si>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</si>
  <si>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</si>
  <si>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</si>
  <si>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</si>
  <si>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</si>
  <si>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</si>
  <si>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</si>
  <si>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</si>
  <si>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</si>
  <si>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</si>
  <si>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</si>
  <si>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</si>
  <si>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</si>
  <si>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</si>
  <si>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</si>
  <si>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</si>
  <si>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</si>
  <si>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</si>
  <si>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</si>
  <si>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</si>
  <si>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SPEC Book Summary</t>
  </si>
  <si>
    <t>Prior Date:          11/16/2001</t>
  </si>
  <si>
    <t>As of:                  11/19/2001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</si>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</sst>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3" fontId="38" fillId="0" borderId="0" xfId="0" applyNumberFormat="1" applyFont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3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REG!$O$8:$O$84</c:f>
              <c:numCache>
                <c:formatCode>#,##0</c:formatCode>
                <c:ptCount val="77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1-4E90-BB2A-2EB36502F8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1523503"/>
        <c:axId val="1"/>
      </c:barChart>
      <c:catAx>
        <c:axId val="144152350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1523503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REG!$P$8:$P$84</c:f>
              <c:numCache>
                <c:formatCode>#,##0</c:formatCode>
                <c:ptCount val="77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0-45B9-82AD-F22F0EB309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1523039"/>
        <c:axId val="1"/>
      </c:barChart>
      <c:catAx>
        <c:axId val="144152303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1523039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REG!$N$9:$N$84</c:f>
              <c:numCache>
                <c:formatCode>0</c:formatCode>
                <c:ptCount val="7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</c:numCache>
            </c:numRef>
          </c:cat>
          <c:val>
            <c:numRef>
              <c:f>REG!$Q$9:$Q$84</c:f>
              <c:numCache>
                <c:formatCode>#,##0</c:formatCode>
                <c:ptCount val="76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B-457D-9BA0-C5D7FE32BE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4183439"/>
        <c:axId val="1"/>
      </c:barChart>
      <c:catAx>
        <c:axId val="144418343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4183439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SPEC!$O$8:$O$84</c:f>
              <c:numCache>
                <c:formatCode>#,##0</c:formatCode>
                <c:ptCount val="77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A-49BC-AC1B-2DE95982EA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4181119"/>
        <c:axId val="1"/>
      </c:barChart>
      <c:catAx>
        <c:axId val="144418111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4181119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SPEC!$P$8:$P$84</c:f>
              <c:numCache>
                <c:formatCode>#,##0</c:formatCode>
                <c:ptCount val="77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3-4583-95CB-5064EEC2F8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4184831"/>
        <c:axId val="1"/>
      </c:barChart>
      <c:catAx>
        <c:axId val="144418483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4184831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6-409B-BAAE-F4FF057C8C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4187615"/>
        <c:axId val="1"/>
      </c:barChart>
      <c:catAx>
        <c:axId val="144418761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4187615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SPEC!$N$49:$N$84</c:f>
              <c:numCache>
                <c:formatCode>0</c:formatCode>
                <c:ptCount val="36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</c:numCache>
            </c:numRef>
          </c:cat>
          <c:val>
            <c:numRef>
              <c:f>SPEC!$R$49:$R$84</c:f>
              <c:numCache>
                <c:formatCode>#,##0</c:formatCode>
                <c:ptCount val="36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0-476F-81F3-BD11B4E1B1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4180655"/>
        <c:axId val="1"/>
      </c:barChart>
      <c:catAx>
        <c:axId val="144418065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418065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SPEC!$S$8:$S$84</c:f>
              <c:numCache>
                <c:formatCode>#,##0</c:formatCode>
                <c:ptCount val="77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5-48A1-AF4B-9652E553E2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5164047"/>
        <c:axId val="1"/>
      </c:barChart>
      <c:catAx>
        <c:axId val="144516404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5164047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SPEC!$N$9:$N$84</c:f>
              <c:numCache>
                <c:formatCode>0</c:formatCode>
                <c:ptCount val="7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</c:numCache>
            </c:numRef>
          </c:cat>
          <c:val>
            <c:numRef>
              <c:f>SPEC!$T$9:$T$84</c:f>
              <c:numCache>
                <c:formatCode>#,##0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5-4956-AA47-0651C355DA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5170543"/>
        <c:axId val="1"/>
      </c:barChart>
      <c:catAx>
        <c:axId val="144517054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45170543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E78763C8-9776-FF6F-961F-C74A02063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0D36E441-A65B-D887-47CF-35936B542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FA3FEE5B-2550-C2F0-674F-80C1D3651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4BB3AF1A-945B-F0FA-77FB-1B433E263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9CD23589-3864-FEFC-F48B-0CF518034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E1D6CBA1-80A1-8352-2001-31ACD7BA4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C1E8497E-BF3A-EEDA-2AC9-73566FE37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E204073A-3151-3532-204C-B8465C2C7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CF49E328-9B80-3115-CDD8-CD71EAF57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9DEA67F8-B6A9-7408-DD71-EFF20F668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0.88946263116119106</v>
          </cell>
          <cell r="F59">
            <v>0.68620140786379458</v>
          </cell>
          <cell r="G59">
            <v>0.6324192907066909</v>
          </cell>
          <cell r="H59">
            <v>0.27041889816592835</v>
          </cell>
          <cell r="I59">
            <v>0.22697050510884076</v>
          </cell>
          <cell r="J59">
            <v>0.4773120041879988</v>
          </cell>
          <cell r="K59">
            <v>0.60641383641699886</v>
          </cell>
          <cell r="L59">
            <v>0.9171320407555501</v>
          </cell>
          <cell r="M59">
            <v>0.9640220136559452</v>
          </cell>
          <cell r="N59">
            <v>0.86788599539326616</v>
          </cell>
          <cell r="O59">
            <v>0.73468974493823158</v>
          </cell>
          <cell r="P59">
            <v>0.64667806263803274</v>
          </cell>
          <cell r="Q59">
            <v>0.66200381037049449</v>
          </cell>
          <cell r="R59">
            <v>0.6716513304734516</v>
          </cell>
          <cell r="S59">
            <v>0.61625906278146025</v>
          </cell>
          <cell r="T59">
            <v>0.52851399725373582</v>
          </cell>
          <cell r="U59">
            <v>0.57838304947021424</v>
          </cell>
          <cell r="V59">
            <v>0.50013859385262061</v>
          </cell>
          <cell r="W59">
            <v>0.55044827570488086</v>
          </cell>
          <cell r="X59">
            <v>0.82229949462824792</v>
          </cell>
          <cell r="Y59">
            <v>0.8676245861021894</v>
          </cell>
          <cell r="Z59">
            <v>0.80415768593611159</v>
          </cell>
          <cell r="AA59">
            <v>0.6766473955785739</v>
          </cell>
          <cell r="AB59">
            <v>0.62643991316366143</v>
          </cell>
        </row>
        <row r="60">
          <cell r="E60">
            <v>6.1883286261452231E-2</v>
          </cell>
          <cell r="F60">
            <v>0.18891300180697801</v>
          </cell>
          <cell r="G60">
            <v>0.2854723907880603</v>
          </cell>
          <cell r="H60">
            <v>4.7212400460784343E-2</v>
          </cell>
          <cell r="I60">
            <v>2.9291421103853299E-2</v>
          </cell>
          <cell r="J60">
            <v>0.14747135034513348</v>
          </cell>
          <cell r="K60">
            <v>0.26362036951841117</v>
          </cell>
          <cell r="L60">
            <v>0.4164157059436191</v>
          </cell>
          <cell r="M60">
            <v>0.55705182889262017</v>
          </cell>
          <cell r="N60">
            <v>0.44328817978657509</v>
          </cell>
          <cell r="O60">
            <v>0.2840569060979814</v>
          </cell>
          <cell r="P60">
            <v>0.16267480622775543</v>
          </cell>
          <cell r="Q60">
            <v>0.49076667476676111</v>
          </cell>
          <cell r="R60">
            <v>0.23931769887086321</v>
          </cell>
          <cell r="S60">
            <v>0.16485653613879869</v>
          </cell>
          <cell r="T60">
            <v>0.40968883708250703</v>
          </cell>
          <cell r="U60">
            <v>0.29738085676954162</v>
          </cell>
          <cell r="V60">
            <v>0.28401816009467817</v>
          </cell>
          <cell r="W60">
            <v>0.19259719940942813</v>
          </cell>
          <cell r="X60">
            <v>0.5070768583884433</v>
          </cell>
          <cell r="Y60">
            <v>0.53923380230325646</v>
          </cell>
          <cell r="Z60">
            <v>0.51462361035551163</v>
          </cell>
          <cell r="AA60">
            <v>0.4034586240575555</v>
          </cell>
          <cell r="AB60">
            <v>0.22195029585765969</v>
          </cell>
        </row>
        <row r="62">
          <cell r="E62">
            <v>0.99772203727135977</v>
          </cell>
          <cell r="F62">
            <v>0.9760273460709511</v>
          </cell>
          <cell r="G62">
            <v>0.89754335887873427</v>
          </cell>
          <cell r="H62">
            <v>0.9059510099349235</v>
          </cell>
          <cell r="I62">
            <v>0.78285483304122616</v>
          </cell>
          <cell r="J62">
            <v>0.7760710066050166</v>
          </cell>
          <cell r="K62">
            <v>0.747153683430829</v>
          </cell>
          <cell r="L62">
            <v>0.97579682597995421</v>
          </cell>
          <cell r="M62">
            <v>0.99074549467606476</v>
          </cell>
          <cell r="N62">
            <v>0.94747292076608036</v>
          </cell>
          <cell r="O62">
            <v>0.85961512547146957</v>
          </cell>
          <cell r="P62">
            <v>0.86810271442878328</v>
          </cell>
          <cell r="Q62">
            <v>0.87877004355981747</v>
          </cell>
          <cell r="R62">
            <v>0.89779757068736632</v>
          </cell>
          <cell r="S62">
            <v>0.86158073903756438</v>
          </cell>
          <cell r="T62">
            <v>0.80336181907649007</v>
          </cell>
          <cell r="U62">
            <v>0.77185076242496597</v>
          </cell>
          <cell r="V62">
            <v>0.69724161105516413</v>
          </cell>
          <cell r="W62">
            <v>0.73817300645514161</v>
          </cell>
          <cell r="X62">
            <v>0.90414996341161713</v>
          </cell>
          <cell r="Y62">
            <v>0.94219489128710987</v>
          </cell>
          <cell r="Z62">
            <v>0.90138105683817815</v>
          </cell>
          <cell r="AA62">
            <v>0.83116909310788134</v>
          </cell>
          <cell r="AB62">
            <v>0.84812161064035041</v>
          </cell>
        </row>
        <row r="63">
          <cell r="E63">
            <v>0.64579532692189379</v>
          </cell>
          <cell r="F63">
            <v>0.73456184774614663</v>
          </cell>
          <cell r="G63">
            <v>0.64506114352890809</v>
          </cell>
          <cell r="H63">
            <v>0.52600320742408535</v>
          </cell>
          <cell r="I63">
            <v>0.33553662560795122</v>
          </cell>
          <cell r="J63">
            <v>0.32049702576669803</v>
          </cell>
          <cell r="K63">
            <v>0.40628270335496464</v>
          </cell>
          <cell r="L63">
            <v>0.66486826263720644</v>
          </cell>
          <cell r="M63">
            <v>0.77736840774244997</v>
          </cell>
          <cell r="N63">
            <v>0.64822250616287103</v>
          </cell>
          <cell r="O63">
            <v>0.49696873340495795</v>
          </cell>
          <cell r="P63">
            <v>0.49124623587629879</v>
          </cell>
          <cell r="Q63">
            <v>0.6483584822078472</v>
          </cell>
          <cell r="R63">
            <v>0.54304804755125913</v>
          </cell>
          <cell r="S63">
            <v>0.45366120019446687</v>
          </cell>
          <cell r="T63">
            <v>0.57490891957413992</v>
          </cell>
          <cell r="U63">
            <v>0.46455823338149144</v>
          </cell>
          <cell r="V63">
            <v>0.43912285921995231</v>
          </cell>
          <cell r="W63">
            <v>0.34518374738188939</v>
          </cell>
          <cell r="X63">
            <v>0.70328882922250413</v>
          </cell>
          <cell r="Y63">
            <v>0.77108927385504678</v>
          </cell>
          <cell r="Z63">
            <v>0.71684030335505955</v>
          </cell>
          <cell r="AA63">
            <v>0.56972491671663661</v>
          </cell>
          <cell r="AB63">
            <v>0.53060771981588484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445.72216731517909</v>
          </cell>
          <cell r="I29">
            <v>456</v>
          </cell>
          <cell r="L29">
            <v>354.03833759901244</v>
          </cell>
          <cell r="M29">
            <v>446</v>
          </cell>
          <cell r="P29">
            <v>343.91112239812924</v>
          </cell>
          <cell r="Q29">
            <v>410</v>
          </cell>
        </row>
        <row r="30">
          <cell r="H30">
            <v>90.236142324712503</v>
          </cell>
          <cell r="I30">
            <v>456</v>
          </cell>
          <cell r="L30">
            <v>85.560157318583464</v>
          </cell>
          <cell r="M30">
            <v>446</v>
          </cell>
          <cell r="P30">
            <v>137.89171969607682</v>
          </cell>
          <cell r="Q30">
            <v>410</v>
          </cell>
        </row>
        <row r="33">
          <cell r="H33">
            <v>230.9994136836047</v>
          </cell>
          <cell r="I33">
            <v>231</v>
          </cell>
          <cell r="L33">
            <v>231.23400333865712</v>
          </cell>
          <cell r="M33">
            <v>233</v>
          </cell>
          <cell r="P33">
            <v>222.3750689394528</v>
          </cell>
          <cell r="Q33">
            <v>228</v>
          </cell>
        </row>
        <row r="34">
          <cell r="H34">
            <v>213.37413329449501</v>
          </cell>
          <cell r="I34">
            <v>231</v>
          </cell>
          <cell r="L34">
            <v>174.31042041183727</v>
          </cell>
          <cell r="M34">
            <v>233</v>
          </cell>
          <cell r="P34">
            <v>157.43411648335533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14.729369444445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621" maxValue="3.415" count="25">
        <n v="2.66"/>
        <n v="2.79"/>
        <n v="2.84"/>
        <n v="2.88"/>
        <n v="2.83"/>
        <n v="2.75"/>
        <n v="2.7"/>
        <n v="3.165"/>
        <n v="3.4049999999999998"/>
        <n v="3.415"/>
        <n v="3.375"/>
        <n v="2.621"/>
        <n v="2.766"/>
        <n v="2.738"/>
        <n v="2.9260000000000002"/>
        <n v="2.625"/>
        <n v="2.6680000000000001"/>
        <n v="2.71"/>
        <n v="2.802"/>
        <n v="2.8420000000000001"/>
        <n v="3.1"/>
        <n v="3.11"/>
        <n v="3.07"/>
        <n v="2.86"/>
        <m/>
      </sharedItems>
    </cacheField>
    <cacheField name="CP PAYS" numFmtId="0">
      <sharedItems containsString="0" containsBlank="1" containsNumber="1" minValue="2.621" maxValue="3.46" count="27">
        <n v="2.625"/>
        <n v="2.75"/>
        <n v="2.802"/>
        <n v="2.8420000000000001"/>
        <n v="2.79"/>
        <n v="2.71"/>
        <n v="2.6680000000000001"/>
        <n v="2.621"/>
        <n v="2.738"/>
        <n v="2.766"/>
        <n v="2.9260000000000002"/>
        <n v="2.7149999999999999"/>
        <n v="2.9649999999999999"/>
        <n v="2.9550000000000001"/>
        <n v="2.9249999999999998"/>
        <n v="2.7250000000000001"/>
        <n v="2.7650000000000001"/>
        <n v="2.8149999999999999"/>
        <n v="2.855"/>
        <n v="2.895"/>
        <n v="2.9049999999999998"/>
        <n v="2.9449999999999998"/>
        <n v="3.21"/>
        <n v="3.42"/>
        <n v="3.46"/>
        <n v="3.45"/>
        <m/>
      </sharedItems>
    </cacheField>
    <cacheField name="NET" numFmtId="0">
      <sharedItems containsString="0" containsBlank="1" containsNumber="1" containsInteger="1" minValue="-103385" maxValue="110360" count="29">
        <n v="-5250"/>
        <n v="-6200"/>
        <n v="-5700"/>
        <n v="-5890"/>
        <n v="-6000"/>
        <n v="-4960"/>
        <n v="-84320"/>
        <n v="-103385"/>
        <n v="-90860"/>
        <n v="-69595"/>
        <n v="14570"/>
        <n v="27860"/>
        <n v="33635"/>
        <n v="-155"/>
        <n v="15000"/>
        <n v="15035"/>
        <n v="15750"/>
        <n v="16275"/>
        <n v="15450"/>
        <n v="15965"/>
        <n v="91295"/>
        <n v="76570"/>
        <n v="97160"/>
        <n v="110360"/>
        <n v="-56110"/>
        <n v="-48160"/>
        <n v="-22320"/>
        <n v="-3704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4.62781759259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1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5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6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7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5"/>
    <x v="18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"/>
    <x v="19"/>
    <x v="17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8"/>
    <x v="20"/>
    <x v="18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19"/>
    <x v="21"/>
    <x v="19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2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3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4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5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0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2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5" x14ac:dyDescent="0.15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75" x14ac:dyDescent="0.2">
      <c r="A1" s="86" t="s">
        <v>10</v>
      </c>
    </row>
    <row r="2" spans="1:5" ht="12.75" x14ac:dyDescent="0.2">
      <c r="A2" s="86" t="s">
        <v>56</v>
      </c>
    </row>
    <row r="3" spans="1:5" ht="12.75" x14ac:dyDescent="0.2">
      <c r="A3" s="86" t="s">
        <v>144</v>
      </c>
    </row>
    <row r="4" spans="1:5" ht="12.75" x14ac:dyDescent="0.2">
      <c r="A4" s="86" t="s">
        <v>12</v>
      </c>
    </row>
    <row r="7" spans="1:5" x14ac:dyDescent="0.15">
      <c r="A7" s="96"/>
      <c r="C7" s="123" t="s">
        <v>42</v>
      </c>
      <c r="D7" s="52"/>
      <c r="E7" s="52"/>
    </row>
    <row r="8" spans="1:5" x14ac:dyDescent="0.15">
      <c r="A8" s="87" t="s">
        <v>41</v>
      </c>
      <c r="C8" s="140">
        <v>463600</v>
      </c>
      <c r="D8" s="115"/>
      <c r="E8" s="115"/>
    </row>
    <row r="9" spans="1:5" x14ac:dyDescent="0.15">
      <c r="A9" s="87" t="s">
        <v>15</v>
      </c>
      <c r="C9" s="88">
        <f>C16+C26</f>
        <v>-483879</v>
      </c>
      <c r="D9" s="102"/>
      <c r="E9" s="102"/>
    </row>
    <row r="10" spans="1:5" x14ac:dyDescent="0.15">
      <c r="A10" s="87" t="s">
        <v>17</v>
      </c>
      <c r="C10" s="88">
        <f>C17+C27</f>
        <v>57605</v>
      </c>
      <c r="D10" s="102"/>
      <c r="E10" s="102"/>
    </row>
    <row r="14" spans="1:5" x14ac:dyDescent="0.15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15">
      <c r="A15" s="87" t="s">
        <v>41</v>
      </c>
      <c r="B15" s="102"/>
      <c r="C15" s="139">
        <v>450432</v>
      </c>
      <c r="D15" s="124">
        <v>2500000</v>
      </c>
      <c r="E15" s="125">
        <f>IF(ABS(C15)&gt;D15,ABS(C15)-D15,0)</f>
        <v>0</v>
      </c>
    </row>
    <row r="16" spans="1:5" x14ac:dyDescent="0.15">
      <c r="A16" s="87" t="s">
        <v>88</v>
      </c>
      <c r="C16" s="88">
        <f>'PLR SUM'!AA29</f>
        <v>-493700</v>
      </c>
      <c r="D16" s="88">
        <v>-2500000</v>
      </c>
      <c r="E16" s="126">
        <f>IF(C16&lt;D16,ABS(C16)-D16,0)</f>
        <v>0</v>
      </c>
    </row>
    <row r="17" spans="1:5" x14ac:dyDescent="0.15">
      <c r="A17" s="87" t="s">
        <v>89</v>
      </c>
      <c r="C17" s="88">
        <f>'5-DAY'!C1</f>
        <v>-111065</v>
      </c>
      <c r="D17" s="88">
        <v>-5625000</v>
      </c>
      <c r="E17" s="126">
        <f>IF(C17&lt;D17,C17-D17,0)</f>
        <v>0</v>
      </c>
    </row>
    <row r="18" spans="1:5" x14ac:dyDescent="0.15">
      <c r="A18" s="87" t="s">
        <v>47</v>
      </c>
      <c r="C18" s="99">
        <f>'Gap Risk'!B26</f>
        <v>-3285376.6927999984</v>
      </c>
      <c r="D18" s="128">
        <v>17000000</v>
      </c>
      <c r="E18" s="127">
        <f>IF(ABS(C18)&gt;D18,ABS(C18)-D18,0)</f>
        <v>0</v>
      </c>
    </row>
    <row r="19" spans="1:5" x14ac:dyDescent="0.15">
      <c r="A19" s="87" t="s">
        <v>117</v>
      </c>
      <c r="C19" s="99">
        <f>'Gap Risk'!B17</f>
        <v>-8072039.5376999993</v>
      </c>
      <c r="D19" s="128">
        <v>17000000</v>
      </c>
      <c r="E19" s="127">
        <f>IF(ABS(C19)&gt;D19,ABS(C19)-D19,0)</f>
        <v>0</v>
      </c>
    </row>
    <row r="22" spans="1:5" x14ac:dyDescent="0.15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15">
      <c r="A23" s="87" t="s">
        <v>41</v>
      </c>
      <c r="B23" s="102"/>
      <c r="C23" s="139">
        <v>73633</v>
      </c>
      <c r="D23" s="124">
        <v>1000000</v>
      </c>
      <c r="E23" s="125">
        <f>'SPEC REPORT'!K8</f>
        <v>0</v>
      </c>
    </row>
    <row r="24" spans="1:5" x14ac:dyDescent="0.15">
      <c r="A24" s="87" t="s">
        <v>47</v>
      </c>
      <c r="C24" s="99">
        <f>'SPEC REPORT'!I11</f>
        <v>-399999.99979999999</v>
      </c>
      <c r="D24" s="128">
        <v>5000000</v>
      </c>
      <c r="E24" s="127">
        <f>'SPEC REPORT'!K11</f>
        <v>0</v>
      </c>
    </row>
    <row r="25" spans="1:5" x14ac:dyDescent="0.15">
      <c r="A25" s="87" t="s">
        <v>117</v>
      </c>
      <c r="C25" s="99">
        <f>'SPEC REPORT'!I12</f>
        <v>-399999.99979999999</v>
      </c>
      <c r="D25" s="128">
        <v>5000000</v>
      </c>
      <c r="E25" s="127"/>
    </row>
    <row r="26" spans="1:5" x14ac:dyDescent="0.15">
      <c r="A26" s="87" t="s">
        <v>88</v>
      </c>
      <c r="C26" s="88">
        <f>'SPEC REPORT'!I9</f>
        <v>9821</v>
      </c>
      <c r="D26" s="88">
        <v>-1000000</v>
      </c>
      <c r="E26" s="126">
        <f>IF(C26&lt;D26,ABS(C26)-D26,0)</f>
        <v>0</v>
      </c>
    </row>
    <row r="27" spans="1:5" x14ac:dyDescent="0.15">
      <c r="A27" s="87" t="s">
        <v>89</v>
      </c>
      <c r="C27" s="88">
        <f>'SPEC REPORT'!I10</f>
        <v>168670</v>
      </c>
      <c r="D27" s="88">
        <v>-2250000</v>
      </c>
      <c r="E27" s="126">
        <f>IF(C27&lt;D27,C27-D27,0)</f>
        <v>0</v>
      </c>
    </row>
    <row r="28" spans="1:5" x14ac:dyDescent="0.15">
      <c r="A28" s="87" t="s">
        <v>86</v>
      </c>
      <c r="C28" s="181">
        <f>'5-DAY'!F2</f>
        <v>26880.939999999944</v>
      </c>
    </row>
    <row r="29" spans="1:5" x14ac:dyDescent="0.15">
      <c r="A29" s="87" t="s">
        <v>87</v>
      </c>
      <c r="C29" s="181">
        <f>SUM('5-DAY'!C80:C217)</f>
        <v>-705785.06</v>
      </c>
    </row>
    <row r="30" spans="1:5" x14ac:dyDescent="0.15">
      <c r="A30" s="87" t="s">
        <v>18</v>
      </c>
      <c r="C30" s="88">
        <f>'SPEC REPORT'!D12</f>
        <v>4216240.5432664901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31" sqref="A31"/>
    </sheetView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5" x14ac:dyDescent="0.15">
      <c r="A1" s="160" t="s">
        <v>96</v>
      </c>
      <c r="C1" s="162"/>
    </row>
    <row r="2" spans="1:19" ht="10.5" x14ac:dyDescent="0.15">
      <c r="A2" s="160" t="str">
        <f>'GAS SUM'!A3</f>
        <v>As of November 19, 2001</v>
      </c>
      <c r="C2" s="162"/>
    </row>
    <row r="4" spans="1:19" x14ac:dyDescent="0.15">
      <c r="N4" s="166"/>
      <c r="O4" s="161"/>
    </row>
    <row r="5" spans="1:19" x14ac:dyDescent="0.15">
      <c r="N5" s="166"/>
      <c r="O5" s="161"/>
    </row>
    <row r="6" spans="1:19" x14ac:dyDescent="0.15">
      <c r="N6" s="163" t="s">
        <v>135</v>
      </c>
      <c r="O6" s="161"/>
    </row>
    <row r="7" spans="1:19" x14ac:dyDescent="0.15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15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15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15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15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15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15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15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15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15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15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15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15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15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15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15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15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15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15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15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15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15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15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15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15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15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15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15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15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15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15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15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15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15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15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15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15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15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15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15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15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15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15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15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15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15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15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15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15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15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15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15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15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15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15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15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15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15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15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15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15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15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15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15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15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15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15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15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15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15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15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15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15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15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15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15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15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15">
      <c r="N84" s="196">
        <f>'5-DAY'!A115</f>
        <v>37214</v>
      </c>
      <c r="O84" s="198">
        <f>'5-DAY'!B115/1000</f>
        <v>-493.7</v>
      </c>
      <c r="P84" s="198">
        <f t="shared" si="9"/>
        <v>-111.065</v>
      </c>
      <c r="Q84" s="198">
        <f>VAR!B79/1000</f>
        <v>450.43200000000002</v>
      </c>
    </row>
    <row r="85" spans="14:17" x14ac:dyDescent="0.15">
      <c r="N85" s="196">
        <f>'5-DAY'!A116</f>
        <v>37215</v>
      </c>
      <c r="O85" s="198">
        <f>'5-DAY'!B116/1000</f>
        <v>0</v>
      </c>
      <c r="P85" s="198">
        <f t="shared" si="9"/>
        <v>-281.10700000000003</v>
      </c>
      <c r="Q85" s="198">
        <f>VAR!B80/1000</f>
        <v>0</v>
      </c>
    </row>
    <row r="86" spans="14:17" x14ac:dyDescent="0.15">
      <c r="N86" s="196">
        <f>'5-DAY'!A117</f>
        <v>37216</v>
      </c>
      <c r="O86" s="198">
        <f>'5-DAY'!B117/1000</f>
        <v>0</v>
      </c>
      <c r="P86" s="198">
        <f t="shared" si="9"/>
        <v>-457.762</v>
      </c>
      <c r="Q86" s="198">
        <f>VAR!B81/1000</f>
        <v>0</v>
      </c>
    </row>
    <row r="87" spans="14:17" x14ac:dyDescent="0.15">
      <c r="N87" s="196">
        <f>'5-DAY'!A118</f>
        <v>37221</v>
      </c>
      <c r="O87" s="198">
        <f>'5-DAY'!B118/1000</f>
        <v>0</v>
      </c>
      <c r="P87" s="198">
        <f t="shared" si="9"/>
        <v>-908.40699999999993</v>
      </c>
      <c r="Q87" s="198">
        <f>VAR!B82/1000</f>
        <v>0</v>
      </c>
    </row>
    <row r="88" spans="14:17" x14ac:dyDescent="0.15">
      <c r="N88" s="196">
        <f>'5-DAY'!A119</f>
        <v>37222</v>
      </c>
      <c r="O88" s="198">
        <f>'5-DAY'!B119/1000</f>
        <v>0</v>
      </c>
      <c r="P88" s="198">
        <f t="shared" si="9"/>
        <v>-493.7</v>
      </c>
      <c r="Q88" s="198">
        <f>VAR!B83/1000</f>
        <v>0</v>
      </c>
    </row>
    <row r="89" spans="14:17" x14ac:dyDescent="0.15">
      <c r="N89" s="196">
        <f>'5-DAY'!A120</f>
        <v>37223</v>
      </c>
      <c r="O89" s="198">
        <f>'5-DAY'!B120/1000</f>
        <v>0</v>
      </c>
      <c r="P89" s="198">
        <f t="shared" si="9"/>
        <v>0</v>
      </c>
      <c r="Q89" s="198">
        <f>VAR!B84/1000</f>
        <v>0</v>
      </c>
    </row>
    <row r="90" spans="14:17" x14ac:dyDescent="0.15">
      <c r="N90" s="196">
        <f>'5-DAY'!A121</f>
        <v>37224</v>
      </c>
      <c r="O90" s="198">
        <f>'5-DAY'!B121/1000</f>
        <v>0</v>
      </c>
      <c r="P90" s="198">
        <f t="shared" si="9"/>
        <v>0</v>
      </c>
      <c r="Q90" s="198">
        <f>VAR!B85/1000</f>
        <v>0</v>
      </c>
    </row>
    <row r="91" spans="14:17" x14ac:dyDescent="0.15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15">
      <c r="N92" s="196"/>
    </row>
    <row r="93" spans="14:17" x14ac:dyDescent="0.15">
      <c r="N93" s="196"/>
    </row>
    <row r="94" spans="14:17" x14ac:dyDescent="0.15">
      <c r="N94" s="196"/>
    </row>
    <row r="95" spans="14:17" x14ac:dyDescent="0.15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5" x14ac:dyDescent="0.15">
      <c r="A1" s="160" t="s">
        <v>98</v>
      </c>
      <c r="C1" s="162"/>
    </row>
    <row r="2" spans="1:20" ht="10.5" x14ac:dyDescent="0.15">
      <c r="A2" s="160" t="str">
        <f>'GAS SUM'!A3</f>
        <v>As of November 19, 2001</v>
      </c>
      <c r="C2" s="162"/>
    </row>
    <row r="4" spans="1:20" x14ac:dyDescent="0.15">
      <c r="N4" s="166"/>
      <c r="O4" s="161"/>
    </row>
    <row r="5" spans="1:20" x14ac:dyDescent="0.15">
      <c r="N5" s="166"/>
      <c r="O5" s="161"/>
    </row>
    <row r="6" spans="1:20" x14ac:dyDescent="0.15">
      <c r="N6" s="166" t="s">
        <v>136</v>
      </c>
      <c r="O6" s="161"/>
    </row>
    <row r="7" spans="1:20" x14ac:dyDescent="0.15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15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15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15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15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15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15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15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15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15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15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15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15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15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15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15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15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15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15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15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15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15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15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15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15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15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15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15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15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15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15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15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15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15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15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15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15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15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15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15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15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15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15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15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15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15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15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15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15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15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15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15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15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15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15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15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15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15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15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15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15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15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15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15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15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15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15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15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15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15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15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15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15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 t="shared" ref="Q79:Q84" si="40"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15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 t="shared" si="40"/>
        <v>-241.35806000000008</v>
      </c>
      <c r="R80" s="198">
        <f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15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 t="shared" si="40"/>
        <v>-120.21006000000008</v>
      </c>
      <c r="R81" s="198">
        <f>R80+O81</f>
        <v>-852.87606000000017</v>
      </c>
      <c r="S81" s="198">
        <f>S80+O81</f>
        <v>4068.6729400000008</v>
      </c>
      <c r="T81" s="198">
        <f>VAR!C76/1000</f>
        <v>371.495</v>
      </c>
    </row>
    <row r="82" spans="14:20" x14ac:dyDescent="0.15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 t="shared" si="40"/>
        <v>61.757939999999905</v>
      </c>
      <c r="R82" s="198">
        <f>R81+O82</f>
        <v>-670.90806000000021</v>
      </c>
      <c r="S82" s="198">
        <f>S81+O82</f>
        <v>4250.6409400000011</v>
      </c>
      <c r="T82" s="198">
        <f>VAR!C77/1000</f>
        <v>89.16</v>
      </c>
    </row>
    <row r="83" spans="14:20" x14ac:dyDescent="0.15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 t="shared" si="40"/>
        <v>17.059939999999905</v>
      </c>
      <c r="R83" s="198">
        <f>R82+O83</f>
        <v>-715.60606000000018</v>
      </c>
      <c r="S83" s="198">
        <f>S82+O83</f>
        <v>4205.9429400000008</v>
      </c>
      <c r="T83" s="198">
        <f>VAR!C78/1000</f>
        <v>91.760999999999996</v>
      </c>
    </row>
    <row r="84" spans="14:20" x14ac:dyDescent="0.15">
      <c r="N84" s="197">
        <f>'5-DAY'!A115</f>
        <v>37214</v>
      </c>
      <c r="O84" s="198">
        <f>'5-DAY'!C115/1000</f>
        <v>9.8209999999999997</v>
      </c>
      <c r="P84" s="198">
        <f>SUM(O80:O84)</f>
        <v>168.66999999999996</v>
      </c>
      <c r="Q84" s="182">
        <f t="shared" si="40"/>
        <v>26.880939999999903</v>
      </c>
      <c r="R84" s="198">
        <f>R83+O84</f>
        <v>-705.78506000000016</v>
      </c>
      <c r="S84" s="198">
        <f>S83+O84</f>
        <v>4215.7639400000007</v>
      </c>
      <c r="T84" s="198">
        <f>VAR!C79/1000</f>
        <v>73.632999999999996</v>
      </c>
    </row>
    <row r="85" spans="14:20" x14ac:dyDescent="0.15">
      <c r="N85" s="197">
        <f>'5-DAY'!A116</f>
        <v>37215</v>
      </c>
      <c r="O85" s="198"/>
      <c r="P85" s="198"/>
      <c r="Q85" s="182"/>
      <c r="R85" s="198"/>
      <c r="S85" s="198"/>
      <c r="T85" s="198"/>
    </row>
    <row r="86" spans="14:20" x14ac:dyDescent="0.15">
      <c r="N86" s="197">
        <f>'5-DAY'!A117</f>
        <v>37216</v>
      </c>
      <c r="O86" s="198"/>
      <c r="P86" s="198"/>
      <c r="Q86" s="182"/>
      <c r="R86" s="198"/>
      <c r="S86" s="198"/>
      <c r="T86" s="198"/>
    </row>
    <row r="87" spans="14:20" x14ac:dyDescent="0.15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15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15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15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15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15">
      <c r="N92" s="197"/>
    </row>
    <row r="93" spans="14:20" x14ac:dyDescent="0.15">
      <c r="N93" s="197"/>
    </row>
    <row r="94" spans="14:20" x14ac:dyDescent="0.15">
      <c r="N94" s="197"/>
    </row>
    <row r="95" spans="14:20" x14ac:dyDescent="0.15">
      <c r="N95" s="197"/>
    </row>
    <row r="96" spans="14:20" x14ac:dyDescent="0.15">
      <c r="N96" s="197"/>
    </row>
    <row r="97" spans="14:14" x14ac:dyDescent="0.15">
      <c r="N97" s="197"/>
    </row>
    <row r="98" spans="14:14" x14ac:dyDescent="0.15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15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14"/>
      <c r="C6" s="16" t="s">
        <v>148</v>
      </c>
      <c r="D6" s="16" t="s">
        <v>149</v>
      </c>
      <c r="E6" s="16" t="s">
        <v>150</v>
      </c>
      <c r="F6" s="16" t="s">
        <v>151</v>
      </c>
      <c r="G6" s="16" t="s">
        <v>152</v>
      </c>
      <c r="H6" s="16" t="s">
        <v>153</v>
      </c>
      <c r="I6" s="16" t="s">
        <v>154</v>
      </c>
      <c r="J6" s="16" t="s">
        <v>155</v>
      </c>
      <c r="K6" s="16" t="s">
        <v>156</v>
      </c>
      <c r="L6" s="16" t="s">
        <v>157</v>
      </c>
      <c r="M6" s="16" t="s">
        <v>158</v>
      </c>
      <c r="N6" s="16" t="s">
        <v>159</v>
      </c>
      <c r="O6" s="16" t="s">
        <v>160</v>
      </c>
      <c r="P6" s="16" t="s">
        <v>161</v>
      </c>
      <c r="Q6" s="16" t="s">
        <v>162</v>
      </c>
      <c r="R6" s="16" t="s">
        <v>163</v>
      </c>
      <c r="S6" s="16" t="s">
        <v>164</v>
      </c>
      <c r="T6" s="16" t="s">
        <v>165</v>
      </c>
      <c r="U6" s="16" t="s">
        <v>166</v>
      </c>
      <c r="V6" s="16" t="s">
        <v>167</v>
      </c>
      <c r="W6" s="16" t="s">
        <v>168</v>
      </c>
      <c r="X6" s="16" t="s">
        <v>169</v>
      </c>
      <c r="Y6" s="16" t="s">
        <v>170</v>
      </c>
      <c r="Z6" s="16" t="s">
        <v>171</v>
      </c>
      <c r="AA6" s="7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-665.40540000000328</v>
      </c>
      <c r="D7" s="17">
        <f>SUM(($D$16+$D$28))</f>
        <v>-6855.4903000000031</v>
      </c>
      <c r="E7" s="17">
        <f>SUM(($E$16+$E$28))</f>
        <v>-1136.4903000000031</v>
      </c>
      <c r="F7" s="17">
        <f>SUM(($F$16+$F$28))</f>
        <v>1305.5096999999969</v>
      </c>
      <c r="G7" s="17">
        <f>SUM(($G$16+$G$28))</f>
        <v>-10088.830099999999</v>
      </c>
      <c r="H7" s="17">
        <f>SUM(($H$16+$H$28))</f>
        <v>7478.1699000000008</v>
      </c>
      <c r="I7" s="17">
        <f>SUM(($I$16+$I$28))</f>
        <v>-1282.7451999999994</v>
      </c>
      <c r="J7" s="17">
        <f>SUM(($J$16+$J$28))</f>
        <v>-14846.745199999999</v>
      </c>
      <c r="K7" s="17">
        <f>SUM(($K$16+$K$28))</f>
        <v>-17363.745199999998</v>
      </c>
      <c r="L7" s="17">
        <f>SUM(($L$16+$L$28))</f>
        <v>-12615.745199999999</v>
      </c>
      <c r="M7" s="17">
        <f>SUM(($M$16+$M$28))</f>
        <v>-8782.7451999999994</v>
      </c>
      <c r="N7" s="17">
        <f>SUM(($N$16+$N$28))</f>
        <v>-4776.6602999999996</v>
      </c>
      <c r="O7" s="17">
        <f>SUM(($O$16+$O$28))</f>
        <v>-4914.6602999999996</v>
      </c>
      <c r="P7" s="17">
        <f>SUM(($P$16+$P$28))</f>
        <v>-7043.6602999999996</v>
      </c>
      <c r="Q7" s="17">
        <f>SUM(($Q$16+$Q$28))</f>
        <v>-4079.6602999999996</v>
      </c>
      <c r="R7" s="17">
        <f>SUM(($R$16+$R$28))</f>
        <v>-1011.6602999999996</v>
      </c>
      <c r="S7" s="17">
        <f>SUM(($S$16+$S$28))</f>
        <v>-3188.8300999999992</v>
      </c>
      <c r="T7" s="17">
        <f>SUM(($T$16+$T$28))</f>
        <v>-5231.8300999999992</v>
      </c>
      <c r="U7" s="17">
        <f>SUM(($U$16+$U$28))</f>
        <v>-5388.8300999999992</v>
      </c>
      <c r="V7" s="17">
        <f>SUM(($V$16+$V$28))</f>
        <v>-14747.830099999999</v>
      </c>
      <c r="W7" s="17">
        <f>SUM(($W$16+$W$28))</f>
        <v>-18489.830099999999</v>
      </c>
      <c r="X7" s="17">
        <f>SUM(($X$16+$X$28))</f>
        <v>-16154.830099999999</v>
      </c>
      <c r="Y7" s="17">
        <f>SUM(($Y$16+$Y$28))</f>
        <v>-11876.830099999999</v>
      </c>
      <c r="Z7" s="17">
        <f>SUM(($Z$16+$Z$28))</f>
        <v>-22467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-9903</v>
      </c>
      <c r="D8" s="17">
        <f>SUM(($D$17+$D$29))</f>
        <v>-774</v>
      </c>
      <c r="E8" s="17">
        <f>SUM(($E$17+$E$29))</f>
        <v>2250</v>
      </c>
      <c r="F8" s="17">
        <f>SUM(($F$17+$F$29))</f>
        <v>-9742</v>
      </c>
      <c r="G8" s="17">
        <f>SUM(($G$17+$G$29))</f>
        <v>-13033</v>
      </c>
      <c r="H8" s="17">
        <f>SUM(($H$17+$H$29))</f>
        <v>-26677</v>
      </c>
      <c r="I8" s="17">
        <f>SUM(($I$17+$I$29))</f>
        <v>-11267</v>
      </c>
      <c r="J8" s="17">
        <f>SUM(($J$17+$J$29))</f>
        <v>-38935</v>
      </c>
      <c r="K8" s="17">
        <f>SUM(($K$17+$K$29))</f>
        <v>-39677</v>
      </c>
      <c r="L8" s="17">
        <f>SUM(($L$17+$L$29))</f>
        <v>-26533</v>
      </c>
      <c r="M8" s="17">
        <f>SUM(($M$17+$M$29))</f>
        <v>-16484</v>
      </c>
      <c r="N8" s="17">
        <f>SUM(($N$17+$N$29))</f>
        <v>-6567</v>
      </c>
      <c r="O8" s="17">
        <f>SUM(($O$17+$O$29))</f>
        <v>-11968</v>
      </c>
      <c r="P8" s="17">
        <f>SUM(($P$17+$P$29))</f>
        <v>-10387</v>
      </c>
      <c r="Q8" s="17">
        <f>SUM(($Q$17+$Q$29))</f>
        <v>-10321</v>
      </c>
      <c r="R8" s="17">
        <f>SUM(($R$17+$R$29))</f>
        <v>-1032</v>
      </c>
      <c r="S8" s="17">
        <f>SUM(($S$17+$S$29))</f>
        <v>-23467</v>
      </c>
      <c r="T8" s="17">
        <f>SUM(($T$17+$T$29))</f>
        <v>-14613</v>
      </c>
      <c r="U8" s="17">
        <f>SUM(($U$17+$U$29))</f>
        <v>-15567</v>
      </c>
      <c r="V8" s="17">
        <f>SUM(($V$17+$V$29))</f>
        <v>-42258</v>
      </c>
      <c r="W8" s="17">
        <f>SUM(($W$17+$W$29))</f>
        <v>-50097</v>
      </c>
      <c r="X8" s="17">
        <f>SUM(($X$17+$X$29))</f>
        <v>-42867</v>
      </c>
      <c r="Y8" s="17">
        <f>SUM(($Y$17+$Y$29))</f>
        <v>-30806</v>
      </c>
      <c r="Z8" s="17">
        <f>SUM(($Z$17+$Z$29))</f>
        <v>-31067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20000</v>
      </c>
      <c r="H9" s="17">
        <f>SUM(($H$18+$H$30))</f>
        <v>35000</v>
      </c>
      <c r="I9" s="17">
        <f>SUM(($I$18+$I$30))</f>
        <v>35000</v>
      </c>
      <c r="J9" s="17">
        <f>SUM(($J$18+$J$30))</f>
        <v>55000</v>
      </c>
      <c r="K9" s="17">
        <f>SUM(($K$18+$K$30))</f>
        <v>55000</v>
      </c>
      <c r="L9" s="17">
        <f>SUM(($L$18+$L$30))</f>
        <v>55000</v>
      </c>
      <c r="M9" s="17">
        <f>SUM(($M$18+$M$30))</f>
        <v>55000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12979.981699999997</v>
      </c>
      <c r="D11" s="19">
        <f>SUM($D$7:$D$10)</f>
        <v>15918.896799999995</v>
      </c>
      <c r="E11" s="19">
        <f>SUM($E$7:$E$10)</f>
        <v>21113.509699999995</v>
      </c>
      <c r="F11" s="19">
        <f>SUM($F$7:$F$10)</f>
        <v>1563.5096999999969</v>
      </c>
      <c r="G11" s="19">
        <f>SUM($G$7:$G$10)</f>
        <v>-3121.8300999999992</v>
      </c>
      <c r="H11" s="19">
        <f>SUM($H$7:$H$10)</f>
        <v>15801.169900000001</v>
      </c>
      <c r="I11" s="19">
        <f>SUM($I$7:$I$10)</f>
        <v>22450.254800000002</v>
      </c>
      <c r="J11" s="19">
        <f>SUM($J$7:$J$10)</f>
        <v>1218.2548000000024</v>
      </c>
      <c r="K11" s="19">
        <f>SUM($K$7:$K$10)</f>
        <v>-2040.7451999999976</v>
      </c>
      <c r="L11" s="19">
        <f>SUM($L$7:$L$10)</f>
        <v>15851.254800000002</v>
      </c>
      <c r="M11" s="19">
        <f>SUM($M$7:$M$10)</f>
        <v>29733.254800000002</v>
      </c>
      <c r="N11" s="19">
        <f>SUM($N$7:$N$10)</f>
        <v>13656.3397</v>
      </c>
      <c r="O11" s="19">
        <f>SUM($O$7:$O$10)</f>
        <v>8117.3397000000004</v>
      </c>
      <c r="P11" s="19">
        <f>SUM($P$7:$P$10)</f>
        <v>7569.3397000000004</v>
      </c>
      <c r="Q11" s="19">
        <f>SUM($Q$7:$Q$10)</f>
        <v>10599.3397</v>
      </c>
      <c r="R11" s="19">
        <f>SUM($R$7:$R$10)</f>
        <v>22956.3397</v>
      </c>
      <c r="S11" s="19">
        <f>SUM($S$7:$S$10)</f>
        <v>-21655.830099999999</v>
      </c>
      <c r="T11" s="19">
        <f>SUM($T$7:$T$10)</f>
        <v>-14844.830099999999</v>
      </c>
      <c r="U11" s="19">
        <f>SUM($U$7:$U$10)</f>
        <v>-15955.830099999999</v>
      </c>
      <c r="V11" s="19">
        <f>SUM($V$7:$V$10)</f>
        <v>-52005.830099999999</v>
      </c>
      <c r="W11" s="19">
        <f>SUM($W$7:$W$10)</f>
        <v>-63586.830099999992</v>
      </c>
      <c r="X11" s="19">
        <f>SUM($X$7:$X$10)</f>
        <v>-54021.830099999999</v>
      </c>
      <c r="Y11" s="19">
        <f>SUM($Y$7:$Y$10)</f>
        <v>-37682.830099999999</v>
      </c>
      <c r="Z11" s="20">
        <f>SUM($Z$7:$Z$10)</f>
        <v>-53534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173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174</v>
      </c>
      <c r="B23" s="19"/>
      <c r="C23" s="19">
        <f>#N/A</f>
        <v>0</v>
      </c>
      <c r="D23" s="19">
        <f>#N/A</f>
        <v>0</v>
      </c>
      <c r="E23" s="19">
        <f>IF((ABS($E$20)&gt;$E$22),((ABS($E$20)-$E$22)*(ABS($E$20)/$E$20)),0)</f>
        <v>0</v>
      </c>
      <c r="F23" s="19">
        <f>IF((ABS($F$20)&gt;$F$22),((ABS($F$20)-$F$22)*(ABS($F$20)/$F$20)),0)</f>
        <v>0</v>
      </c>
      <c r="G23" s="19">
        <f>IF((ABS($G$20)&gt;$G$22),((ABS($G$20)-$G$22)*(ABS($G$20)/$G$20)),0)</f>
        <v>0</v>
      </c>
      <c r="H23" s="19">
        <f>IF((ABS($H$20)&gt;$H$22),((ABS($H$20)-$H$22)*(ABS($H$20)/$H$20)),0)</f>
        <v>0</v>
      </c>
      <c r="I23" s="19">
        <f>IF((ABS($I$20)&gt;$I$22),((ABS($I$20)-$I$22)*(ABS($I$20)/$I$20)),0)</f>
        <v>0</v>
      </c>
      <c r="J23" s="19">
        <f>IF((ABS($J$20)&gt;$J$22),((ABS($J$20)-$J$22)*(ABS($J$20)/$J$20)),0)</f>
        <v>0</v>
      </c>
      <c r="K23" s="19">
        <f>IF((ABS($K$20)&gt;$K$22),((ABS($K$20)-$K$22)*(ABS($K$20)/$K$20)),0)</f>
        <v>0</v>
      </c>
      <c r="L23" s="19">
        <f>IF((ABS($L$20)&gt;$L$22),((ABS($L$20)-$L$22)*(ABS($L$20)/$L$20)),0)</f>
        <v>0</v>
      </c>
      <c r="M23" s="19">
        <f>IF((ABS($M$20)&gt;$M$22),((ABS($M$20)-$M$22)*(ABS($M$20)/$M$20)),0)</f>
        <v>0</v>
      </c>
      <c r="N23" s="19">
        <f>IF((ABS($N$20)&gt;$N$22),((ABS($N$20)-$N$22)*(ABS($N$20)/$N$20)),0)</f>
        <v>0</v>
      </c>
      <c r="O23" s="19">
        <f>IF((ABS($O$20)&gt;$O$22),((ABS($O$20)-$O$22)*(ABS($O$20)/$O$20)),0)</f>
        <v>0</v>
      </c>
      <c r="P23" s="19">
        <f>IF((ABS($P$20)&gt;$P$22),((ABS($P$20)-$P$22)*(ABS($P$20)/$P$20)),0)</f>
        <v>0</v>
      </c>
      <c r="Q23" s="19">
        <f>IF((ABS($Q$20)&gt;$Q$22),((ABS($Q$20)-$Q$22)*(ABS($Q$20)/$Q$20)),0)</f>
        <v>0</v>
      </c>
      <c r="R23" s="19">
        <f>IF((ABS($R$20)&gt;$R$22),((ABS($R$20)-$R$22)*(ABS($R$20)/$R$20)),0)</f>
        <v>0</v>
      </c>
      <c r="S23" s="19">
        <f>IF((ABS($S$20)&gt;$S$22),((ABS($S$20)-$S$22)*(ABS($S$20)/$S$20)),0)</f>
        <v>0</v>
      </c>
      <c r="T23" s="19">
        <f>IF((ABS($T$20)&gt;$T$22),((ABS($T$20)-$T$22)*(ABS($T$20)/$T$20)),0)</f>
        <v>0</v>
      </c>
      <c r="U23" s="19">
        <f>IF((ABS($U$20)&gt;$U$22),((ABS($U$20)-$U$22)*(ABS($U$20)/$U$20)),0)</f>
        <v>0</v>
      </c>
      <c r="V23" s="19">
        <f>IF((ABS($V$20)&gt;$V$22),((ABS($V$20)-$V$22)*(ABS($V$20)/$V$20)),0)</f>
        <v>0</v>
      </c>
      <c r="W23" s="19">
        <f>IF((ABS($W$20)&gt;$W$22),((ABS($W$20)-$W$22)*(ABS($W$20)/$W$20)),0)</f>
        <v>0</v>
      </c>
      <c r="X23" s="19">
        <f>IF((ABS($X$20)&gt;$X$22),((ABS($X$20)-$X$22)*(ABS($X$20)/$X$20)),0)</f>
        <v>0</v>
      </c>
      <c r="Y23" s="19">
        <f>IF((ABS($Y$20)&gt;$Y$22),((ABS($Y$20)-$Y$22)*(ABS($Y$20)/$Y$20)),0)</f>
        <v>0</v>
      </c>
      <c r="Z23" s="19">
        <f>IF((ABS($Z$20)&gt;$Z$22),((ABS($Z$20)-$Z$22)*(ABS($Z$20)/$Z$20)),0)</f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175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-665.40540000000328</v>
      </c>
      <c r="D28" s="17">
        <v>-6855.4903000000031</v>
      </c>
      <c r="E28" s="17">
        <v>-1136.4903000000031</v>
      </c>
      <c r="F28" s="17">
        <v>1305.5096999999969</v>
      </c>
      <c r="G28" s="17">
        <v>-10088.830099999999</v>
      </c>
      <c r="H28" s="17">
        <v>7478.1699000000008</v>
      </c>
      <c r="I28" s="17">
        <v>-1282.7451999999994</v>
      </c>
      <c r="J28" s="17">
        <v>-14846.745199999999</v>
      </c>
      <c r="K28" s="17">
        <v>-17363.745199999998</v>
      </c>
      <c r="L28" s="17">
        <v>-12615.745199999999</v>
      </c>
      <c r="M28" s="17">
        <v>-8782.7451999999994</v>
      </c>
      <c r="N28" s="17">
        <v>-4776.6602999999996</v>
      </c>
      <c r="O28" s="17">
        <v>-4914.6602999999996</v>
      </c>
      <c r="P28" s="17">
        <v>-7043.6602999999996</v>
      </c>
      <c r="Q28" s="17">
        <v>-4079.6602999999996</v>
      </c>
      <c r="R28" s="17">
        <v>-1011.6602999999996</v>
      </c>
      <c r="S28" s="17">
        <v>-3188.8300999999992</v>
      </c>
      <c r="T28" s="17">
        <v>-5231.8300999999992</v>
      </c>
      <c r="U28" s="17">
        <v>-5388.8300999999992</v>
      </c>
      <c r="V28" s="17">
        <v>-14747.830099999999</v>
      </c>
      <c r="W28" s="17">
        <v>-18489.830099999999</v>
      </c>
      <c r="X28" s="17">
        <v>-16154.830099999999</v>
      </c>
      <c r="Y28" s="17">
        <v>-11876.830099999999</v>
      </c>
      <c r="Z28" s="17">
        <v>-22467</v>
      </c>
      <c r="AA28" s="14"/>
    </row>
    <row r="29" spans="1:27" customFormat="1" ht="11.25" customHeight="1" x14ac:dyDescent="0.2">
      <c r="A29" s="17" t="s">
        <v>111</v>
      </c>
      <c r="B29" s="14"/>
      <c r="C29" s="17">
        <v>-9903</v>
      </c>
      <c r="D29" s="17">
        <v>-774</v>
      </c>
      <c r="E29" s="17">
        <v>2250</v>
      </c>
      <c r="F29" s="17">
        <v>-9742</v>
      </c>
      <c r="G29" s="17">
        <v>-13033</v>
      </c>
      <c r="H29" s="17">
        <v>-26677</v>
      </c>
      <c r="I29" s="17">
        <v>-11267</v>
      </c>
      <c r="J29" s="17">
        <v>-38935</v>
      </c>
      <c r="K29" s="17">
        <v>-39677</v>
      </c>
      <c r="L29" s="17">
        <v>-26533</v>
      </c>
      <c r="M29" s="17">
        <v>-16484</v>
      </c>
      <c r="N29" s="17">
        <v>-6567</v>
      </c>
      <c r="O29" s="17">
        <v>-11968</v>
      </c>
      <c r="P29" s="17">
        <v>-10387</v>
      </c>
      <c r="Q29" s="17">
        <v>-10321</v>
      </c>
      <c r="R29" s="17">
        <v>-1032</v>
      </c>
      <c r="S29" s="17">
        <v>-23467</v>
      </c>
      <c r="T29" s="17">
        <v>-14613</v>
      </c>
      <c r="U29" s="17">
        <v>-15567</v>
      </c>
      <c r="V29" s="17">
        <v>-42258</v>
      </c>
      <c r="W29" s="17">
        <v>-50097</v>
      </c>
      <c r="X29" s="17">
        <v>-42867</v>
      </c>
      <c r="Y29" s="17">
        <v>-30806</v>
      </c>
      <c r="Z29" s="17">
        <v>-31067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20000</v>
      </c>
      <c r="H30" s="17">
        <v>35000</v>
      </c>
      <c r="I30" s="17">
        <v>35000</v>
      </c>
      <c r="J30" s="17">
        <v>55000</v>
      </c>
      <c r="K30" s="17">
        <v>55000</v>
      </c>
      <c r="L30" s="17">
        <v>55000</v>
      </c>
      <c r="M30" s="17">
        <v>55000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19431.594599999997</v>
      </c>
      <c r="D32" s="19">
        <f>SUM($D$28:$D$31)</f>
        <v>22370.509699999995</v>
      </c>
      <c r="E32" s="19">
        <f>SUM($E$28:$E$31)</f>
        <v>21113.509699999995</v>
      </c>
      <c r="F32" s="19">
        <f>SUM($F$28:$F$31)</f>
        <v>1563.5096999999969</v>
      </c>
      <c r="G32" s="19">
        <f>SUM($G$28:$G$31)</f>
        <v>-3121.8300999999992</v>
      </c>
      <c r="H32" s="19">
        <f>SUM($H$28:$H$31)</f>
        <v>15801.169900000001</v>
      </c>
      <c r="I32" s="19">
        <f>SUM($I$28:$I$31)</f>
        <v>22450.254800000002</v>
      </c>
      <c r="J32" s="19">
        <f>SUM($J$28:$J$31)</f>
        <v>1218.2548000000024</v>
      </c>
      <c r="K32" s="19">
        <f>SUM($K$28:$K$31)</f>
        <v>-2040.7451999999976</v>
      </c>
      <c r="L32" s="19">
        <f>SUM($L$28:$L$31)</f>
        <v>15851.254800000002</v>
      </c>
      <c r="M32" s="19">
        <f>SUM($M$28:$M$31)</f>
        <v>29733.254800000002</v>
      </c>
      <c r="N32" s="19">
        <f>SUM($N$28:$N$31)</f>
        <v>13656.3397</v>
      </c>
      <c r="O32" s="19">
        <f>SUM($O$28:$O$31)</f>
        <v>8117.3397000000004</v>
      </c>
      <c r="P32" s="19">
        <f>SUM($P$28:$P$31)</f>
        <v>7569.3397000000004</v>
      </c>
      <c r="Q32" s="19">
        <f>SUM($Q$28:$Q$31)</f>
        <v>10599.3397</v>
      </c>
      <c r="R32" s="19">
        <f>SUM($R$28:$R$31)</f>
        <v>22956.3397</v>
      </c>
      <c r="S32" s="19">
        <f>SUM($S$28:$S$31)</f>
        <v>-21655.830099999999</v>
      </c>
      <c r="T32" s="19">
        <f>SUM($T$28:$T$31)</f>
        <v>-14844.830099999999</v>
      </c>
      <c r="U32" s="19">
        <f>SUM($U$28:$U$31)</f>
        <v>-15955.830099999999</v>
      </c>
      <c r="V32" s="19">
        <f>SUM($V$28:$V$31)</f>
        <v>-52005.830099999999</v>
      </c>
      <c r="W32" s="19">
        <f>SUM($W$28:$W$31)</f>
        <v>-63586.830099999992</v>
      </c>
      <c r="X32" s="19">
        <f>SUM($X$28:$X$31)</f>
        <v>-54021.830099999999</v>
      </c>
      <c r="Y32" s="19">
        <f>SUM($Y$28:$Y$31)</f>
        <v>-37682.830099999999</v>
      </c>
      <c r="Z32" s="20">
        <f>SUM($Z$28:$Z$31)</f>
        <v>-53534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176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174</v>
      </c>
      <c r="B35" s="19"/>
      <c r="C35" s="19">
        <f>#N/A</f>
        <v>0</v>
      </c>
      <c r="D35" s="19">
        <f>IF((ABS($D$32)&gt;$D$34),((ABS($D$32)-$D$34)*(ABS($D$32)/$D$32)),0)</f>
        <v>2370.5096999999951</v>
      </c>
      <c r="E35" s="19">
        <f>IF((ABS($E$32)&gt;$E$34),((ABS($E$32)-$E$34)*(ABS($E$32)/$E$32)),0)</f>
        <v>1113.5096999999951</v>
      </c>
      <c r="F35" s="19">
        <f>#N/A</f>
        <v>0</v>
      </c>
      <c r="G35" s="19">
        <f>#N/A</f>
        <v>0</v>
      </c>
      <c r="H35" s="19">
        <f>#N/A</f>
        <v>0</v>
      </c>
      <c r="I35" s="19">
        <f>IF((ABS($I$32)&gt;$I$34),((ABS($I$32)-$I$34)*(ABS($I$32)/$I$32)),0)</f>
        <v>2450.2548000000024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9733.2548000000024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-12005.830099999999</v>
      </c>
      <c r="W35" s="19">
        <f>IF((ABS($W$32)&gt;$W$34),((ABS($W$32)-$W$34)*(ABS($W$32)/$W$32)),0)</f>
        <v>-23586.830099999992</v>
      </c>
      <c r="X35" s="19">
        <f>IF((ABS($X$32)&gt;$X$34),((ABS($X$32)-$X$34)*(ABS($X$32)/$X$32)),0)</f>
        <v>-14021.830099999999</v>
      </c>
      <c r="Y35" s="19">
        <f>IF((ABS($Y$32)&gt;$Y$34),((ABS($Y$32)-$Y$34)*(ABS($Y$32)/$Y$32)),0)</f>
        <v>0</v>
      </c>
      <c r="Z35" s="20">
        <f>IF((ABS($Z$32)&gt;$Z$34),((ABS($Z$32)-$Z$34)*(ABS($Z$32)/$Z$32)),0)</f>
        <v>-13534</v>
      </c>
      <c r="AA35" s="14"/>
    </row>
    <row r="36" spans="1:27" ht="13.5" customHeight="1" thickBot="1" x14ac:dyDescent="0.2">
      <c r="U36" s="27" t="s">
        <v>115</v>
      </c>
    </row>
    <row r="37" spans="1:27" ht="13.5" hidden="1" customHeight="1" x14ac:dyDescent="0.15"/>
    <row r="38" spans="1:27" ht="13.5" hidden="1" customHeight="1" thickBot="1" x14ac:dyDescent="0.2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15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15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15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"/>
    <row r="46" spans="1:27" ht="13.5" customHeight="1" thickBot="1" x14ac:dyDescent="0.2">
      <c r="A46" s="34" t="s">
        <v>103</v>
      </c>
    </row>
    <row r="47" spans="1:27" s="23" customFormat="1" ht="13.5" customHeight="1" x14ac:dyDescent="0.15">
      <c r="A47" s="9" t="s">
        <v>104</v>
      </c>
    </row>
    <row r="48" spans="1:27" s="23" customFormat="1" ht="13.5" customHeight="1" x14ac:dyDescent="0.15">
      <c r="A48" s="9" t="s">
        <v>105</v>
      </c>
      <c r="C48" s="23">
        <f>[1]Summary!E59</f>
        <v>0.88946263116119106</v>
      </c>
      <c r="D48" s="23">
        <f>[1]Summary!F59</f>
        <v>0.68620140786379458</v>
      </c>
      <c r="E48" s="23">
        <f>[1]Summary!G59</f>
        <v>0.6324192907066909</v>
      </c>
      <c r="F48" s="23">
        <f>[1]Summary!H59</f>
        <v>0.27041889816592835</v>
      </c>
      <c r="G48" s="23">
        <f>[1]Summary!I59</f>
        <v>0.22697050510884076</v>
      </c>
      <c r="H48" s="23">
        <f>[1]Summary!J59</f>
        <v>0.4773120041879988</v>
      </c>
      <c r="I48" s="23">
        <f>[1]Summary!K59</f>
        <v>0.60641383641699886</v>
      </c>
      <c r="J48" s="23">
        <f>[1]Summary!L59</f>
        <v>0.9171320407555501</v>
      </c>
      <c r="K48" s="23">
        <f>[1]Summary!M59</f>
        <v>0.9640220136559452</v>
      </c>
      <c r="L48" s="23">
        <f>[1]Summary!N59</f>
        <v>0.86788599539326616</v>
      </c>
      <c r="M48" s="23">
        <f>[1]Summary!O59</f>
        <v>0.73468974493823158</v>
      </c>
      <c r="N48" s="23">
        <f>[1]Summary!P59</f>
        <v>0.64667806263803274</v>
      </c>
      <c r="O48" s="23">
        <f>[1]Summary!Q59</f>
        <v>0.66200381037049449</v>
      </c>
      <c r="P48" s="23">
        <f>[1]Summary!R59</f>
        <v>0.6716513304734516</v>
      </c>
      <c r="Q48" s="23">
        <f>[1]Summary!S59</f>
        <v>0.61625906278146025</v>
      </c>
      <c r="R48" s="23">
        <f>[1]Summary!T59</f>
        <v>0.52851399725373582</v>
      </c>
      <c r="S48" s="23">
        <f>[1]Summary!U59</f>
        <v>0.57838304947021424</v>
      </c>
      <c r="T48" s="23">
        <f>[1]Summary!V59</f>
        <v>0.50013859385262061</v>
      </c>
      <c r="U48" s="23">
        <f>[1]Summary!W59</f>
        <v>0.55044827570488086</v>
      </c>
      <c r="V48" s="23">
        <f>[1]Summary!X59</f>
        <v>0.82229949462824792</v>
      </c>
      <c r="W48" s="23">
        <f>[1]Summary!Y59</f>
        <v>0.8676245861021894</v>
      </c>
      <c r="X48" s="23">
        <f>[1]Summary!Z59</f>
        <v>0.80415768593611159</v>
      </c>
      <c r="Y48" s="23">
        <f>[1]Summary!AA59</f>
        <v>0.6766473955785739</v>
      </c>
      <c r="Z48" s="23">
        <f>[1]Summary!AB59</f>
        <v>0.62643991316366143</v>
      </c>
    </row>
    <row r="49" spans="1:26" s="23" customFormat="1" ht="13.5" customHeight="1" x14ac:dyDescent="0.15">
      <c r="A49" s="9" t="s">
        <v>106</v>
      </c>
      <c r="C49" s="23">
        <f>[1]Summary!E60</f>
        <v>6.1883286261452231E-2</v>
      </c>
      <c r="D49" s="23">
        <f>[1]Summary!F60</f>
        <v>0.18891300180697801</v>
      </c>
      <c r="E49" s="23">
        <f>[1]Summary!G60</f>
        <v>0.2854723907880603</v>
      </c>
      <c r="F49" s="23">
        <f>[1]Summary!H60</f>
        <v>4.7212400460784343E-2</v>
      </c>
      <c r="G49" s="23">
        <f>[1]Summary!I60</f>
        <v>2.9291421103853299E-2</v>
      </c>
      <c r="H49" s="23">
        <f>[1]Summary!J60</f>
        <v>0.14747135034513348</v>
      </c>
      <c r="I49" s="23">
        <f>[1]Summary!K60</f>
        <v>0.26362036951841117</v>
      </c>
      <c r="J49" s="23">
        <f>[1]Summary!L60</f>
        <v>0.4164157059436191</v>
      </c>
      <c r="K49" s="23">
        <f>[1]Summary!M60</f>
        <v>0.55705182889262017</v>
      </c>
      <c r="L49" s="23">
        <f>[1]Summary!N60</f>
        <v>0.44328817978657509</v>
      </c>
      <c r="M49" s="23">
        <f>[1]Summary!O60</f>
        <v>0.2840569060979814</v>
      </c>
      <c r="N49" s="23">
        <f>[1]Summary!P60</f>
        <v>0.16267480622775543</v>
      </c>
      <c r="O49" s="23">
        <f>[1]Summary!Q60</f>
        <v>0.49076667476676111</v>
      </c>
      <c r="P49" s="23">
        <f>[1]Summary!R60</f>
        <v>0.23931769887086321</v>
      </c>
      <c r="Q49" s="23">
        <f>[1]Summary!S60</f>
        <v>0.16485653613879869</v>
      </c>
      <c r="R49" s="23">
        <f>[1]Summary!T60</f>
        <v>0.40968883708250703</v>
      </c>
      <c r="S49" s="23">
        <f>[1]Summary!U60</f>
        <v>0.29738085676954162</v>
      </c>
      <c r="T49" s="23">
        <f>[1]Summary!V60</f>
        <v>0.28401816009467817</v>
      </c>
      <c r="U49" s="23">
        <f>[1]Summary!W60</f>
        <v>0.19259719940942813</v>
      </c>
      <c r="V49" s="23">
        <f>[1]Summary!X60</f>
        <v>0.5070768583884433</v>
      </c>
      <c r="W49" s="23">
        <f>[1]Summary!Y60</f>
        <v>0.53923380230325646</v>
      </c>
      <c r="X49" s="23">
        <f>[1]Summary!Z60</f>
        <v>0.51462361035551163</v>
      </c>
      <c r="Y49" s="23">
        <f>[1]Summary!AA60</f>
        <v>0.4034586240575555</v>
      </c>
      <c r="Z49" s="23">
        <f>[1]Summary!AB60</f>
        <v>0.22195029585765969</v>
      </c>
    </row>
    <row r="50" spans="1:26" s="23" customFormat="1" ht="13.5" customHeight="1" x14ac:dyDescent="0.15">
      <c r="A50" s="9" t="s">
        <v>107</v>
      </c>
    </row>
    <row r="51" spans="1:26" s="23" customFormat="1" ht="13.5" customHeight="1" x14ac:dyDescent="0.15">
      <c r="A51" s="9" t="s">
        <v>105</v>
      </c>
      <c r="C51" s="23">
        <f>[1]Summary!E62</f>
        <v>0.99772203727135977</v>
      </c>
      <c r="D51" s="23">
        <f>[1]Summary!F62</f>
        <v>0.9760273460709511</v>
      </c>
      <c r="E51" s="23">
        <f>[1]Summary!G62</f>
        <v>0.89754335887873427</v>
      </c>
      <c r="F51" s="23">
        <f>[1]Summary!H62</f>
        <v>0.9059510099349235</v>
      </c>
      <c r="G51" s="23">
        <f>[1]Summary!I62</f>
        <v>0.78285483304122616</v>
      </c>
      <c r="H51" s="23">
        <f>[1]Summary!J62</f>
        <v>0.7760710066050166</v>
      </c>
      <c r="I51" s="23">
        <f>[1]Summary!K62</f>
        <v>0.747153683430829</v>
      </c>
      <c r="J51" s="23">
        <f>[1]Summary!L62</f>
        <v>0.97579682597995421</v>
      </c>
      <c r="K51" s="23">
        <f>[1]Summary!M62</f>
        <v>0.99074549467606476</v>
      </c>
      <c r="L51" s="23">
        <f>[1]Summary!N62</f>
        <v>0.94747292076608036</v>
      </c>
      <c r="M51" s="23">
        <f>[1]Summary!O62</f>
        <v>0.85961512547146957</v>
      </c>
      <c r="N51" s="23">
        <f>[1]Summary!P62</f>
        <v>0.86810271442878328</v>
      </c>
      <c r="O51" s="23">
        <f>[1]Summary!Q62</f>
        <v>0.87877004355981747</v>
      </c>
      <c r="P51" s="23">
        <f>[1]Summary!R62</f>
        <v>0.89779757068736632</v>
      </c>
      <c r="Q51" s="23">
        <f>[1]Summary!S62</f>
        <v>0.86158073903756438</v>
      </c>
      <c r="R51" s="23">
        <f>[1]Summary!T62</f>
        <v>0.80336181907649007</v>
      </c>
      <c r="S51" s="23">
        <f>[1]Summary!U62</f>
        <v>0.77185076242496597</v>
      </c>
      <c r="T51" s="23">
        <f>[1]Summary!V62</f>
        <v>0.69724161105516413</v>
      </c>
      <c r="U51" s="23">
        <f>[1]Summary!W62</f>
        <v>0.73817300645514161</v>
      </c>
      <c r="V51" s="23">
        <f>[1]Summary!X62</f>
        <v>0.90414996341161713</v>
      </c>
      <c r="W51" s="23">
        <f>[1]Summary!Y62</f>
        <v>0.94219489128710987</v>
      </c>
      <c r="X51" s="23">
        <f>[1]Summary!Z62</f>
        <v>0.90138105683817815</v>
      </c>
      <c r="Y51" s="23">
        <f>[1]Summary!AA62</f>
        <v>0.83116909310788134</v>
      </c>
      <c r="Z51" s="23">
        <f>[1]Summary!AB62</f>
        <v>0.84812161064035041</v>
      </c>
    </row>
    <row r="52" spans="1:26" s="23" customFormat="1" ht="13.5" customHeight="1" x14ac:dyDescent="0.15">
      <c r="A52" s="9" t="s">
        <v>106</v>
      </c>
      <c r="C52" s="23">
        <f>[1]Summary!E63</f>
        <v>0.64579532692189379</v>
      </c>
      <c r="D52" s="23">
        <f>[1]Summary!F63</f>
        <v>0.73456184774614663</v>
      </c>
      <c r="E52" s="23">
        <f>[1]Summary!G63</f>
        <v>0.64506114352890809</v>
      </c>
      <c r="F52" s="23">
        <f>[1]Summary!H63</f>
        <v>0.52600320742408535</v>
      </c>
      <c r="G52" s="23">
        <f>[1]Summary!I63</f>
        <v>0.33553662560795122</v>
      </c>
      <c r="H52" s="23">
        <f>[1]Summary!J63</f>
        <v>0.32049702576669803</v>
      </c>
      <c r="I52" s="23">
        <f>[1]Summary!K63</f>
        <v>0.40628270335496464</v>
      </c>
      <c r="J52" s="23">
        <f>[1]Summary!L63</f>
        <v>0.66486826263720644</v>
      </c>
      <c r="K52" s="23">
        <f>[1]Summary!M63</f>
        <v>0.77736840774244997</v>
      </c>
      <c r="L52" s="23">
        <f>[1]Summary!N63</f>
        <v>0.64822250616287103</v>
      </c>
      <c r="M52" s="23">
        <f>[1]Summary!O63</f>
        <v>0.49696873340495795</v>
      </c>
      <c r="N52" s="23">
        <f>[1]Summary!P63</f>
        <v>0.49124623587629879</v>
      </c>
      <c r="O52" s="23">
        <f>[1]Summary!Q63</f>
        <v>0.6483584822078472</v>
      </c>
      <c r="P52" s="23">
        <f>[1]Summary!R63</f>
        <v>0.54304804755125913</v>
      </c>
      <c r="Q52" s="23">
        <f>[1]Summary!S63</f>
        <v>0.45366120019446687</v>
      </c>
      <c r="R52" s="23">
        <f>[1]Summary!T63</f>
        <v>0.57490891957413992</v>
      </c>
      <c r="S52" s="23">
        <f>[1]Summary!U63</f>
        <v>0.46455823338149144</v>
      </c>
      <c r="T52" s="23">
        <f>[1]Summary!V63</f>
        <v>0.43912285921995231</v>
      </c>
      <c r="U52" s="23">
        <f>[1]Summary!W63</f>
        <v>0.34518374738188939</v>
      </c>
      <c r="V52" s="23">
        <f>[1]Summary!X63</f>
        <v>0.70328882922250413</v>
      </c>
      <c r="W52" s="23">
        <f>[1]Summary!Y63</f>
        <v>0.77108927385504678</v>
      </c>
      <c r="X52" s="23">
        <f>[1]Summary!Z63</f>
        <v>0.71684030335505955</v>
      </c>
      <c r="Y52" s="23">
        <f>[1]Summary!AA63</f>
        <v>0.56972491671663661</v>
      </c>
      <c r="Z52" s="23">
        <f>[1]Summary!AB63</f>
        <v>0.53060771981588484</v>
      </c>
    </row>
    <row r="53" spans="1:26" s="23" customFormat="1" ht="13.5" customHeight="1" x14ac:dyDescent="0.15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15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15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15">
      <c r="A3" s="41" t="str">
        <f>Dth_Day!A3</f>
        <v>Valuation Date:  11/19/2001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15">
      <c r="A4" s="41" t="str">
        <f>Dth_Day!A4</f>
        <v>As of:                11/19/2001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15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15">
      <c r="A8" s="61" t="s">
        <v>110</v>
      </c>
      <c r="C8" s="42">
        <f>Dth_Day!C28</f>
        <v>-665.40540000000328</v>
      </c>
      <c r="D8" s="42">
        <f>Dth_Day!D28</f>
        <v>-6855.4903000000031</v>
      </c>
      <c r="E8" s="42">
        <f>Dth_Day!E28</f>
        <v>-1136.4903000000031</v>
      </c>
    </row>
    <row r="9" spans="1:27" ht="13.5" customHeight="1" x14ac:dyDescent="0.15">
      <c r="A9" s="61" t="s">
        <v>111</v>
      </c>
      <c r="C9" s="42">
        <f>Dth_Day!C29</f>
        <v>-9903</v>
      </c>
      <c r="D9" s="42">
        <f>Dth_Day!D29</f>
        <v>-774</v>
      </c>
      <c r="E9" s="42">
        <f>Dth_Day!E29</f>
        <v>2250</v>
      </c>
    </row>
    <row r="10" spans="1:27" ht="13.5" customHeight="1" x14ac:dyDescent="0.15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">
      <c r="A12" s="43" t="s">
        <v>114</v>
      </c>
      <c r="B12" s="44"/>
      <c r="C12" s="44">
        <f>SUM(C8:C11)</f>
        <v>19431.594599999997</v>
      </c>
      <c r="D12" s="44">
        <f>SUM(D8:D11)</f>
        <v>22370.509699999995</v>
      </c>
      <c r="E12" s="44">
        <f>SUM(E8:E11)</f>
        <v>21113.509699999995</v>
      </c>
    </row>
    <row r="14" spans="1:27" ht="13.5" customHeight="1" x14ac:dyDescent="0.15">
      <c r="A14" s="47" t="s">
        <v>104</v>
      </c>
    </row>
    <row r="15" spans="1:27" ht="13.5" customHeight="1" x14ac:dyDescent="0.15">
      <c r="A15" s="47" t="s">
        <v>105</v>
      </c>
      <c r="C15" s="184">
        <f>Dth_Day!C48</f>
        <v>0.88946263116119106</v>
      </c>
      <c r="D15" s="184">
        <f>Dth_Day!D48</f>
        <v>0.68620140786379458</v>
      </c>
      <c r="E15" s="184">
        <f>Dth_Day!E48</f>
        <v>0.6324192907066909</v>
      </c>
    </row>
    <row r="16" spans="1:27" ht="13.5" customHeight="1" x14ac:dyDescent="0.15">
      <c r="A16" s="47" t="s">
        <v>106</v>
      </c>
      <c r="C16" s="184">
        <f>Dth_Day!C49</f>
        <v>6.1883286261452231E-2</v>
      </c>
      <c r="D16" s="184">
        <f>Dth_Day!D49</f>
        <v>0.18891300180697801</v>
      </c>
      <c r="E16" s="184">
        <f>Dth_Day!E49</f>
        <v>0.2854723907880603</v>
      </c>
    </row>
    <row r="17" spans="1:18" ht="13.5" customHeight="1" x14ac:dyDescent="0.15">
      <c r="A17" s="47" t="s">
        <v>107</v>
      </c>
      <c r="C17" s="184"/>
      <c r="D17" s="184"/>
      <c r="E17" s="184"/>
    </row>
    <row r="18" spans="1:18" ht="13.5" customHeight="1" x14ac:dyDescent="0.15">
      <c r="A18" s="47" t="s">
        <v>105</v>
      </c>
      <c r="C18" s="184">
        <f>Dth_Day!C51</f>
        <v>0.99772203727135977</v>
      </c>
      <c r="D18" s="184">
        <f>Dth_Day!D51</f>
        <v>0.9760273460709511</v>
      </c>
      <c r="E18" s="184">
        <f>Dth_Day!E51</f>
        <v>0.89754335887873427</v>
      </c>
    </row>
    <row r="19" spans="1:18" ht="13.5" customHeight="1" x14ac:dyDescent="0.15">
      <c r="A19" s="47" t="s">
        <v>106</v>
      </c>
      <c r="C19" s="184">
        <f>Dth_Day!C52</f>
        <v>0.64579532692189379</v>
      </c>
      <c r="D19" s="184">
        <f>Dth_Day!D52</f>
        <v>0.73456184774614663</v>
      </c>
      <c r="E19" s="184">
        <f>Dth_Day!E52</f>
        <v>0.64506114352890809</v>
      </c>
    </row>
    <row r="21" spans="1:18" ht="13.5" customHeight="1" thickBot="1" x14ac:dyDescent="0.2">
      <c r="G21" s="195"/>
    </row>
    <row r="22" spans="1:18" ht="13.5" customHeight="1" thickBot="1" x14ac:dyDescent="0.2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15">
      <c r="A23" s="61" t="s">
        <v>110</v>
      </c>
      <c r="C23" s="42">
        <f>C8+J42</f>
        <v>-1962.8254111973424</v>
      </c>
      <c r="D23" s="42">
        <f>D8+N42</f>
        <v>-11590.846884258064</v>
      </c>
      <c r="E23" s="42">
        <f>E8+R42</f>
        <v>-7170.4367013394804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15">
      <c r="A24" s="61" t="s">
        <v>111</v>
      </c>
      <c r="C24" s="42">
        <f>C9+J32</f>
        <v>-45292.513727858561</v>
      </c>
      <c r="D24" s="42">
        <f>D9+N32</f>
        <v>-47552.564995172848</v>
      </c>
      <c r="E24" s="42">
        <f>E9+R32</f>
        <v>-32654.386726936136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15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445.72216731517909</v>
      </c>
      <c r="I25" s="185">
        <f>'[2]MWA Prompt'!I29</f>
        <v>456</v>
      </c>
      <c r="J25" s="185">
        <f>I25-H25</f>
        <v>10.277832684820908</v>
      </c>
      <c r="L25" s="185">
        <f>'[2]MWA Prompt'!L29</f>
        <v>354.03833759901244</v>
      </c>
      <c r="M25" s="185">
        <f>'[2]MWA Prompt'!M29</f>
        <v>446</v>
      </c>
      <c r="N25" s="185">
        <f>M25-L25</f>
        <v>91.961662400987564</v>
      </c>
      <c r="P25" s="185">
        <f>'[2]MWA Prompt'!$P$29</f>
        <v>343.91112239812924</v>
      </c>
      <c r="Q25" s="185">
        <f>'[2]MWA Prompt'!Q29</f>
        <v>410</v>
      </c>
      <c r="R25" s="185">
        <f>Q25-P25</f>
        <v>66.088877601870763</v>
      </c>
    </row>
    <row r="26" spans="1:18" ht="13.5" customHeight="1" thickBot="1" x14ac:dyDescent="0.2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90.236142324712503</v>
      </c>
      <c r="I26" s="185">
        <f>'[2]MWA Prompt'!I30</f>
        <v>456</v>
      </c>
      <c r="J26" s="185">
        <f>I26-H26</f>
        <v>365.76385767528751</v>
      </c>
      <c r="L26" s="185">
        <f>'[2]MWA Prompt'!L30</f>
        <v>85.560157318583464</v>
      </c>
      <c r="M26" s="185">
        <f>'[2]MWA Prompt'!M30</f>
        <v>446</v>
      </c>
      <c r="N26" s="185">
        <f>M26-L26</f>
        <v>360.43984268141651</v>
      </c>
      <c r="P26" s="185">
        <f>'[2]MWA Prompt'!$P$30</f>
        <v>137.89171969607682</v>
      </c>
      <c r="Q26" s="185">
        <f>'[2]MWA Prompt'!Q30</f>
        <v>410</v>
      </c>
      <c r="R26" s="185">
        <f>Q26-P26</f>
        <v>272.10828030392315</v>
      </c>
    </row>
    <row r="27" spans="1:18" ht="13.5" customHeight="1" thickBot="1" x14ac:dyDescent="0.2">
      <c r="A27" s="43" t="s">
        <v>114</v>
      </c>
      <c r="B27" s="44"/>
      <c r="C27" s="44">
        <f>SUM(C23:C26)</f>
        <v>-17255.339139055905</v>
      </c>
      <c r="D27" s="44">
        <f>SUM(D23:D26)</f>
        <v>-29143.411879430911</v>
      </c>
      <c r="E27" s="44">
        <f>SUM(E23:E26)</f>
        <v>-19824.823428275617</v>
      </c>
      <c r="G27" s="42" t="s">
        <v>126</v>
      </c>
      <c r="H27" s="185">
        <f>((H25*H46)+(H26*H47))/H48</f>
        <v>296.37032057421794</v>
      </c>
      <c r="I27" s="185">
        <f>((I25*I46)+(I26*I47))/I48</f>
        <v>456</v>
      </c>
      <c r="J27" s="185">
        <f>((J25*J46)+(J26*J47))/J48</f>
        <v>159.62967942578206</v>
      </c>
      <c r="L27" s="185">
        <f>((L25*L46)+(L26*L47))/L48</f>
        <v>234.71470191882182</v>
      </c>
      <c r="M27" s="185">
        <f>((M25*M46)+(M26*M47))/M48</f>
        <v>446</v>
      </c>
      <c r="N27" s="185">
        <f>((N25*N46)+(N26*N47))/N48</f>
        <v>211.28529808117818</v>
      </c>
      <c r="P27" s="185">
        <f>((P25*P46)+(P26*P47))/P48</f>
        <v>252.3469434194393</v>
      </c>
      <c r="Q27" s="185">
        <f>((Q25*Q46)+(Q26*Q47))/Q48</f>
        <v>410</v>
      </c>
      <c r="R27" s="185">
        <f>((R25*R46)+(R26*R47))/R48</f>
        <v>157.6530565805607</v>
      </c>
    </row>
    <row r="28" spans="1:18" ht="13.5" customHeight="1" x14ac:dyDescent="0.15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15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15">
      <c r="G30" s="42" t="s">
        <v>129</v>
      </c>
      <c r="H30" s="185"/>
      <c r="I30" s="185"/>
      <c r="J30" s="185">
        <f>J27*J28*J29</f>
        <v>1097074.9255636153</v>
      </c>
      <c r="L30" s="185"/>
      <c r="M30" s="185"/>
      <c r="N30" s="185">
        <f>N27*N28*N29</f>
        <v>1403356.9498551853</v>
      </c>
      <c r="P30" s="185"/>
      <c r="Q30" s="185"/>
      <c r="R30" s="185">
        <f>R27*R28*R29</f>
        <v>1047131.6018080842</v>
      </c>
    </row>
    <row r="31" spans="1:18" ht="13.5" customHeight="1" x14ac:dyDescent="0.15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15">
      <c r="G32" s="42" t="s">
        <v>130</v>
      </c>
      <c r="H32" s="185"/>
      <c r="I32" s="185"/>
      <c r="J32" s="185">
        <f>J30/-J31</f>
        <v>-35389.513727858561</v>
      </c>
      <c r="L32" s="185"/>
      <c r="M32" s="185"/>
      <c r="N32" s="185">
        <f>N30/-N31</f>
        <v>-46778.564995172848</v>
      </c>
      <c r="P32" s="185"/>
      <c r="Q32" s="185"/>
      <c r="R32" s="185">
        <f>R30/-R31</f>
        <v>-34904.386726936136</v>
      </c>
    </row>
    <row r="34" spans="7:18" ht="13.5" customHeight="1" x14ac:dyDescent="0.15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15">
      <c r="G35" s="42" t="s">
        <v>124</v>
      </c>
      <c r="H35" s="185">
        <f>'[2]MWA Prompt'!H33</f>
        <v>230.9994136836047</v>
      </c>
      <c r="I35" s="185">
        <f>'[2]MWA Prompt'!I33</f>
        <v>231</v>
      </c>
      <c r="J35" s="185">
        <f>I35-H35</f>
        <v>5.8631639529949098E-4</v>
      </c>
      <c r="L35" s="185">
        <f>'[2]MWA Prompt'!L33</f>
        <v>231.23400333865712</v>
      </c>
      <c r="M35" s="185">
        <f>'[2]MWA Prompt'!M33</f>
        <v>233</v>
      </c>
      <c r="N35" s="185">
        <f>M35-L35</f>
        <v>1.7659966613428821</v>
      </c>
      <c r="P35" s="185">
        <f>'[2]MWA Prompt'!P33</f>
        <v>222.3750689394528</v>
      </c>
      <c r="Q35" s="185">
        <f>'[2]MWA Prompt'!Q33</f>
        <v>228</v>
      </c>
      <c r="R35" s="185">
        <f>Q35-P35</f>
        <v>5.6249310605471976</v>
      </c>
    </row>
    <row r="36" spans="7:18" ht="13.5" customHeight="1" x14ac:dyDescent="0.15">
      <c r="G36" s="42" t="s">
        <v>125</v>
      </c>
      <c r="H36" s="185">
        <f>'[2]MWA Prompt'!H34</f>
        <v>213.37413329449501</v>
      </c>
      <c r="I36" s="185">
        <f>'[2]MWA Prompt'!I34</f>
        <v>231</v>
      </c>
      <c r="J36" s="185">
        <f>I36-H36</f>
        <v>17.62586670550499</v>
      </c>
      <c r="L36" s="185">
        <f>'[2]MWA Prompt'!L34</f>
        <v>174.31042041183727</v>
      </c>
      <c r="M36" s="185">
        <f>'[2]MWA Prompt'!M34</f>
        <v>233</v>
      </c>
      <c r="N36" s="185">
        <f>M36-L36</f>
        <v>58.689579588162729</v>
      </c>
      <c r="P36" s="185">
        <f>'[2]MWA Prompt'!P34</f>
        <v>157.43411648335533</v>
      </c>
      <c r="Q36" s="185">
        <f>'[2]MWA Prompt'!Q34</f>
        <v>228</v>
      </c>
      <c r="R36" s="185">
        <f>Q36-P36</f>
        <v>70.565883516644675</v>
      </c>
    </row>
    <row r="37" spans="7:18" ht="13.5" customHeight="1" x14ac:dyDescent="0.15">
      <c r="G37" s="42" t="s">
        <v>126</v>
      </c>
      <c r="H37" s="185">
        <f>((H35*H46)+(H36*H47))/H48</f>
        <v>223.59443011073046</v>
      </c>
      <c r="I37" s="185">
        <f>((I35*I46)+(I36*I47))/I48</f>
        <v>231</v>
      </c>
      <c r="J37" s="185">
        <f>((J35*J46)+(J36*J47))/J48</f>
        <v>7.4055698892695725</v>
      </c>
      <c r="L37" s="185">
        <f>((L35*L46)+(L36*L47))/L48</f>
        <v>205.93463314895942</v>
      </c>
      <c r="M37" s="185">
        <f>((M35*M46)+(M36*M47))/M48</f>
        <v>233</v>
      </c>
      <c r="N37" s="185">
        <f>((N35*N46)+(N36*N47))/N48</f>
        <v>27.065366851040586</v>
      </c>
      <c r="P37" s="185">
        <f>((P35*P46)+(P36*P47))/P48</f>
        <v>193.51242340340946</v>
      </c>
      <c r="Q37" s="185">
        <f>((Q35*Q46)+(Q36*Q47))/Q48</f>
        <v>228</v>
      </c>
      <c r="R37" s="185">
        <f>((R35*R46)+(R36*R47))/R48</f>
        <v>34.487576596590522</v>
      </c>
    </row>
    <row r="38" spans="7:18" ht="13.5" customHeight="1" x14ac:dyDescent="0.15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15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15">
      <c r="G40" s="42" t="s">
        <v>129</v>
      </c>
      <c r="H40" s="185"/>
      <c r="I40" s="185"/>
      <c r="J40" s="185">
        <f>J37*J38*J39</f>
        <v>40220.020347117512</v>
      </c>
      <c r="L40" s="185"/>
      <c r="M40" s="185"/>
      <c r="N40" s="185">
        <f>N37*N38*N39</f>
        <v>142060.69752774184</v>
      </c>
      <c r="P40" s="185"/>
      <c r="Q40" s="185"/>
      <c r="R40" s="185">
        <f>R37*R38*R39</f>
        <v>181018.39204018432</v>
      </c>
    </row>
    <row r="41" spans="7:18" ht="13.5" customHeight="1" x14ac:dyDescent="0.15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15">
      <c r="G42" s="42" t="s">
        <v>131</v>
      </c>
      <c r="H42" s="185"/>
      <c r="I42" s="185"/>
      <c r="J42" s="185">
        <f>J40/-J41</f>
        <v>-1297.4200111973391</v>
      </c>
      <c r="L42" s="185"/>
      <c r="M42" s="185"/>
      <c r="N42" s="185">
        <f>N40/-N41</f>
        <v>-4735.356584258061</v>
      </c>
      <c r="P42" s="185"/>
      <c r="Q42" s="185"/>
      <c r="R42" s="185">
        <f>R40/-R41</f>
        <v>-6033.9464013394772</v>
      </c>
    </row>
    <row r="43" spans="7:18" ht="13.5" customHeight="1" x14ac:dyDescent="0.15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15">
      <c r="J44" s="42">
        <f>J32+J42</f>
        <v>-36686.933739055901</v>
      </c>
      <c r="N44" s="42">
        <f>N32+N42</f>
        <v>-51513.921579430913</v>
      </c>
      <c r="R44" s="42">
        <f>R32+R42</f>
        <v>-40938.333128275612</v>
      </c>
    </row>
    <row r="46" spans="7:18" ht="13.5" customHeight="1" x14ac:dyDescent="0.15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15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15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>
      <selection activeCell="C11" sqref="C11"/>
    </sheetView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190</v>
      </c>
    </row>
    <row r="2" spans="1:27" ht="12" customHeight="1" x14ac:dyDescent="0.2">
      <c r="A2" s="202" t="s">
        <v>146</v>
      </c>
    </row>
    <row r="3" spans="1:27" ht="12" customHeight="1" x14ac:dyDescent="0.2">
      <c r="A3" s="202" t="s">
        <v>178</v>
      </c>
    </row>
    <row r="4" spans="1:27" ht="12" customHeight="1" x14ac:dyDescent="0.2">
      <c r="A4" s="202" t="s">
        <v>179</v>
      </c>
    </row>
    <row r="6" spans="1:27" ht="12" customHeight="1" x14ac:dyDescent="0.2">
      <c r="A6" s="204" t="s">
        <v>180</v>
      </c>
      <c r="C6" s="12" t="s">
        <v>148</v>
      </c>
      <c r="D6" s="12" t="s">
        <v>149</v>
      </c>
      <c r="E6" s="12" t="s">
        <v>150</v>
      </c>
      <c r="F6" s="12" t="s">
        <v>151</v>
      </c>
      <c r="G6" s="12" t="s">
        <v>152</v>
      </c>
      <c r="H6" s="12" t="s">
        <v>153</v>
      </c>
      <c r="I6" s="12" t="s">
        <v>154</v>
      </c>
      <c r="J6" s="12" t="s">
        <v>155</v>
      </c>
      <c r="K6" s="12" t="s">
        <v>156</v>
      </c>
      <c r="L6" s="12" t="s">
        <v>157</v>
      </c>
      <c r="M6" s="12" t="s">
        <v>158</v>
      </c>
      <c r="N6" s="12" t="s">
        <v>159</v>
      </c>
      <c r="O6" s="12" t="s">
        <v>160</v>
      </c>
      <c r="P6" s="12" t="s">
        <v>161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166</v>
      </c>
      <c r="V6" s="12" t="s">
        <v>167</v>
      </c>
      <c r="W6" s="12" t="s">
        <v>168</v>
      </c>
      <c r="X6" s="12" t="s">
        <v>169</v>
      </c>
      <c r="Y6" s="12" t="s">
        <v>170</v>
      </c>
      <c r="Z6" s="12" t="s">
        <v>171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181</v>
      </c>
      <c r="C8" s="205">
        <v>-33838.709699999999</v>
      </c>
      <c r="D8" s="205">
        <v>-35290.3226</v>
      </c>
      <c r="E8" s="205">
        <v>-29571.392899999999</v>
      </c>
      <c r="F8" s="205">
        <v>-27129</v>
      </c>
      <c r="G8" s="205">
        <v>-19566.666700000002</v>
      </c>
      <c r="H8" s="205">
        <v>-2000</v>
      </c>
      <c r="I8" s="205">
        <v>-15500</v>
      </c>
      <c r="J8" s="205">
        <v>-29064.483899999999</v>
      </c>
      <c r="K8" s="205">
        <v>-31580.6129</v>
      </c>
      <c r="L8" s="205">
        <v>-26833.333299999998</v>
      </c>
      <c r="M8" s="205">
        <v>-23000</v>
      </c>
      <c r="N8" s="205">
        <v>-23733.3</v>
      </c>
      <c r="O8" s="205">
        <v>-23870.967700000001</v>
      </c>
      <c r="P8" s="205">
        <v>-26000.032299999999</v>
      </c>
      <c r="Q8" s="205">
        <v>-23035.7143</v>
      </c>
      <c r="R8" s="205">
        <v>-19967.741900000001</v>
      </c>
      <c r="S8" s="205">
        <v>-12666.6667</v>
      </c>
      <c r="T8" s="205">
        <v>-14709.6774</v>
      </c>
      <c r="U8" s="205">
        <v>-14866.6333</v>
      </c>
      <c r="V8" s="205">
        <v>-24225.870999999999</v>
      </c>
      <c r="W8" s="205">
        <v>-27967.7742</v>
      </c>
      <c r="X8" s="205">
        <v>-25633.333299999998</v>
      </c>
      <c r="Y8" s="205">
        <v>-21354.870999999999</v>
      </c>
      <c r="Z8" s="205">
        <v>-22466.666700000002</v>
      </c>
    </row>
    <row r="9" spans="1:27" ht="11.25" customHeight="1" x14ac:dyDescent="0.2">
      <c r="A9" s="202" t="s">
        <v>182</v>
      </c>
      <c r="C9" s="11">
        <f>SUM($C$7:$C$8)</f>
        <v>-665.11510000000271</v>
      </c>
      <c r="D9" s="11">
        <f>SUM($D$7:$D$8)</f>
        <v>-6855.8129999999983</v>
      </c>
      <c r="E9" s="11">
        <f>SUM($E$7:$E$8)</f>
        <v>-1136.8832999999977</v>
      </c>
      <c r="F9" s="11">
        <f>SUM($F$7:$F$8)</f>
        <v>1305.5096000000012</v>
      </c>
      <c r="G9" s="11">
        <f>SUM($G$7:$G$8)</f>
        <v>-10088.496800000001</v>
      </c>
      <c r="H9" s="11">
        <f>SUM($H$7:$H$8)</f>
        <v>7478.1699000000008</v>
      </c>
      <c r="I9" s="11">
        <f>SUM($I$7:$I$8)</f>
        <v>-1282.7451999999994</v>
      </c>
      <c r="J9" s="11">
        <f>SUM($J$7:$J$8)</f>
        <v>-14847.229099999999</v>
      </c>
      <c r="K9" s="11">
        <f>SUM($K$7:$K$8)</f>
        <v>-17363.358099999998</v>
      </c>
      <c r="L9" s="11">
        <f>SUM($L$7:$L$8)</f>
        <v>-12616.078499999998</v>
      </c>
      <c r="M9" s="11">
        <f>SUM($M$7:$M$8)</f>
        <v>-8782.7451999999994</v>
      </c>
      <c r="N9" s="11">
        <f>SUM($N$7:$N$8)</f>
        <v>-4776.9601999999977</v>
      </c>
      <c r="O9" s="11">
        <f>SUM($O$7:$O$8)</f>
        <v>-4914.6278999999995</v>
      </c>
      <c r="P9" s="11">
        <f>SUM($P$7:$P$8)</f>
        <v>-7043.6924999999974</v>
      </c>
      <c r="Q9" s="11">
        <f>SUM($Q$7:$Q$8)</f>
        <v>-4079.3744999999981</v>
      </c>
      <c r="R9" s="11">
        <f>SUM($R$7:$R$8)</f>
        <v>-1011.4020999999993</v>
      </c>
      <c r="S9" s="11">
        <f>SUM($S$7:$S$8)</f>
        <v>-3188.496799999999</v>
      </c>
      <c r="T9" s="11">
        <f>SUM($T$7:$T$8)</f>
        <v>-5231.5074999999997</v>
      </c>
      <c r="U9" s="11">
        <f>SUM($U$7:$U$8)</f>
        <v>-5388.4633999999987</v>
      </c>
      <c r="V9" s="11">
        <f>SUM($V$7:$V$8)</f>
        <v>-14747.701099999998</v>
      </c>
      <c r="W9" s="11">
        <f>SUM($W$7:$W$8)</f>
        <v>-18489.604299999999</v>
      </c>
      <c r="X9" s="11">
        <f>SUM($X$7:$X$8)</f>
        <v>-16155.163399999998</v>
      </c>
      <c r="Y9" s="11">
        <f>SUM($Y$7:$Y$8)</f>
        <v>-11876.701099999998</v>
      </c>
      <c r="Z9" s="11">
        <f>SUM($Z$7:$Z$8)</f>
        <v>-22466.666700000002</v>
      </c>
    </row>
    <row r="11" spans="1:27" ht="11.25" customHeight="1" x14ac:dyDescent="0.2">
      <c r="A11" s="205" t="s">
        <v>111</v>
      </c>
      <c r="C11" s="205">
        <f>65000-25000</f>
        <v>40000</v>
      </c>
      <c r="D11" s="205">
        <f>65000-25000</f>
        <v>40000</v>
      </c>
      <c r="E11" s="205">
        <f>65000-25000</f>
        <v>40000</v>
      </c>
      <c r="F11" s="205">
        <f>25000-25000</f>
        <v>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20000</v>
      </c>
      <c r="H12" s="205">
        <v>35000</v>
      </c>
      <c r="I12" s="205">
        <v>35000</v>
      </c>
      <c r="J12" s="205">
        <v>55000</v>
      </c>
      <c r="K12" s="205">
        <v>55000</v>
      </c>
      <c r="L12" s="205">
        <v>55000</v>
      </c>
      <c r="M12" s="205">
        <v>55000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183</v>
      </c>
      <c r="C13" s="205">
        <v>-49903.2258</v>
      </c>
      <c r="D13" s="205">
        <v>-40774.1613</v>
      </c>
      <c r="E13" s="205">
        <v>-37750</v>
      </c>
      <c r="F13" s="205">
        <v>-9741.9354999999996</v>
      </c>
      <c r="G13" s="205">
        <v>-8033.3333000000002</v>
      </c>
      <c r="H13" s="205">
        <v>-21677.419399999999</v>
      </c>
      <c r="I13" s="205">
        <v>-26266.633300000001</v>
      </c>
      <c r="J13" s="205">
        <v>-58935.483899999999</v>
      </c>
      <c r="K13" s="205">
        <v>-64677.419399999999</v>
      </c>
      <c r="L13" s="205">
        <v>-51533.333299999998</v>
      </c>
      <c r="M13" s="205">
        <v>-41483.870999999999</v>
      </c>
      <c r="N13" s="205">
        <v>-31566.633300000001</v>
      </c>
      <c r="O13" s="205">
        <v>-36967.709699999999</v>
      </c>
      <c r="P13" s="205">
        <v>-35387.096799999999</v>
      </c>
      <c r="Q13" s="205">
        <v>-30321.392899999999</v>
      </c>
      <c r="R13" s="205">
        <v>-21032.290300000001</v>
      </c>
      <c r="S13" s="205">
        <v>-28466.666700000002</v>
      </c>
      <c r="T13" s="205">
        <v>-19612.870999999999</v>
      </c>
      <c r="U13" s="205">
        <v>-20566.666700000002</v>
      </c>
      <c r="V13" s="205">
        <v>-47258.096799999999</v>
      </c>
      <c r="W13" s="205">
        <v>-55096.7742</v>
      </c>
      <c r="X13" s="205">
        <v>-47866.666700000002</v>
      </c>
      <c r="Y13" s="205">
        <v>-35806.4516</v>
      </c>
      <c r="Z13" s="205">
        <v>-31066.666700000002</v>
      </c>
    </row>
    <row r="14" spans="1:27" ht="11.25" customHeight="1" thickBot="1" x14ac:dyDescent="0.25">
      <c r="A14" s="205" t="s">
        <v>184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185</v>
      </c>
      <c r="C15" s="11">
        <f>SUM($C$11:$C$14)</f>
        <v>20096.7742</v>
      </c>
      <c r="D15" s="11">
        <f>SUM($D$11:$D$14)</f>
        <v>29225.8387</v>
      </c>
      <c r="E15" s="11">
        <f>SUM($E$11:$E$14)</f>
        <v>22250</v>
      </c>
      <c r="F15" s="11">
        <f>SUM($F$11:$F$14)</f>
        <v>258.06450000000041</v>
      </c>
      <c r="G15" s="11">
        <f>SUM($G$11:$G$14)</f>
        <v>6966.6666999999998</v>
      </c>
      <c r="H15" s="11">
        <f>SUM($H$11:$H$14)</f>
        <v>8322.5806000000011</v>
      </c>
      <c r="I15" s="11">
        <f>SUM($I$11:$I$14)</f>
        <v>23733.366699999999</v>
      </c>
      <c r="J15" s="11">
        <f>SUM($J$11:$J$14)</f>
        <v>16064.516100000001</v>
      </c>
      <c r="K15" s="11">
        <f>SUM($K$11:$K$14)</f>
        <v>15322.580600000001</v>
      </c>
      <c r="L15" s="11">
        <f>SUM($L$11:$L$14)</f>
        <v>28466.666700000002</v>
      </c>
      <c r="M15" s="11">
        <f>SUM($M$11:$M$14)</f>
        <v>38516.129000000001</v>
      </c>
      <c r="N15" s="11">
        <f>SUM($N$11:$N$14)</f>
        <v>18433.366699999999</v>
      </c>
      <c r="O15" s="11">
        <f>SUM($O$11:$O$14)</f>
        <v>13032.290300000001</v>
      </c>
      <c r="P15" s="11">
        <f>SUM($P$11:$P$14)</f>
        <v>14612.903200000001</v>
      </c>
      <c r="Q15" s="11">
        <f>SUM($Q$11:$Q$14)</f>
        <v>14678.607100000001</v>
      </c>
      <c r="R15" s="11">
        <f>SUM($R$11:$R$14)</f>
        <v>23967.709699999999</v>
      </c>
      <c r="S15" s="11">
        <f>SUM($S$11:$S$14)</f>
        <v>-18466.666700000002</v>
      </c>
      <c r="T15" s="11">
        <f>SUM($T$11:$T$14)</f>
        <v>-9612.8709999999992</v>
      </c>
      <c r="U15" s="11">
        <f>SUM($U$11:$U$14)</f>
        <v>-10566.666700000002</v>
      </c>
      <c r="V15" s="11">
        <f>SUM($V$11:$V$14)</f>
        <v>-37258.096799999999</v>
      </c>
      <c r="W15" s="11">
        <f>SUM($W$11:$W$14)</f>
        <v>-45096.7742</v>
      </c>
      <c r="X15" s="11">
        <f>SUM($X$11:$X$14)</f>
        <v>-37866.666700000002</v>
      </c>
      <c r="Y15" s="11">
        <f>SUM($Y$11:$Y$14)</f>
        <v>-25806.4516</v>
      </c>
      <c r="Z15" s="11">
        <f>SUM($Z$11:$Z$14)</f>
        <v>-31066.666700000002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19431.659099999997</v>
      </c>
      <c r="D19" s="207">
        <f>SUM((($D$9+$D$15)+$D$17))</f>
        <v>22370.025700000002</v>
      </c>
      <c r="E19" s="207">
        <f>SUM((($E$9+$E$15)+$E$17))</f>
        <v>21113.116700000002</v>
      </c>
      <c r="F19" s="207">
        <f>SUM((($F$9+$F$15)+$F$17))</f>
        <v>1563.5741000000016</v>
      </c>
      <c r="G19" s="207">
        <f>SUM((($G$9+$G$15)+$G$17))</f>
        <v>-3121.830100000001</v>
      </c>
      <c r="H19" s="207">
        <f>SUM((($H$9+$H$15)+$H$17))</f>
        <v>15800.750500000002</v>
      </c>
      <c r="I19" s="207">
        <f>SUM((($I$9+$I$15)+$I$17))</f>
        <v>22450.621500000001</v>
      </c>
      <c r="J19" s="207">
        <f>SUM((($J$9+$J$15)+$J$17))</f>
        <v>1217.2870000000021</v>
      </c>
      <c r="K19" s="207">
        <f>SUM((($K$9+$K$15)+$K$17))</f>
        <v>-2040.7774999999965</v>
      </c>
      <c r="L19" s="207">
        <f>SUM((($L$9+$L$15)+$L$17))</f>
        <v>15850.588200000004</v>
      </c>
      <c r="M19" s="207">
        <f>SUM((($M$9+$M$15)+$M$17))</f>
        <v>29733.383800000003</v>
      </c>
      <c r="N19" s="207">
        <f>SUM((($N$9+$N$15)+$N$17))</f>
        <v>13656.406500000001</v>
      </c>
      <c r="O19" s="207">
        <f>SUM((($O$9+$O$15)+$O$17))</f>
        <v>8117.6624000000011</v>
      </c>
      <c r="P19" s="207">
        <f>SUM((($P$9+$P$15)+$P$17))</f>
        <v>7569.2107000000033</v>
      </c>
      <c r="Q19" s="207">
        <f>SUM((($Q$9+$Q$15)+$Q$17))</f>
        <v>10599.232600000003</v>
      </c>
      <c r="R19" s="207">
        <f>SUM((($R$9+$R$15)+$R$17))</f>
        <v>22956.3076</v>
      </c>
      <c r="S19" s="207">
        <f>SUM((($S$9+$S$15)+$S$17))</f>
        <v>-21655.163500000002</v>
      </c>
      <c r="T19" s="207">
        <f>SUM((($T$9+$T$15)+$T$17))</f>
        <v>-14844.378499999999</v>
      </c>
      <c r="U19" s="207">
        <f>SUM((($U$9+$U$15)+$U$17))</f>
        <v>-15955.1301</v>
      </c>
      <c r="V19" s="207">
        <f>SUM((($V$9+$V$15)+$V$17))</f>
        <v>-52005.797899999998</v>
      </c>
      <c r="W19" s="207">
        <f>SUM((($W$9+$W$15)+$W$17))</f>
        <v>-63586.378499999999</v>
      </c>
      <c r="X19" s="207">
        <f>SUM((($X$9+$X$15)+$X$17))</f>
        <v>-54021.830099999999</v>
      </c>
      <c r="Y19" s="207">
        <f>SUM((($Y$9+$Y$15)+$Y$17))</f>
        <v>-37683.152699999999</v>
      </c>
      <c r="Z19" s="24">
        <f>SUM((($Z$9+$Z$15)+$Z$17))</f>
        <v>-53533.333400000003</v>
      </c>
    </row>
    <row r="21" spans="1:27" ht="11.25" customHeight="1" x14ac:dyDescent="0.2">
      <c r="A21" s="205" t="s">
        <v>186</v>
      </c>
      <c r="C21" s="205">
        <v>6399.406500000001</v>
      </c>
      <c r="D21" s="205">
        <v>21015.2039</v>
      </c>
      <c r="E21" s="205">
        <v>8398.8392999999996</v>
      </c>
      <c r="F21" s="205">
        <v>-823.52170000000115</v>
      </c>
      <c r="G21" s="205">
        <v>-5721.8197999999975</v>
      </c>
      <c r="H21" s="205">
        <v>13413.6489</v>
      </c>
      <c r="I21" s="205">
        <v>19950.595499999999</v>
      </c>
      <c r="J21" s="205">
        <v>-2298.8683999999994</v>
      </c>
      <c r="K21" s="205">
        <v>-4976.2390000000014</v>
      </c>
      <c r="L21" s="205">
        <v>12517.241200000004</v>
      </c>
      <c r="M21" s="205">
        <v>25281.7768</v>
      </c>
      <c r="N21" s="205">
        <v>10089.712100000001</v>
      </c>
      <c r="O21" s="205">
        <v>5601.5387999999984</v>
      </c>
      <c r="P21" s="205">
        <v>4762.7455999999984</v>
      </c>
      <c r="Q21" s="205">
        <v>8099.2412000000004</v>
      </c>
      <c r="R21" s="205">
        <v>21407.923999999999</v>
      </c>
      <c r="S21" s="205">
        <v>-23255.148799999999</v>
      </c>
      <c r="T21" s="205">
        <v>-16134.724999999999</v>
      </c>
      <c r="U21" s="205">
        <v>-17255.166799999999</v>
      </c>
      <c r="V21" s="205">
        <v>-52941.263599999998</v>
      </c>
      <c r="W21" s="205">
        <v>-65360.568200000009</v>
      </c>
      <c r="X21" s="205">
        <v>-55788.481799999994</v>
      </c>
      <c r="Y21" s="205">
        <v>-39425.095600000001</v>
      </c>
      <c r="Z21" s="205">
        <v>-54933.370999999999</v>
      </c>
    </row>
    <row r="22" spans="1:27" ht="11.25" customHeight="1" x14ac:dyDescent="0.2">
      <c r="A22" s="205" t="s">
        <v>0</v>
      </c>
      <c r="C22" s="208">
        <f>SUM(($C$19-$C$21))</f>
        <v>13032.252599999996</v>
      </c>
      <c r="D22" s="208">
        <f>SUM(($D$19-$D$21))</f>
        <v>1354.8218000000015</v>
      </c>
      <c r="E22" s="208">
        <f>SUM(($E$19-$E$21))</f>
        <v>12714.277400000003</v>
      </c>
      <c r="F22" s="208">
        <f>SUM(($F$19-$F$21))</f>
        <v>2387.0958000000028</v>
      </c>
      <c r="G22" s="208">
        <f>SUM(($G$19-$G$21))</f>
        <v>2599.9896999999964</v>
      </c>
      <c r="H22" s="208">
        <f>SUM(($H$19-$H$21))</f>
        <v>2387.1016000000018</v>
      </c>
      <c r="I22" s="208">
        <f>SUM(($I$19-$I$21))</f>
        <v>2500.0260000000017</v>
      </c>
      <c r="J22" s="208">
        <f>SUM(($J$19-$J$21))</f>
        <v>3516.1554000000015</v>
      </c>
      <c r="K22" s="208">
        <f>SUM(($K$19-$K$21))</f>
        <v>2935.4615000000049</v>
      </c>
      <c r="L22" s="208">
        <f>SUM(($L$19-$L$21))</f>
        <v>3333.3469999999998</v>
      </c>
      <c r="M22" s="208">
        <f>SUM(($M$19-$M$21))</f>
        <v>4451.6070000000036</v>
      </c>
      <c r="N22" s="208">
        <f>SUM(($N$19-$N$21))</f>
        <v>3566.6944000000003</v>
      </c>
      <c r="O22" s="208">
        <f>SUM(($O$19-$O$21))</f>
        <v>2516.1236000000026</v>
      </c>
      <c r="P22" s="208">
        <f>SUM(($P$19-$P$21))</f>
        <v>2806.4651000000049</v>
      </c>
      <c r="Q22" s="208">
        <f>SUM(($Q$19-$Q$21))</f>
        <v>2499.9914000000026</v>
      </c>
      <c r="R22" s="208">
        <f>SUM(($R$19-$R$21))</f>
        <v>1548.383600000001</v>
      </c>
      <c r="S22" s="208">
        <f>SUM(($S$19-$S$21))</f>
        <v>1599.9852999999966</v>
      </c>
      <c r="T22" s="208">
        <f>SUM(($T$19-$T$21))</f>
        <v>1290.3464999999997</v>
      </c>
      <c r="U22" s="208">
        <f>SUM(($U$19-$U$21))</f>
        <v>1300.0366999999987</v>
      </c>
      <c r="V22" s="208">
        <f>SUM(($V$19-$V$21))</f>
        <v>935.46570000000065</v>
      </c>
      <c r="W22" s="208">
        <f>SUM(($W$19-$W$21))</f>
        <v>1774.1897000000099</v>
      </c>
      <c r="X22" s="208">
        <f>SUM(($X$19-$X$21))</f>
        <v>1766.6516999999949</v>
      </c>
      <c r="Y22" s="208">
        <f>SUM(($Y$19-$Y$21))</f>
        <v>1741.9429000000018</v>
      </c>
      <c r="Z22" s="208">
        <f>SUM(($Z$19-$Z$21))</f>
        <v>1400.037599999996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187</v>
      </c>
      <c r="C25" s="205">
        <v>-5783094</v>
      </c>
      <c r="D25" s="205">
        <v>-5037309</v>
      </c>
      <c r="E25" s="205">
        <v>-4399446</v>
      </c>
      <c r="F25" s="205">
        <v>-4068227</v>
      </c>
      <c r="G25" s="205">
        <v>-2323861</v>
      </c>
      <c r="H25" s="205">
        <v>-2618735</v>
      </c>
      <c r="I25" s="205">
        <v>-2843219</v>
      </c>
      <c r="J25" s="205">
        <v>-3349557</v>
      </c>
      <c r="K25" s="205">
        <v>-3568717</v>
      </c>
      <c r="L25" s="205">
        <v>-3411876</v>
      </c>
      <c r="M25" s="205">
        <v>-3400618</v>
      </c>
      <c r="N25" s="205">
        <v>-4885109</v>
      </c>
      <c r="O25" s="205">
        <v>-4649192</v>
      </c>
      <c r="P25" s="205">
        <v>-4399503</v>
      </c>
      <c r="Q25" s="205">
        <v>-3955919</v>
      </c>
      <c r="R25" s="205">
        <v>-4555421</v>
      </c>
      <c r="S25" s="205">
        <v>185710</v>
      </c>
      <c r="T25" s="205">
        <v>194810</v>
      </c>
      <c r="U25" s="205">
        <v>202795</v>
      </c>
      <c r="V25" s="205">
        <v>226496</v>
      </c>
      <c r="W25" s="205">
        <v>243102</v>
      </c>
      <c r="X25" s="205">
        <v>239897</v>
      </c>
      <c r="Y25" s="205">
        <v>268740</v>
      </c>
      <c r="Z25" s="205">
        <v>0</v>
      </c>
      <c r="AA25" s="205">
        <f>SUM($C$25:$Z$25)</f>
        <v>-61688253</v>
      </c>
    </row>
    <row r="26" spans="1:27" ht="11.25" customHeight="1" thickBot="1" x14ac:dyDescent="0.25">
      <c r="A26" s="205" t="s">
        <v>188</v>
      </c>
      <c r="C26" s="205">
        <v>14763318</v>
      </c>
      <c r="D26" s="205">
        <v>14578372</v>
      </c>
      <c r="E26" s="205">
        <v>11191465</v>
      </c>
      <c r="F26" s="205">
        <v>4195568</v>
      </c>
      <c r="G26" s="205">
        <v>1624306</v>
      </c>
      <c r="H26" s="205">
        <v>2224851</v>
      </c>
      <c r="I26" s="205">
        <v>3973350</v>
      </c>
      <c r="J26" s="205">
        <v>5412569</v>
      </c>
      <c r="K26" s="205">
        <v>4909899</v>
      </c>
      <c r="L26" s="205">
        <v>5554196</v>
      </c>
      <c r="M26" s="205">
        <v>5882060</v>
      </c>
      <c r="N26" s="205">
        <v>5797873</v>
      </c>
      <c r="O26" s="205">
        <v>5812632</v>
      </c>
      <c r="P26" s="205">
        <v>1908341</v>
      </c>
      <c r="Q26" s="205">
        <v>1299981</v>
      </c>
      <c r="R26" s="205">
        <v>1549779</v>
      </c>
      <c r="S26" s="205">
        <v>-130168</v>
      </c>
      <c r="T26" s="205">
        <v>-200953</v>
      </c>
      <c r="U26" s="205">
        <v>-49492</v>
      </c>
      <c r="V26" s="205">
        <v>-211960</v>
      </c>
      <c r="W26" s="205">
        <v>-257044</v>
      </c>
      <c r="X26" s="205">
        <v>-150363</v>
      </c>
      <c r="Y26" s="205">
        <v>-39519</v>
      </c>
      <c r="Z26" s="205">
        <v>1722653</v>
      </c>
      <c r="AA26" s="205">
        <f>SUM($C$26:$Z$26)</f>
        <v>91361714</v>
      </c>
    </row>
    <row r="27" spans="1:27" ht="11.25" customHeight="1" thickBot="1" x14ac:dyDescent="0.25">
      <c r="A27" s="206" t="s">
        <v>189</v>
      </c>
      <c r="B27" s="207"/>
      <c r="C27" s="207">
        <f>SUM($C$25:$C$26)</f>
        <v>8980224</v>
      </c>
      <c r="D27" s="207">
        <f>SUM($D$25:$D$26)</f>
        <v>9541063</v>
      </c>
      <c r="E27" s="207">
        <f>SUM($E$25:$E$26)</f>
        <v>6792019</v>
      </c>
      <c r="F27" s="207">
        <f>SUM($F$25:$F$26)</f>
        <v>127341</v>
      </c>
      <c r="G27" s="207">
        <f>SUM($G$25:$G$26)</f>
        <v>-699555</v>
      </c>
      <c r="H27" s="207">
        <f>SUM($H$25:$H$26)</f>
        <v>-393884</v>
      </c>
      <c r="I27" s="207">
        <f>SUM($I$25:$I$26)</f>
        <v>1130131</v>
      </c>
      <c r="J27" s="207">
        <f>SUM($J$25:$J$26)</f>
        <v>2063012</v>
      </c>
      <c r="K27" s="207">
        <f>SUM($K$25:$K$26)</f>
        <v>1341182</v>
      </c>
      <c r="L27" s="207">
        <f>SUM($L$25:$L$26)</f>
        <v>2142320</v>
      </c>
      <c r="M27" s="207">
        <f>SUM($M$25:$M$26)</f>
        <v>2481442</v>
      </c>
      <c r="N27" s="207">
        <f>SUM($N$25:$N$26)</f>
        <v>912764</v>
      </c>
      <c r="O27" s="207">
        <f>SUM($O$25:$O$26)</f>
        <v>1163440</v>
      </c>
      <c r="P27" s="207">
        <f>SUM($P$25:$P$26)</f>
        <v>-2491162</v>
      </c>
      <c r="Q27" s="207">
        <f>SUM($Q$25:$Q$26)</f>
        <v>-2655938</v>
      </c>
      <c r="R27" s="207">
        <f>SUM($R$25:$R$26)</f>
        <v>-3005642</v>
      </c>
      <c r="S27" s="207">
        <f>SUM($S$25:$S$26)</f>
        <v>55542</v>
      </c>
      <c r="T27" s="207">
        <f>SUM($T$25:$T$26)</f>
        <v>-6143</v>
      </c>
      <c r="U27" s="207">
        <f>SUM($U$25:$U$26)</f>
        <v>153303</v>
      </c>
      <c r="V27" s="207">
        <f>SUM($V$25:$V$26)</f>
        <v>14536</v>
      </c>
      <c r="W27" s="207">
        <f>SUM($W$25:$W$26)</f>
        <v>-13942</v>
      </c>
      <c r="X27" s="207">
        <f>SUM($X$25:$X$26)</f>
        <v>89534</v>
      </c>
      <c r="Y27" s="207">
        <f>SUM($Y$25:$Y$26)</f>
        <v>229221</v>
      </c>
      <c r="Z27" s="207">
        <f>SUM($Z$25:$Z$26)</f>
        <v>1722653</v>
      </c>
      <c r="AA27" s="24">
        <f>SUM($AA$25:$AA$26)</f>
        <v>29673461</v>
      </c>
    </row>
    <row r="28" spans="1:27" ht="11.25" customHeight="1" x14ac:dyDescent="0.2">
      <c r="A28" s="205" t="s">
        <v>2</v>
      </c>
      <c r="C28" s="205">
        <v>8935443</v>
      </c>
      <c r="D28" s="205">
        <v>9505376</v>
      </c>
      <c r="E28" s="205">
        <v>6795500</v>
      </c>
      <c r="F28" s="205">
        <v>171578</v>
      </c>
      <c r="G28" s="205">
        <v>-667236</v>
      </c>
      <c r="H28" s="205">
        <v>-449691</v>
      </c>
      <c r="I28" s="205">
        <v>1067026</v>
      </c>
      <c r="J28" s="205">
        <v>2080148</v>
      </c>
      <c r="K28" s="205">
        <v>1362570</v>
      </c>
      <c r="L28" s="205">
        <v>2116725</v>
      </c>
      <c r="M28" s="205">
        <v>2407906</v>
      </c>
      <c r="N28" s="205">
        <v>905622</v>
      </c>
      <c r="O28" s="205">
        <v>1180002</v>
      </c>
      <c r="P28" s="205">
        <v>-2472767</v>
      </c>
      <c r="Q28" s="205">
        <v>-2652393</v>
      </c>
      <c r="R28" s="205">
        <v>-3022968</v>
      </c>
      <c r="S28" s="205">
        <v>107511</v>
      </c>
      <c r="T28" s="205">
        <v>32339</v>
      </c>
      <c r="U28" s="205">
        <v>192482</v>
      </c>
      <c r="V28" s="205">
        <v>93136</v>
      </c>
      <c r="W28" s="205">
        <v>129766</v>
      </c>
      <c r="X28" s="205">
        <v>209177</v>
      </c>
      <c r="Y28" s="205">
        <v>318717</v>
      </c>
      <c r="Z28" s="205">
        <v>1821192</v>
      </c>
      <c r="AA28" s="205">
        <v>30167161</v>
      </c>
    </row>
    <row r="29" spans="1:27" ht="11.25" customHeight="1" x14ac:dyDescent="0.2">
      <c r="A29" s="205" t="s">
        <v>0</v>
      </c>
      <c r="C29" s="208">
        <f>SUM(($C$27-$C$28))</f>
        <v>44781</v>
      </c>
      <c r="D29" s="208">
        <f>SUM(($D$27-$D$28))</f>
        <v>35687</v>
      </c>
      <c r="E29" s="208">
        <f>SUM(($E$27-$E$28))</f>
        <v>-3481</v>
      </c>
      <c r="F29" s="208">
        <f>SUM(($F$27-$F$28))</f>
        <v>-44237</v>
      </c>
      <c r="G29" s="208">
        <f>SUM(($G$27-$G$28))</f>
        <v>-32319</v>
      </c>
      <c r="H29" s="208">
        <f>SUM(($H$27-$H$28))</f>
        <v>55807</v>
      </c>
      <c r="I29" s="208">
        <f>SUM(($I$27-$I$28))</f>
        <v>63105</v>
      </c>
      <c r="J29" s="208">
        <f>SUM(($J$27-$J$28))</f>
        <v>-17136</v>
      </c>
      <c r="K29" s="208">
        <f>SUM(($K$27-$K$28))</f>
        <v>-21388</v>
      </c>
      <c r="L29" s="208">
        <f>SUM(($L$27-$L$28))</f>
        <v>25595</v>
      </c>
      <c r="M29" s="208">
        <f>SUM(($M$27-$M$28))</f>
        <v>73536</v>
      </c>
      <c r="N29" s="208">
        <f>SUM(($N$27-$N$28))</f>
        <v>7142</v>
      </c>
      <c r="O29" s="208">
        <f>SUM(($O$27-$O$28))</f>
        <v>-16562</v>
      </c>
      <c r="P29" s="208">
        <f>SUM(($P$27-$P$28))</f>
        <v>-18395</v>
      </c>
      <c r="Q29" s="208">
        <f>SUM(($Q$27-$Q$28))</f>
        <v>-3545</v>
      </c>
      <c r="R29" s="208">
        <f>SUM(($R$27-$R$28))</f>
        <v>17326</v>
      </c>
      <c r="S29" s="208">
        <f>SUM(($S$27-$S$28))</f>
        <v>-51969</v>
      </c>
      <c r="T29" s="208">
        <f>SUM(($T$27-$T$28))</f>
        <v>-38482</v>
      </c>
      <c r="U29" s="208">
        <f>SUM(($U$27-$U$28))</f>
        <v>-39179</v>
      </c>
      <c r="V29" s="208">
        <f>SUM(($V$27-$V$28))</f>
        <v>-78600</v>
      </c>
      <c r="W29" s="208">
        <f>SUM(($W$27-$W$28))</f>
        <v>-143708</v>
      </c>
      <c r="X29" s="208">
        <f>SUM(($X$27-$X$28))</f>
        <v>-119643</v>
      </c>
      <c r="Y29" s="208">
        <f>SUM(($Y$27-$Y$28))</f>
        <v>-89496</v>
      </c>
      <c r="Z29" s="208">
        <f>SUM(($Z$27-$Z$28))</f>
        <v>-98539</v>
      </c>
      <c r="AA29" s="208">
        <f>SUM(($AA$27-$AA$28))</f>
        <v>-493700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177</v>
      </c>
    </row>
    <row r="2" spans="1:27" ht="12" customHeight="1" x14ac:dyDescent="0.2">
      <c r="A2" s="35" t="s">
        <v>146</v>
      </c>
    </row>
    <row r="3" spans="1:27" ht="12" customHeight="1" x14ac:dyDescent="0.2">
      <c r="A3" s="35" t="s">
        <v>178</v>
      </c>
    </row>
    <row r="4" spans="1:27" ht="12" customHeight="1" x14ac:dyDescent="0.2">
      <c r="A4" s="35" t="s">
        <v>179</v>
      </c>
    </row>
    <row r="6" spans="1:27" ht="12" customHeight="1" x14ac:dyDescent="0.2">
      <c r="A6" s="36" t="s">
        <v>180</v>
      </c>
      <c r="C6" s="192" t="s">
        <v>148</v>
      </c>
      <c r="D6" s="192" t="s">
        <v>149</v>
      </c>
      <c r="E6" s="192" t="s">
        <v>150</v>
      </c>
      <c r="F6" s="192" t="s">
        <v>151</v>
      </c>
      <c r="G6" s="192" t="s">
        <v>152</v>
      </c>
      <c r="H6" s="192" t="s">
        <v>153</v>
      </c>
      <c r="I6" s="192" t="s">
        <v>154</v>
      </c>
      <c r="J6" s="192" t="s">
        <v>155</v>
      </c>
      <c r="K6" s="192" t="s">
        <v>156</v>
      </c>
      <c r="L6" s="192" t="s">
        <v>157</v>
      </c>
      <c r="M6" s="192" t="s">
        <v>158</v>
      </c>
      <c r="N6" s="192" t="s">
        <v>159</v>
      </c>
      <c r="O6" s="192" t="s">
        <v>160</v>
      </c>
      <c r="P6" s="192" t="s">
        <v>161</v>
      </c>
      <c r="Q6" s="192" t="s">
        <v>162</v>
      </c>
      <c r="R6" s="192" t="s">
        <v>163</v>
      </c>
      <c r="S6" s="192" t="s">
        <v>164</v>
      </c>
      <c r="T6" s="192" t="s">
        <v>165</v>
      </c>
      <c r="U6" s="192" t="s">
        <v>166</v>
      </c>
      <c r="V6" s="192" t="s">
        <v>167</v>
      </c>
      <c r="W6" s="192" t="s">
        <v>168</v>
      </c>
      <c r="X6" s="192" t="s">
        <v>169</v>
      </c>
      <c r="Y6" s="192" t="s">
        <v>170</v>
      </c>
      <c r="Z6" s="192" t="s">
        <v>171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181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182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183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184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185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-6451.6129000000001</v>
      </c>
      <c r="D19" s="58">
        <v>-6451.6129000000001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186</v>
      </c>
      <c r="C21" s="55">
        <v>-5000</v>
      </c>
      <c r="D21" s="55">
        <v>-5000</v>
      </c>
      <c r="E21" s="55">
        <v>-5000</v>
      </c>
      <c r="F21" s="55">
        <v>-5000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-1451.6129000000001</v>
      </c>
      <c r="D22" s="39">
        <v>-1451.6129000000001</v>
      </c>
      <c r="E22" s="39">
        <v>5000</v>
      </c>
      <c r="F22" s="39">
        <v>5000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187</v>
      </c>
      <c r="C25" s="55">
        <v>77994</v>
      </c>
      <c r="D25" s="55">
        <v>146997</v>
      </c>
      <c r="E25" s="55">
        <v>137150</v>
      </c>
      <c r="F25" s="55">
        <v>145384</v>
      </c>
      <c r="G25" s="55">
        <v>-26836</v>
      </c>
      <c r="H25" s="55">
        <v>-27642</v>
      </c>
      <c r="I25" s="55">
        <v>-26663</v>
      </c>
      <c r="J25" s="55">
        <v>-27455</v>
      </c>
      <c r="K25" s="55">
        <v>-27363</v>
      </c>
      <c r="L25" s="55">
        <v>-26400</v>
      </c>
      <c r="M25" s="55">
        <v>-27187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317979</v>
      </c>
    </row>
    <row r="26" spans="1:27" ht="11.25" customHeight="1" x14ac:dyDescent="0.2">
      <c r="A26" s="55" t="s">
        <v>188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189</v>
      </c>
      <c r="B27" s="58"/>
      <c r="C27" s="58">
        <v>77994</v>
      </c>
      <c r="D27" s="58">
        <v>146997</v>
      </c>
      <c r="E27" s="58">
        <v>137150</v>
      </c>
      <c r="F27" s="58">
        <v>145384</v>
      </c>
      <c r="G27" s="58">
        <v>-26836</v>
      </c>
      <c r="H27" s="58">
        <v>-27642</v>
      </c>
      <c r="I27" s="58">
        <v>-26663</v>
      </c>
      <c r="J27" s="58">
        <v>-27455</v>
      </c>
      <c r="K27" s="58">
        <v>-27363</v>
      </c>
      <c r="L27" s="58">
        <v>-26400</v>
      </c>
      <c r="M27" s="58">
        <v>-27187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317979</v>
      </c>
    </row>
    <row r="28" spans="1:27" ht="11.25" customHeight="1" x14ac:dyDescent="0.2">
      <c r="A28" s="55" t="s">
        <v>2</v>
      </c>
      <c r="C28" s="55">
        <v>108420</v>
      </c>
      <c r="D28" s="55">
        <v>124138</v>
      </c>
      <c r="E28" s="55">
        <v>127798</v>
      </c>
      <c r="F28" s="55">
        <v>134291</v>
      </c>
      <c r="G28" s="55">
        <v>-26401</v>
      </c>
      <c r="H28" s="55">
        <v>-27194</v>
      </c>
      <c r="I28" s="55">
        <v>-26230</v>
      </c>
      <c r="J28" s="55">
        <v>-27018</v>
      </c>
      <c r="K28" s="55">
        <v>-26928</v>
      </c>
      <c r="L28" s="55">
        <v>-25972</v>
      </c>
      <c r="M28" s="55">
        <v>-26746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308158</v>
      </c>
    </row>
    <row r="29" spans="1:27" ht="11.25" customHeight="1" x14ac:dyDescent="0.2">
      <c r="A29" s="55" t="s">
        <v>0</v>
      </c>
      <c r="C29" s="39">
        <v>-30426</v>
      </c>
      <c r="D29" s="39">
        <v>22859</v>
      </c>
      <c r="E29" s="39">
        <v>9352</v>
      </c>
      <c r="F29" s="39">
        <v>11093</v>
      </c>
      <c r="G29" s="39">
        <v>-435</v>
      </c>
      <c r="H29" s="39">
        <v>-448</v>
      </c>
      <c r="I29" s="39">
        <v>-433</v>
      </c>
      <c r="J29" s="39">
        <v>-437</v>
      </c>
      <c r="K29" s="39">
        <v>-435</v>
      </c>
      <c r="L29" s="39">
        <v>-428</v>
      </c>
      <c r="M29" s="39">
        <v>-441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9821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f>SUM($C$10:$Z$10)</f>
        <v>0</v>
      </c>
    </row>
    <row r="11" spans="1:27" ht="11.25" customHeight="1" x14ac:dyDescent="0.2">
      <c r="A11" s="143" t="s">
        <v>192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f>SUM($C$11:$Z$11)</f>
        <v>0</v>
      </c>
    </row>
    <row r="12" spans="1:27" ht="11.25" customHeight="1" x14ac:dyDescent="0.2">
      <c r="A12" s="143" t="s">
        <v>0</v>
      </c>
      <c r="C12" s="145">
        <f>SUM(($C$10-$C$11))</f>
        <v>0</v>
      </c>
      <c r="D12" s="145">
        <f>SUM(($D$10-$D$11))</f>
        <v>0</v>
      </c>
      <c r="E12" s="145">
        <f>SUM(($E$10-$E$11))</f>
        <v>0</v>
      </c>
      <c r="F12" s="145">
        <f>SUM(($F$10-$F$11))</f>
        <v>0</v>
      </c>
      <c r="G12" s="145">
        <f>SUM(($G$10-$G$11))</f>
        <v>0</v>
      </c>
      <c r="H12" s="145">
        <f>SUM(($H$10-$H$11))</f>
        <v>0</v>
      </c>
      <c r="I12" s="145">
        <f>SUM(($I$10-$I$11))</f>
        <v>0</v>
      </c>
      <c r="J12" s="145">
        <f>SUM(($J$10-$J$11))</f>
        <v>0</v>
      </c>
      <c r="K12" s="145">
        <f>SUM(($K$10-$K$11))</f>
        <v>0</v>
      </c>
      <c r="L12" s="145">
        <f>SUM(($L$10-$L$11))</f>
        <v>0</v>
      </c>
      <c r="M12" s="145">
        <f>SUM(($M$10-$M$11))</f>
        <v>0</v>
      </c>
      <c r="N12" s="145">
        <f>SUM(($N$10-$N$11))</f>
        <v>0</v>
      </c>
      <c r="O12" s="145">
        <f>SUM(($O$10-$O$11))</f>
        <v>0</v>
      </c>
      <c r="P12" s="145">
        <f>SUM(($P$10-$P$11))</f>
        <v>0</v>
      </c>
      <c r="Q12" s="145">
        <f>SUM(($Q$10-$Q$11))</f>
        <v>0</v>
      </c>
      <c r="R12" s="145">
        <f>SUM(($R$10-$R$11))</f>
        <v>0</v>
      </c>
      <c r="S12" s="145">
        <f>SUM(($S$10-$S$11))</f>
        <v>0</v>
      </c>
      <c r="T12" s="145">
        <f>SUM(($T$10-$T$11))</f>
        <v>0</v>
      </c>
      <c r="U12" s="145">
        <f>SUM(($U$10-$U$11))</f>
        <v>0</v>
      </c>
      <c r="V12" s="145">
        <f>SUM(($V$10-$V$11))</f>
        <v>0</v>
      </c>
      <c r="W12" s="145">
        <f>SUM(($W$10-$W$11))</f>
        <v>0</v>
      </c>
      <c r="X12" s="145">
        <f>SUM(($X$10-$X$11))</f>
        <v>0</v>
      </c>
      <c r="Y12" s="145">
        <f>SUM(($Y$10-$Y$11))</f>
        <v>0</v>
      </c>
      <c r="Z12" s="145">
        <f>SUM(($Z$10-$Z$11))</f>
        <v>0</v>
      </c>
      <c r="AA12" s="145">
        <f>SUM(($AA$10-$AA$11))</f>
        <v>0</v>
      </c>
    </row>
    <row r="14" spans="1:27" ht="12" customHeight="1" x14ac:dyDescent="0.2">
      <c r="A14" s="142" t="s">
        <v>193</v>
      </c>
    </row>
    <row r="15" spans="1:27" ht="11.25" customHeight="1" x14ac:dyDescent="0.2">
      <c r="A15" s="143" t="s">
        <v>42</v>
      </c>
      <c r="C15" s="146">
        <v>2.79</v>
      </c>
      <c r="D15" s="146">
        <v>3</v>
      </c>
      <c r="E15" s="146">
        <v>3.04</v>
      </c>
      <c r="F15" s="146">
        <v>3.03</v>
      </c>
      <c r="G15" s="146">
        <v>3</v>
      </c>
      <c r="H15" s="146">
        <v>3.04</v>
      </c>
      <c r="I15" s="146">
        <v>3.09</v>
      </c>
      <c r="J15" s="146">
        <v>3.13</v>
      </c>
      <c r="K15" s="146">
        <v>3.17</v>
      </c>
      <c r="L15" s="146">
        <v>3.18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192</v>
      </c>
      <c r="C16" s="146">
        <v>2.64</v>
      </c>
      <c r="D16" s="146">
        <v>2.85</v>
      </c>
      <c r="E16" s="146">
        <v>2.9</v>
      </c>
      <c r="F16" s="146">
        <v>2.9</v>
      </c>
      <c r="G16" s="146">
        <v>2.88</v>
      </c>
      <c r="H16" s="146">
        <v>2.92</v>
      </c>
      <c r="I16" s="146">
        <v>2.97</v>
      </c>
      <c r="J16" s="146">
        <v>3.01</v>
      </c>
      <c r="K16" s="146">
        <v>3.05</v>
      </c>
      <c r="L16" s="146">
        <v>3.06</v>
      </c>
      <c r="M16" s="146">
        <v>3.1</v>
      </c>
      <c r="N16" s="146">
        <v>3.3</v>
      </c>
      <c r="O16" s="146">
        <v>3.5</v>
      </c>
      <c r="P16" s="146">
        <v>3.61</v>
      </c>
      <c r="Q16" s="146">
        <v>3.54</v>
      </c>
      <c r="R16" s="146">
        <v>3.45</v>
      </c>
      <c r="S16" s="146">
        <v>3.35</v>
      </c>
      <c r="T16" s="146">
        <v>3.36</v>
      </c>
      <c r="U16" s="146">
        <v>3.39</v>
      </c>
      <c r="V16" s="146">
        <v>3.44</v>
      </c>
      <c r="W16" s="146">
        <v>3.45</v>
      </c>
      <c r="X16" s="146">
        <v>3.46</v>
      </c>
      <c r="Y16" s="146">
        <v>3.5</v>
      </c>
      <c r="Z16" s="146">
        <v>3.66</v>
      </c>
      <c r="AA16" s="146"/>
    </row>
    <row r="17" spans="1:27" ht="11.25" customHeight="1" x14ac:dyDescent="0.2">
      <c r="A17" s="143" t="s">
        <v>0</v>
      </c>
      <c r="C17" s="147">
        <f>SUM(($C$15-$C$16))</f>
        <v>0.14999999999999991</v>
      </c>
      <c r="D17" s="147">
        <f>SUM(($D$15-$D$16))</f>
        <v>0.14999999999999991</v>
      </c>
      <c r="E17" s="147">
        <f>SUM(($E$15-$E$16))</f>
        <v>0.14000000000000012</v>
      </c>
      <c r="F17" s="147">
        <f>SUM(($F$15-$F$16))</f>
        <v>0.12999999999999989</v>
      </c>
      <c r="G17" s="147">
        <f>SUM(($G$15-$G$16))</f>
        <v>0.12000000000000011</v>
      </c>
      <c r="H17" s="147">
        <f>SUM(($H$15-$H$16))</f>
        <v>0.12000000000000011</v>
      </c>
      <c r="I17" s="147">
        <f>SUM(($I$15-$I$16))</f>
        <v>0.11999999999999966</v>
      </c>
      <c r="J17" s="147">
        <f>SUM(($J$15-$J$16))</f>
        <v>0.12000000000000011</v>
      </c>
      <c r="K17" s="147">
        <f>SUM(($K$15-$K$16))</f>
        <v>0.12000000000000011</v>
      </c>
      <c r="L17" s="147">
        <f>SUM(($L$15-$L$16))</f>
        <v>0.12000000000000011</v>
      </c>
      <c r="M17" s="147">
        <f>SUM(($M$15-$M$16))</f>
        <v>0.12000000000000011</v>
      </c>
      <c r="N17" s="147">
        <f>SUM(($N$15-$N$16))</f>
        <v>0.11000000000000032</v>
      </c>
      <c r="O17" s="147">
        <f>SUM(($O$15-$O$16))</f>
        <v>8.9999999999999858E-2</v>
      </c>
      <c r="P17" s="147">
        <f>SUM(($P$15-$P$16))</f>
        <v>9.0000000000000302E-2</v>
      </c>
      <c r="Q17" s="147">
        <f>SUM(($Q$15-$Q$16))</f>
        <v>8.9999999999999858E-2</v>
      </c>
      <c r="R17" s="147">
        <f>SUM(($R$15-$R$16))</f>
        <v>6.999999999999984E-2</v>
      </c>
      <c r="S17" s="147">
        <f>SUM(($S$15-$S$16))</f>
        <v>6.0000000000000053E-2</v>
      </c>
      <c r="T17" s="147">
        <f>SUM(($T$15-$T$16))</f>
        <v>6.0000000000000053E-2</v>
      </c>
      <c r="U17" s="147">
        <f>SUM(($U$15-$U$16))</f>
        <v>6.0000000000000053E-2</v>
      </c>
      <c r="V17" s="147">
        <f>SUM(($V$15-$V$16))</f>
        <v>4.0000000000000036E-2</v>
      </c>
      <c r="W17" s="147">
        <f>SUM(($W$15-$W$16))</f>
        <v>5.9999999999999609E-2</v>
      </c>
      <c r="X17" s="147">
        <f>SUM(($X$15-$X$16))</f>
        <v>6.0000000000000053E-2</v>
      </c>
      <c r="Y17" s="147">
        <f>SUM(($Y$15-$Y$16))</f>
        <v>6.0000000000000053E-2</v>
      </c>
      <c r="Z17" s="147">
        <f>SUM(($Z$15-$Z$16))</f>
        <v>4.9999999999999822E-2</v>
      </c>
      <c r="AA17" s="146"/>
    </row>
    <row r="19" spans="1:27" ht="12" customHeight="1" x14ac:dyDescent="0.2">
      <c r="A19" s="142" t="s">
        <v>194</v>
      </c>
    </row>
    <row r="20" spans="1:27" ht="11.25" customHeight="1" x14ac:dyDescent="0.2">
      <c r="A20" s="143" t="s">
        <v>195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f>SUM($C$20:$Z$20)</f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f>SUM($C$21:$Z$21)</f>
        <v>0</v>
      </c>
    </row>
    <row r="22" spans="1:27" ht="11.25" customHeight="1" x14ac:dyDescent="0.2">
      <c r="A22" s="143" t="s">
        <v>0</v>
      </c>
      <c r="C22" s="145">
        <f>SUM(($C$20-$C$21))</f>
        <v>0</v>
      </c>
      <c r="D22" s="145">
        <f>SUM(($D$20-$D$21))</f>
        <v>0</v>
      </c>
      <c r="E22" s="145">
        <f>SUM(($E$20-$E$21))</f>
        <v>0</v>
      </c>
      <c r="F22" s="145">
        <f>SUM(($F$20-$F$21))</f>
        <v>0</v>
      </c>
      <c r="G22" s="145">
        <f>SUM(($G$20-$G$21))</f>
        <v>0</v>
      </c>
      <c r="H22" s="145">
        <f>SUM(($H$20-$H$21))</f>
        <v>0</v>
      </c>
      <c r="I22" s="145">
        <f>SUM(($I$20-$I$21))</f>
        <v>0</v>
      </c>
      <c r="J22" s="145">
        <f>SUM(($J$20-$J$21))</f>
        <v>0</v>
      </c>
      <c r="K22" s="145">
        <f>SUM(($K$20-$K$21))</f>
        <v>0</v>
      </c>
      <c r="L22" s="145">
        <f>SUM(($L$20-$L$21))</f>
        <v>0</v>
      </c>
      <c r="M22" s="145">
        <f>SUM(($M$20-$M$21))</f>
        <v>0</v>
      </c>
      <c r="N22" s="145">
        <f>SUM(($N$20-$N$21))</f>
        <v>0</v>
      </c>
      <c r="O22" s="145">
        <f>SUM(($O$20-$O$21))</f>
        <v>0</v>
      </c>
      <c r="P22" s="145">
        <f>SUM(($P$20-$P$21))</f>
        <v>0</v>
      </c>
      <c r="Q22" s="145">
        <f>SUM(($Q$20-$Q$21))</f>
        <v>0</v>
      </c>
      <c r="R22" s="145">
        <f>SUM(($R$20-$R$21))</f>
        <v>0</v>
      </c>
      <c r="S22" s="145">
        <f>SUM(($S$20-$S$21))</f>
        <v>0</v>
      </c>
      <c r="T22" s="145">
        <f>SUM(($T$20-$T$21))</f>
        <v>0</v>
      </c>
      <c r="U22" s="145">
        <f>SUM(($U$20-$U$21))</f>
        <v>0</v>
      </c>
      <c r="V22" s="145">
        <f>SUM(($V$20-$V$21))</f>
        <v>0</v>
      </c>
      <c r="W22" s="145">
        <f>SUM(($W$20-$W$21))</f>
        <v>0</v>
      </c>
      <c r="X22" s="145">
        <f>SUM(($X$20-$X$21))</f>
        <v>0</v>
      </c>
      <c r="Y22" s="145">
        <f>SUM(($Y$20-$Y$21))</f>
        <v>0</v>
      </c>
      <c r="Z22" s="145">
        <f>SUM(($Z$20-$Z$21))</f>
        <v>0</v>
      </c>
      <c r="AA22" s="145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196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197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f>SUM($C$27:$Z$27)</f>
        <v>303301.43599999993</v>
      </c>
    </row>
    <row r="28" spans="1:27" ht="11.25" customHeight="1" x14ac:dyDescent="0.2">
      <c r="A28" s="143" t="s">
        <v>198</v>
      </c>
      <c r="C28" s="144">
        <v>-33839</v>
      </c>
      <c r="D28" s="144">
        <v>-35290</v>
      </c>
      <c r="E28" s="144">
        <v>-29571</v>
      </c>
      <c r="F28" s="144">
        <v>-27129</v>
      </c>
      <c r="G28" s="144">
        <v>-19567</v>
      </c>
      <c r="H28" s="144">
        <v>-2000</v>
      </c>
      <c r="I28" s="144">
        <v>-15500</v>
      </c>
      <c r="J28" s="144">
        <v>-29064</v>
      </c>
      <c r="K28" s="144">
        <v>-31581</v>
      </c>
      <c r="L28" s="144">
        <v>-26833</v>
      </c>
      <c r="M28" s="144">
        <v>-23000</v>
      </c>
      <c r="N28" s="144">
        <v>-23733</v>
      </c>
      <c r="O28" s="144">
        <v>-23871</v>
      </c>
      <c r="P28" s="144">
        <v>-26000</v>
      </c>
      <c r="Q28" s="144">
        <v>-23036</v>
      </c>
      <c r="R28" s="144">
        <v>-19968</v>
      </c>
      <c r="S28" s="144">
        <v>-12667</v>
      </c>
      <c r="T28" s="144">
        <v>-14710</v>
      </c>
      <c r="U28" s="144">
        <v>-14867</v>
      </c>
      <c r="V28" s="144">
        <v>-24226</v>
      </c>
      <c r="W28" s="144">
        <v>-27968</v>
      </c>
      <c r="X28" s="144">
        <v>-25633</v>
      </c>
      <c r="Y28" s="144">
        <v>-21355</v>
      </c>
      <c r="Z28" s="144">
        <v>-22467</v>
      </c>
      <c r="AA28" s="144">
        <f>SUM($C$28:$Z$28)</f>
        <v>-553875</v>
      </c>
    </row>
    <row r="29" spans="1:27" ht="11.25" customHeight="1" x14ac:dyDescent="0.2">
      <c r="A29" s="143" t="s">
        <v>199</v>
      </c>
      <c r="C29" s="145">
        <f>SUM($C$27:$C$28)</f>
        <v>-665.40540000000328</v>
      </c>
      <c r="D29" s="145">
        <f>SUM($D$27:$D$28)</f>
        <v>-2116.4054000000033</v>
      </c>
      <c r="E29" s="145">
        <f>SUM($E$27:$E$28)</f>
        <v>3602.5945999999967</v>
      </c>
      <c r="F29" s="145">
        <f>SUM($F$27:$F$28)</f>
        <v>6044.5945999999967</v>
      </c>
      <c r="G29" s="145">
        <f>SUM($G$27:$G$28)</f>
        <v>-5349.7451999999994</v>
      </c>
      <c r="H29" s="145">
        <f>SUM($H$27:$H$28)</f>
        <v>12217.254800000001</v>
      </c>
      <c r="I29" s="145">
        <f>SUM($I$27:$I$28)</f>
        <v>-1282.7451999999994</v>
      </c>
      <c r="J29" s="145">
        <f>SUM($J$27:$J$28)</f>
        <v>-14846.745199999999</v>
      </c>
      <c r="K29" s="145">
        <f>SUM($K$27:$K$28)</f>
        <v>-17363.745199999998</v>
      </c>
      <c r="L29" s="145">
        <f>SUM($L$27:$L$28)</f>
        <v>-12615.745199999999</v>
      </c>
      <c r="M29" s="145">
        <f>SUM($M$27:$M$28)</f>
        <v>-8782.7451999999994</v>
      </c>
      <c r="N29" s="145">
        <f>SUM($N$27:$N$28)</f>
        <v>-9515.7451999999994</v>
      </c>
      <c r="O29" s="145">
        <f>SUM($O$27:$O$28)</f>
        <v>-9653.7451999999994</v>
      </c>
      <c r="P29" s="145">
        <f>SUM($P$27:$P$28)</f>
        <v>-11782.745199999999</v>
      </c>
      <c r="Q29" s="145">
        <f>SUM($Q$27:$Q$28)</f>
        <v>-8818.7451999999994</v>
      </c>
      <c r="R29" s="145">
        <f>SUM($R$27:$R$28)</f>
        <v>-5750.7451999999994</v>
      </c>
      <c r="S29" s="145">
        <f>SUM($S$27:$S$28)</f>
        <v>-12667</v>
      </c>
      <c r="T29" s="145">
        <f>SUM($T$27:$T$28)</f>
        <v>-14710</v>
      </c>
      <c r="U29" s="145">
        <f>SUM($U$27:$U$28)</f>
        <v>-14867</v>
      </c>
      <c r="V29" s="145">
        <f>SUM($V$27:$V$28)</f>
        <v>-24226</v>
      </c>
      <c r="W29" s="145">
        <f>SUM($W$27:$W$28)</f>
        <v>-27968</v>
      </c>
      <c r="X29" s="145">
        <f>SUM($X$27:$X$28)</f>
        <v>-25633</v>
      </c>
      <c r="Y29" s="145">
        <f>SUM($Y$27:$Y$28)</f>
        <v>-21355</v>
      </c>
      <c r="Z29" s="145">
        <f>SUM($Z$27:$Z$28)</f>
        <v>-22467</v>
      </c>
      <c r="AA29" s="145">
        <f>SUM($AA$27:$AA$28)</f>
        <v>-250573.56400000007</v>
      </c>
    </row>
    <row r="30" spans="1:27" ht="13.5" customHeight="1" thickBot="1" x14ac:dyDescent="0.25"/>
    <row r="31" spans="1:27" ht="12" customHeight="1" thickBot="1" x14ac:dyDescent="0.25">
      <c r="A31" s="50" t="s">
        <v>200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200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199</v>
      </c>
      <c r="B34" s="149"/>
      <c r="C34" s="150">
        <f>SUM(($C$29+$C$32))</f>
        <v>-665.40540000000328</v>
      </c>
      <c r="D34" s="150">
        <f>SUM(($D$29+$D$32))</f>
        <v>-6855.4903000000031</v>
      </c>
      <c r="E34" s="150">
        <f>SUM(($E$29+$E$32))</f>
        <v>-1136.4903000000031</v>
      </c>
      <c r="F34" s="150">
        <f>SUM(($F$29+$F$32))</f>
        <v>1305.5096999999969</v>
      </c>
      <c r="G34" s="150">
        <f>SUM(($G$29+$G$32))</f>
        <v>-10088.830099999999</v>
      </c>
      <c r="H34" s="150">
        <f>SUM(($H$29+$H$32))</f>
        <v>7478.1699000000008</v>
      </c>
      <c r="I34" s="150">
        <f>SUM(($I$29+$I$32))</f>
        <v>-1282.7451999999994</v>
      </c>
      <c r="J34" s="150">
        <f>SUM(($J$29+$J$32))</f>
        <v>-14846.745199999999</v>
      </c>
      <c r="K34" s="150">
        <f>SUM(($K$29+$K$32))</f>
        <v>-17363.745199999998</v>
      </c>
      <c r="L34" s="150">
        <f>SUM(($L$29+$L$32))</f>
        <v>-12615.745199999999</v>
      </c>
      <c r="M34" s="150">
        <f>SUM(($M$29+$M$32))</f>
        <v>-8782.7451999999994</v>
      </c>
      <c r="N34" s="150">
        <f>SUM(($N$29+$N$32))</f>
        <v>-4776.6602999999996</v>
      </c>
      <c r="O34" s="150">
        <f>SUM(($O$29+$O$32))</f>
        <v>-4914.6602999999996</v>
      </c>
      <c r="P34" s="150">
        <f>SUM(($P$29+$P$32))</f>
        <v>-7043.6602999999996</v>
      </c>
      <c r="Q34" s="150">
        <f>SUM(($Q$29+$Q$32))</f>
        <v>-4079.6602999999996</v>
      </c>
      <c r="R34" s="150">
        <f>SUM(($R$29+$R$32))</f>
        <v>-1011.6602999999996</v>
      </c>
      <c r="S34" s="150">
        <f>SUM(($S$29+$S$32))</f>
        <v>-3188.8300999999992</v>
      </c>
      <c r="T34" s="150">
        <f>SUM(($T$29+$T$32))</f>
        <v>-5231.8300999999992</v>
      </c>
      <c r="U34" s="150">
        <f>SUM(($U$29+$U$32))</f>
        <v>-5388.8300999999992</v>
      </c>
      <c r="V34" s="150">
        <f>SUM(($V$29+$V$32))</f>
        <v>-14747.830099999999</v>
      </c>
      <c r="W34" s="150">
        <f>SUM(($W$29+$W$32))</f>
        <v>-18489.830099999999</v>
      </c>
      <c r="X34" s="150">
        <f>SUM(($X$29+$X$32))</f>
        <v>-16154.830099999999</v>
      </c>
      <c r="Y34" s="150">
        <f>SUM(($Y$29+$Y$32))</f>
        <v>-11876.830099999999</v>
      </c>
      <c r="Z34" s="150">
        <f>SUM(($Z$29+$Z$32))</f>
        <v>-22467</v>
      </c>
      <c r="AA34" s="151">
        <f>SUM(($AA$29+$AA$32))</f>
        <v>-184226.37470000007</v>
      </c>
    </row>
    <row r="36" spans="1:27" ht="12" customHeight="1" x14ac:dyDescent="0.2">
      <c r="A36" s="142" t="s">
        <v>192</v>
      </c>
    </row>
    <row r="37" spans="1:27" ht="11.25" customHeight="1" x14ac:dyDescent="0.2">
      <c r="A37" s="143" t="s">
        <v>197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f>SUM($C$37:$Z$37)</f>
        <v>303301.43599999993</v>
      </c>
    </row>
    <row r="38" spans="1:27" ht="11.25" customHeight="1" x14ac:dyDescent="0.2">
      <c r="A38" s="143" t="s">
        <v>198</v>
      </c>
      <c r="C38" s="144">
        <v>-40322.5671</v>
      </c>
      <c r="D38" s="144">
        <v>-36161.265500000001</v>
      </c>
      <c r="E38" s="144">
        <v>-32999.979599999999</v>
      </c>
      <c r="F38" s="144">
        <v>-29774.1787</v>
      </c>
      <c r="G38" s="144">
        <v>-20866.649700000002</v>
      </c>
      <c r="H38" s="144">
        <v>-2129.0468000000001</v>
      </c>
      <c r="I38" s="144">
        <v>-16266.673000000001</v>
      </c>
      <c r="J38" s="144">
        <v>-29903.199000000001</v>
      </c>
      <c r="K38" s="144">
        <v>-32290.286499999998</v>
      </c>
      <c r="L38" s="144">
        <v>-27700.0177</v>
      </c>
      <c r="M38" s="144">
        <v>-24258.0661</v>
      </c>
      <c r="N38" s="144">
        <v>-24966.644700000001</v>
      </c>
      <c r="O38" s="144">
        <v>-24612.876100000001</v>
      </c>
      <c r="P38" s="144">
        <v>-26871.009399999999</v>
      </c>
      <c r="Q38" s="144">
        <v>-23821.419300000001</v>
      </c>
      <c r="R38" s="144">
        <v>-20548.3871</v>
      </c>
      <c r="S38" s="144">
        <v>-13033.340700000001</v>
      </c>
      <c r="T38" s="144">
        <v>-15161.302299999999</v>
      </c>
      <c r="U38" s="144">
        <v>-15333.313700000001</v>
      </c>
      <c r="V38" s="144">
        <v>-24451.652900000001</v>
      </c>
      <c r="W38" s="144">
        <v>-28419.373500000002</v>
      </c>
      <c r="X38" s="144">
        <v>-26133.326700000001</v>
      </c>
      <c r="Y38" s="144">
        <v>-21903.254499999999</v>
      </c>
      <c r="Z38" s="144">
        <v>-22900.018</v>
      </c>
      <c r="AA38" s="144">
        <f>SUM($C$38:$Z$38)</f>
        <v>-580827.84860000003</v>
      </c>
    </row>
    <row r="39" spans="1:27" ht="11.25" customHeight="1" x14ac:dyDescent="0.2">
      <c r="A39" s="143" t="s">
        <v>200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f>SUM($C$39:$Z$39)</f>
        <v>66347.189299999998</v>
      </c>
    </row>
    <row r="40" spans="1:27" ht="11.25" customHeight="1" x14ac:dyDescent="0.2">
      <c r="A40" s="143" t="s">
        <v>199</v>
      </c>
      <c r="C40" s="145">
        <f>SUM($C$37:$C$39)</f>
        <v>-7148.9725000000035</v>
      </c>
      <c r="D40" s="145">
        <f>SUM($D$37:$D$39)</f>
        <v>-7726.7558000000045</v>
      </c>
      <c r="E40" s="145">
        <f>SUM($E$37:$E$39)</f>
        <v>-4565.4699000000019</v>
      </c>
      <c r="F40" s="145">
        <f>SUM($F$37:$F$39)</f>
        <v>-1339.6690000000035</v>
      </c>
      <c r="G40" s="145">
        <f>SUM($G$37:$G$39)</f>
        <v>-11388.479800000001</v>
      </c>
      <c r="H40" s="145">
        <f>SUM($H$37:$H$39)</f>
        <v>7349.1231000000007</v>
      </c>
      <c r="I40" s="145">
        <f>SUM($I$37:$I$39)</f>
        <v>-2049.4182000000001</v>
      </c>
      <c r="J40" s="145">
        <f>SUM($J$37:$J$39)</f>
        <v>-15685.9442</v>
      </c>
      <c r="K40" s="145">
        <f>SUM($K$37:$K$39)</f>
        <v>-18073.0317</v>
      </c>
      <c r="L40" s="145">
        <f>SUM($L$37:$L$39)</f>
        <v>-13482.7629</v>
      </c>
      <c r="M40" s="145">
        <f>SUM($M$37:$M$39)</f>
        <v>-10040.811299999999</v>
      </c>
      <c r="N40" s="145">
        <f>SUM($N$37:$N$39)</f>
        <v>-6010.3050000000003</v>
      </c>
      <c r="O40" s="145">
        <f>SUM($O$37:$O$39)</f>
        <v>-5656.5364000000009</v>
      </c>
      <c r="P40" s="145">
        <f>SUM($P$37:$P$39)</f>
        <v>-7914.6696999999986</v>
      </c>
      <c r="Q40" s="145">
        <f>SUM($Q$37:$Q$39)</f>
        <v>-4865.0796000000009</v>
      </c>
      <c r="R40" s="145">
        <f>SUM($R$37:$R$39)</f>
        <v>-1592.0473999999995</v>
      </c>
      <c r="S40" s="145">
        <f>SUM($S$37:$S$39)</f>
        <v>-3555.1707999999999</v>
      </c>
      <c r="T40" s="145">
        <f>SUM($T$37:$T$39)</f>
        <v>-5683.1323999999986</v>
      </c>
      <c r="U40" s="145">
        <f>SUM($U$37:$U$39)</f>
        <v>-5855.1437999999998</v>
      </c>
      <c r="V40" s="145">
        <f>SUM($V$37:$V$39)</f>
        <v>-14973.483</v>
      </c>
      <c r="W40" s="145">
        <f>SUM($W$37:$W$39)</f>
        <v>-18941.203600000001</v>
      </c>
      <c r="X40" s="145">
        <f>SUM($X$37:$X$39)</f>
        <v>-16655.156800000001</v>
      </c>
      <c r="Y40" s="145">
        <f>SUM($Y$37:$Y$39)</f>
        <v>-12425.084599999998</v>
      </c>
      <c r="Z40" s="145">
        <f>SUM($Z$37:$Z$39)</f>
        <v>-22900.018</v>
      </c>
      <c r="AA40" s="145">
        <f>SUM($AA$37:$AA$39)</f>
        <v>-211179.2233000001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197</v>
      </c>
      <c r="C43" s="144">
        <f>SUM(($C$27-$C$37))</f>
        <v>0</v>
      </c>
      <c r="D43" s="144">
        <f>SUM(($D$27-$D$37))</f>
        <v>0</v>
      </c>
      <c r="E43" s="144">
        <f>SUM(($E$27-$E$37))</f>
        <v>0</v>
      </c>
      <c r="F43" s="144">
        <f>SUM(($F$27-$F$37))</f>
        <v>0</v>
      </c>
      <c r="G43" s="144">
        <f>SUM(($G$27-$G$37))</f>
        <v>0</v>
      </c>
      <c r="H43" s="144">
        <f>SUM(($H$27-$H$37))</f>
        <v>0</v>
      </c>
      <c r="I43" s="144">
        <f>SUM(($I$27-$I$37))</f>
        <v>0</v>
      </c>
      <c r="J43" s="144">
        <f>SUM(($J$27-$J$37))</f>
        <v>0</v>
      </c>
      <c r="K43" s="144">
        <f>SUM(($K$27-$K$37))</f>
        <v>0</v>
      </c>
      <c r="L43" s="144">
        <f>SUM(($L$27-$L$37))</f>
        <v>0</v>
      </c>
      <c r="M43" s="144">
        <f>SUM(($M$27-$M$37))</f>
        <v>0</v>
      </c>
      <c r="N43" s="144">
        <f>SUM(($N$27-$N$37))</f>
        <v>0</v>
      </c>
      <c r="O43" s="144">
        <f>SUM(($O$27-$O$37))</f>
        <v>0</v>
      </c>
      <c r="P43" s="144">
        <f>SUM(($P$27-$P$37))</f>
        <v>0</v>
      </c>
      <c r="Q43" s="144">
        <f>SUM(($Q$27-$Q$37))</f>
        <v>0</v>
      </c>
      <c r="R43" s="144">
        <f>SUM(($R$27-$R$37))</f>
        <v>0</v>
      </c>
      <c r="S43" s="144">
        <f>SUM(($S$27-$S$37))</f>
        <v>0</v>
      </c>
      <c r="T43" s="144">
        <f>SUM(($T$27-$T$37))</f>
        <v>0</v>
      </c>
      <c r="U43" s="144">
        <f>SUM(($U$27-$U$37))</f>
        <v>0</v>
      </c>
      <c r="V43" s="144">
        <f>SUM(($V$27-$V$37))</f>
        <v>0</v>
      </c>
      <c r="W43" s="144">
        <f>SUM(($W$27-$W$37))</f>
        <v>0</v>
      </c>
      <c r="X43" s="144">
        <f>SUM(($X$27-$X$37))</f>
        <v>0</v>
      </c>
      <c r="Y43" s="144">
        <f>SUM(($Y$27-$Y$37))</f>
        <v>0</v>
      </c>
      <c r="Z43" s="144">
        <f>SUM(($Z$27-$Z$37))</f>
        <v>0</v>
      </c>
      <c r="AA43" s="144">
        <f>SUM(($AA$27-$AA$37))</f>
        <v>0</v>
      </c>
    </row>
    <row r="44" spans="1:27" ht="11.25" customHeight="1" x14ac:dyDescent="0.2">
      <c r="A44" s="143" t="s">
        <v>198</v>
      </c>
      <c r="C44" s="144">
        <f>SUM(($C$28-$C$38))</f>
        <v>6483.5671000000002</v>
      </c>
      <c r="D44" s="144">
        <f>SUM(($D$28-$D$38))</f>
        <v>871.26550000000134</v>
      </c>
      <c r="E44" s="144">
        <f>SUM(($E$28-$E$38))</f>
        <v>3428.9795999999988</v>
      </c>
      <c r="F44" s="144">
        <f>SUM(($F$28-$F$38))</f>
        <v>2645.1787000000004</v>
      </c>
      <c r="G44" s="144">
        <f>SUM(($G$28-$G$38))</f>
        <v>1299.6497000000018</v>
      </c>
      <c r="H44" s="144">
        <f>SUM(($H$28-$H$38))</f>
        <v>129.04680000000008</v>
      </c>
      <c r="I44" s="144">
        <f>SUM(($I$28-$I$38))</f>
        <v>766.67300000000068</v>
      </c>
      <c r="J44" s="144">
        <f>SUM(($J$28-$J$38))</f>
        <v>839.19900000000052</v>
      </c>
      <c r="K44" s="144">
        <f>SUM(($K$28-$K$38))</f>
        <v>709.28649999999834</v>
      </c>
      <c r="L44" s="144">
        <f>SUM(($L$28-$L$38))</f>
        <v>867.01770000000033</v>
      </c>
      <c r="M44" s="144">
        <f>SUM(($M$28-$M$38))</f>
        <v>1258.0661</v>
      </c>
      <c r="N44" s="144">
        <f>SUM(($N$28-$N$38))</f>
        <v>1233.6447000000007</v>
      </c>
      <c r="O44" s="144">
        <f>SUM(($O$28-$O$38))</f>
        <v>741.87610000000132</v>
      </c>
      <c r="P44" s="144">
        <f>SUM(($P$28-$P$38))</f>
        <v>871.009399999999</v>
      </c>
      <c r="Q44" s="144">
        <f>SUM(($Q$28-$Q$38))</f>
        <v>785.41930000000139</v>
      </c>
      <c r="R44" s="144">
        <f>SUM(($R$28-$R$38))</f>
        <v>580.38709999999992</v>
      </c>
      <c r="S44" s="144">
        <f>SUM(($S$28-$S$38))</f>
        <v>366.34070000000065</v>
      </c>
      <c r="T44" s="144">
        <f>SUM(($T$28-$T$38))</f>
        <v>451.30229999999938</v>
      </c>
      <c r="U44" s="144">
        <f>SUM(($U$28-$U$38))</f>
        <v>466.31370000000061</v>
      </c>
      <c r="V44" s="144">
        <f>SUM(($V$28-$V$38))</f>
        <v>225.65290000000095</v>
      </c>
      <c r="W44" s="144">
        <f>SUM(($W$28-$W$38))</f>
        <v>451.37350000000151</v>
      </c>
      <c r="X44" s="144">
        <f>SUM(($X$28-$X$38))</f>
        <v>500.32670000000144</v>
      </c>
      <c r="Y44" s="144">
        <f>SUM(($Y$28-$Y$38))</f>
        <v>548.2544999999991</v>
      </c>
      <c r="Z44" s="144">
        <f>SUM(($Z$28-$Z$38))</f>
        <v>433.01800000000003</v>
      </c>
      <c r="AA44" s="144">
        <f>SUM(($AA$28-$AA$38))</f>
        <v>26952.848600000027</v>
      </c>
    </row>
    <row r="45" spans="1:27" ht="11.25" customHeight="1" x14ac:dyDescent="0.2">
      <c r="A45" s="143" t="s">
        <v>200</v>
      </c>
      <c r="C45" s="144">
        <f>SUM(($C$32-$C$39))</f>
        <v>0</v>
      </c>
      <c r="D45" s="144">
        <f>SUM(($D$32-$D$39))</f>
        <v>0</v>
      </c>
      <c r="E45" s="144">
        <f>SUM(($E$32-$E$39))</f>
        <v>0</v>
      </c>
      <c r="F45" s="144">
        <f>SUM(($F$32-$F$39))</f>
        <v>0</v>
      </c>
      <c r="G45" s="144">
        <f>SUM(($G$32-$G$39))</f>
        <v>0</v>
      </c>
      <c r="H45" s="144">
        <f>SUM(($H$32-$H$39))</f>
        <v>0</v>
      </c>
      <c r="I45" s="144">
        <f>SUM(($I$32-$I$39))</f>
        <v>0</v>
      </c>
      <c r="J45" s="144">
        <f>SUM(($J$32-$J$39))</f>
        <v>0</v>
      </c>
      <c r="K45" s="144">
        <f>SUM(($K$32-$K$39))</f>
        <v>0</v>
      </c>
      <c r="L45" s="144">
        <f>SUM(($L$32-$L$39))</f>
        <v>0</v>
      </c>
      <c r="M45" s="144">
        <f>SUM(($M$32-$M$39))</f>
        <v>0</v>
      </c>
      <c r="N45" s="144">
        <f>SUM(($N$32-$N$39))</f>
        <v>0</v>
      </c>
      <c r="O45" s="144">
        <f>SUM(($O$32-$O$39))</f>
        <v>0</v>
      </c>
      <c r="P45" s="144">
        <f>SUM(($P$32-$P$39))</f>
        <v>0</v>
      </c>
      <c r="Q45" s="144">
        <f>SUM(($Q$32-$Q$39))</f>
        <v>0</v>
      </c>
      <c r="R45" s="144">
        <f>SUM(($R$32-$R$39))</f>
        <v>0</v>
      </c>
      <c r="S45" s="144">
        <f>SUM(($S$32-$S$39))</f>
        <v>0</v>
      </c>
      <c r="T45" s="144">
        <f>SUM(($T$32-$T$39))</f>
        <v>0</v>
      </c>
      <c r="U45" s="144">
        <f>SUM(($U$32-$U$39))</f>
        <v>0</v>
      </c>
      <c r="V45" s="144">
        <f>SUM(($V$32-$V$39))</f>
        <v>0</v>
      </c>
      <c r="W45" s="144">
        <f>SUM(($W$32-$W$39))</f>
        <v>0</v>
      </c>
      <c r="X45" s="144">
        <f>SUM(($X$32-$X$39))</f>
        <v>0</v>
      </c>
      <c r="Y45" s="144">
        <f>SUM(($Y$32-$Y$39))</f>
        <v>0</v>
      </c>
      <c r="Z45" s="144">
        <f>SUM(($Z$32-$Z$39))</f>
        <v>0</v>
      </c>
      <c r="AA45" s="144">
        <f>SUM(($AA$32-$AA$39))</f>
        <v>0</v>
      </c>
    </row>
    <row r="46" spans="1:27" ht="11.25" customHeight="1" x14ac:dyDescent="0.2">
      <c r="A46" s="143" t="s">
        <v>199</v>
      </c>
      <c r="C46" s="145">
        <f>SUM($C$43:$C$45)</f>
        <v>6483.5671000000002</v>
      </c>
      <c r="D46" s="145">
        <f>SUM($D$43:$D$45)</f>
        <v>871.26550000000134</v>
      </c>
      <c r="E46" s="145">
        <f>SUM($E$43:$E$45)</f>
        <v>3428.9795999999988</v>
      </c>
      <c r="F46" s="145">
        <f>SUM($F$43:$F$45)</f>
        <v>2645.1787000000004</v>
      </c>
      <c r="G46" s="145">
        <f>SUM($G$43:$G$45)</f>
        <v>1299.6497000000018</v>
      </c>
      <c r="H46" s="145">
        <f>SUM($H$43:$H$45)</f>
        <v>129.04680000000008</v>
      </c>
      <c r="I46" s="145">
        <f>SUM($I$43:$I$45)</f>
        <v>766.67300000000068</v>
      </c>
      <c r="J46" s="145">
        <f>SUM($J$43:$J$45)</f>
        <v>839.19900000000052</v>
      </c>
      <c r="K46" s="145">
        <f>SUM($K$43:$K$45)</f>
        <v>709.28649999999834</v>
      </c>
      <c r="L46" s="145">
        <f>SUM($L$43:$L$45)</f>
        <v>867.01770000000033</v>
      </c>
      <c r="M46" s="145">
        <f>SUM($M$43:$M$45)</f>
        <v>1258.0661</v>
      </c>
      <c r="N46" s="145">
        <f>SUM($N$43:$N$45)</f>
        <v>1233.6447000000007</v>
      </c>
      <c r="O46" s="145">
        <f>SUM($O$43:$O$45)</f>
        <v>741.87610000000132</v>
      </c>
      <c r="P46" s="145">
        <f>SUM($P$43:$P$45)</f>
        <v>871.009399999999</v>
      </c>
      <c r="Q46" s="145">
        <f>SUM($Q$43:$Q$45)</f>
        <v>785.41930000000139</v>
      </c>
      <c r="R46" s="145">
        <f>SUM($R$43:$R$45)</f>
        <v>580.38709999999992</v>
      </c>
      <c r="S46" s="145">
        <f>SUM($S$43:$S$45)</f>
        <v>366.34070000000065</v>
      </c>
      <c r="T46" s="145">
        <f>SUM($T$43:$T$45)</f>
        <v>451.30229999999938</v>
      </c>
      <c r="U46" s="145">
        <f>SUM($U$43:$U$45)</f>
        <v>466.31370000000061</v>
      </c>
      <c r="V46" s="145">
        <f>SUM($V$43:$V$45)</f>
        <v>225.65290000000095</v>
      </c>
      <c r="W46" s="145">
        <f>SUM($W$43:$W$45)</f>
        <v>451.37350000000151</v>
      </c>
      <c r="X46" s="145">
        <f>SUM($X$43:$X$45)</f>
        <v>500.32670000000144</v>
      </c>
      <c r="Y46" s="145">
        <f>SUM($Y$43:$Y$45)</f>
        <v>548.2544999999991</v>
      </c>
      <c r="Z46" s="145">
        <f>SUM($Z$43:$Z$45)</f>
        <v>433.01800000000003</v>
      </c>
      <c r="AA46" s="145">
        <f>SUM($AA$43:$AA$45)</f>
        <v>26952.848600000027</v>
      </c>
    </row>
    <row r="48" spans="1:27" ht="12" customHeight="1" x14ac:dyDescent="0.2">
      <c r="A48" s="142" t="s">
        <v>193</v>
      </c>
    </row>
    <row r="49" spans="1:27" ht="11.25" customHeight="1" x14ac:dyDescent="0.2">
      <c r="A49" s="143" t="s">
        <v>42</v>
      </c>
      <c r="C49" s="146">
        <v>3.69</v>
      </c>
      <c r="D49" s="146">
        <v>3.87</v>
      </c>
      <c r="E49" s="146">
        <v>3.89</v>
      </c>
      <c r="F49" s="146">
        <v>3.81</v>
      </c>
      <c r="G49" s="146">
        <v>3.76</v>
      </c>
      <c r="H49" s="146">
        <v>3.82</v>
      </c>
      <c r="I49" s="146">
        <v>3.89</v>
      </c>
      <c r="J49" s="146">
        <v>3.95</v>
      </c>
      <c r="K49" s="146">
        <v>4.01</v>
      </c>
      <c r="L49" s="146">
        <v>4.03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</v>
      </c>
      <c r="R49" s="146">
        <v>4.6500000000000004</v>
      </c>
      <c r="S49" s="146">
        <v>4.4800000000000004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192</v>
      </c>
      <c r="C50" s="146">
        <v>3.14</v>
      </c>
      <c r="D50" s="146">
        <v>3.6</v>
      </c>
      <c r="E50" s="146">
        <v>3.65</v>
      </c>
      <c r="F50" s="146">
        <v>3.61</v>
      </c>
      <c r="G50" s="146">
        <v>3.57</v>
      </c>
      <c r="H50" s="146">
        <v>3.64</v>
      </c>
      <c r="I50" s="146">
        <v>3.71</v>
      </c>
      <c r="J50" s="146">
        <v>3.77</v>
      </c>
      <c r="K50" s="146">
        <v>3.84</v>
      </c>
      <c r="L50" s="146">
        <v>3.86</v>
      </c>
      <c r="M50" s="146">
        <v>3.92</v>
      </c>
      <c r="N50" s="146">
        <v>4.3099999999999996</v>
      </c>
      <c r="O50" s="146">
        <v>4.5999999999999996</v>
      </c>
      <c r="P50" s="146">
        <v>4.78</v>
      </c>
      <c r="Q50" s="146">
        <v>4.68</v>
      </c>
      <c r="R50" s="146">
        <v>4.54</v>
      </c>
      <c r="S50" s="146">
        <v>4.38</v>
      </c>
      <c r="T50" s="146">
        <v>4.4000000000000004</v>
      </c>
      <c r="U50" s="146">
        <v>4.4400000000000004</v>
      </c>
      <c r="V50" s="146">
        <v>4.5199999999999996</v>
      </c>
      <c r="W50" s="146">
        <v>4.53</v>
      </c>
      <c r="X50" s="146">
        <v>4.55</v>
      </c>
      <c r="Y50" s="146">
        <v>4.6100000000000003</v>
      </c>
      <c r="Z50" s="146">
        <v>4.87</v>
      </c>
      <c r="AA50" s="146"/>
    </row>
    <row r="51" spans="1:27" ht="11.25" customHeight="1" x14ac:dyDescent="0.2">
      <c r="A51" s="143" t="s">
        <v>0</v>
      </c>
      <c r="C51" s="147">
        <f>SUM(($C$49-$C$50))</f>
        <v>0.54999999999999982</v>
      </c>
      <c r="D51" s="147">
        <f>SUM(($D$49-$D$50))</f>
        <v>0.27</v>
      </c>
      <c r="E51" s="147">
        <f>SUM(($E$49-$E$50))</f>
        <v>0.24000000000000021</v>
      </c>
      <c r="F51" s="147">
        <f>SUM(($F$49-$F$50))</f>
        <v>0.20000000000000018</v>
      </c>
      <c r="G51" s="147">
        <f>SUM(($G$49-$G$50))</f>
        <v>0.18999999999999995</v>
      </c>
      <c r="H51" s="147">
        <f>SUM(($H$49-$H$50))</f>
        <v>0.17999999999999972</v>
      </c>
      <c r="I51" s="147">
        <f>SUM(($I$49-$I$50))</f>
        <v>0.18000000000000016</v>
      </c>
      <c r="J51" s="147">
        <f>SUM(($J$49-$J$50))</f>
        <v>0.18000000000000016</v>
      </c>
      <c r="K51" s="147">
        <f>SUM(($K$49-$K$50))</f>
        <v>0.16999999999999993</v>
      </c>
      <c r="L51" s="147">
        <f>SUM(($L$49-$L$50))</f>
        <v>0.17000000000000037</v>
      </c>
      <c r="M51" s="147">
        <f>SUM(($M$49-$M$50))</f>
        <v>0.16999999999999993</v>
      </c>
      <c r="N51" s="147">
        <f>SUM(($N$49-$N$50))</f>
        <v>0.16000000000000014</v>
      </c>
      <c r="O51" s="147">
        <f>SUM(($O$49-$O$50))</f>
        <v>0.15000000000000036</v>
      </c>
      <c r="P51" s="147">
        <f>SUM(($P$49-$P$50))</f>
        <v>0.13999999999999968</v>
      </c>
      <c r="Q51" s="147">
        <f>SUM(($Q$49-$Q$50))</f>
        <v>0.12000000000000011</v>
      </c>
      <c r="R51" s="147">
        <f>SUM(($R$49-$R$50))</f>
        <v>0.11000000000000032</v>
      </c>
      <c r="S51" s="147">
        <f>SUM(($S$49-$S$50))</f>
        <v>0.10000000000000053</v>
      </c>
      <c r="T51" s="147">
        <f>SUM(($T$49-$T$50))</f>
        <v>8.9999999999999858E-2</v>
      </c>
      <c r="U51" s="147">
        <f>SUM(($U$49-$U$50))</f>
        <v>8.9999999999999858E-2</v>
      </c>
      <c r="V51" s="147">
        <f>SUM(($V$49-$V$50))</f>
        <v>6.0000000000000497E-2</v>
      </c>
      <c r="W51" s="147">
        <f>SUM(($W$49-$W$50))</f>
        <v>9.9999999999999645E-2</v>
      </c>
      <c r="X51" s="147">
        <f>SUM(($X$49-$X$50))</f>
        <v>0.10000000000000053</v>
      </c>
      <c r="Y51" s="147">
        <f>SUM(($Y$49-$Y$50))</f>
        <v>9.9999999999999645E-2</v>
      </c>
      <c r="Z51" s="147">
        <f>SUM(($Z$49-$Z$50))</f>
        <v>8.0000000000000071E-2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194</v>
      </c>
    </row>
    <row r="58" spans="1:27" ht="11.25" customHeight="1" x14ac:dyDescent="0.2">
      <c r="A58" s="143" t="s">
        <v>195</v>
      </c>
      <c r="C58" s="144">
        <v>-1395636</v>
      </c>
      <c r="D58" s="144">
        <v>-1271750</v>
      </c>
      <c r="E58" s="144">
        <v>-1134252</v>
      </c>
      <c r="F58" s="144">
        <v>-1298733</v>
      </c>
      <c r="G58" s="144">
        <v>-844959</v>
      </c>
      <c r="H58" s="144">
        <v>-858747</v>
      </c>
      <c r="I58" s="144">
        <v>-871131</v>
      </c>
      <c r="J58" s="144">
        <v>-879894</v>
      </c>
      <c r="K58" s="144">
        <v>-859770</v>
      </c>
      <c r="L58" s="144">
        <v>-823848</v>
      </c>
      <c r="M58" s="144">
        <v>-831337</v>
      </c>
      <c r="N58" s="144">
        <v>-1180305</v>
      </c>
      <c r="O58" s="144">
        <v>-1109041</v>
      </c>
      <c r="P58" s="144">
        <v>-1039792</v>
      </c>
      <c r="Q58" s="144">
        <v>-975151</v>
      </c>
      <c r="R58" s="144">
        <v>-1129981</v>
      </c>
      <c r="S58" s="144">
        <v>83932</v>
      </c>
      <c r="T58" s="144">
        <v>88075</v>
      </c>
      <c r="U58" s="144">
        <v>91783</v>
      </c>
      <c r="V58" s="144">
        <v>103262</v>
      </c>
      <c r="W58" s="144">
        <v>111725</v>
      </c>
      <c r="X58" s="144">
        <v>111004</v>
      </c>
      <c r="Y58" s="144">
        <v>124761</v>
      </c>
      <c r="Z58" s="144">
        <v>0</v>
      </c>
      <c r="AA58" s="144">
        <f>SUM($C$58:$Z$58)</f>
        <v>-15789785</v>
      </c>
    </row>
    <row r="59" spans="1:27" ht="11.25" customHeight="1" thickBot="1" x14ac:dyDescent="0.25">
      <c r="A59" s="143" t="s">
        <v>201</v>
      </c>
      <c r="C59" s="144">
        <v>3226915</v>
      </c>
      <c r="D59" s="144">
        <v>3108122</v>
      </c>
      <c r="E59" s="144">
        <v>2437040</v>
      </c>
      <c r="F59" s="144">
        <v>2400996</v>
      </c>
      <c r="G59" s="144">
        <v>1456312</v>
      </c>
      <c r="H59" s="144">
        <v>136526</v>
      </c>
      <c r="I59" s="144">
        <v>1321251</v>
      </c>
      <c r="J59" s="144">
        <v>1210587</v>
      </c>
      <c r="K59" s="144">
        <v>1125109</v>
      </c>
      <c r="L59" s="144">
        <v>1168311</v>
      </c>
      <c r="M59" s="144">
        <v>1269791</v>
      </c>
      <c r="N59" s="144">
        <v>1226065</v>
      </c>
      <c r="O59" s="144">
        <v>1107629</v>
      </c>
      <c r="P59" s="144">
        <v>153936</v>
      </c>
      <c r="Q59" s="144">
        <v>120001</v>
      </c>
      <c r="R59" s="144">
        <v>145715</v>
      </c>
      <c r="S59" s="144">
        <v>-113001</v>
      </c>
      <c r="T59" s="144">
        <v>-121667</v>
      </c>
      <c r="U59" s="144">
        <v>4824</v>
      </c>
      <c r="V59" s="144">
        <v>-62792</v>
      </c>
      <c r="W59" s="144">
        <v>-65304</v>
      </c>
      <c r="X59" s="144">
        <v>-35137</v>
      </c>
      <c r="Y59" s="144">
        <v>-5729</v>
      </c>
      <c r="Z59" s="144">
        <v>64315</v>
      </c>
      <c r="AA59" s="144">
        <f>SUM($C$59:$Z$59)</f>
        <v>21279815</v>
      </c>
    </row>
    <row r="60" spans="1:27" ht="11.25" customHeight="1" thickBot="1" x14ac:dyDescent="0.25">
      <c r="A60" s="148" t="s">
        <v>189</v>
      </c>
      <c r="B60" s="149"/>
      <c r="C60" s="150">
        <f>SUM($C$58:$C$59)</f>
        <v>1831279</v>
      </c>
      <c r="D60" s="150">
        <f>SUM($D$58:$D$59)</f>
        <v>1836372</v>
      </c>
      <c r="E60" s="150">
        <f>SUM($E$58:$E$59)</f>
        <v>1302788</v>
      </c>
      <c r="F60" s="150">
        <f>SUM($F$58:$F$59)</f>
        <v>1102263</v>
      </c>
      <c r="G60" s="150">
        <f>SUM($G$58:$G$59)</f>
        <v>611353</v>
      </c>
      <c r="H60" s="150">
        <f>SUM($H$58:$H$59)</f>
        <v>-722221</v>
      </c>
      <c r="I60" s="150">
        <f>SUM($I$58:$I$59)</f>
        <v>450120</v>
      </c>
      <c r="J60" s="150">
        <f>SUM($J$58:$J$59)</f>
        <v>330693</v>
      </c>
      <c r="K60" s="150">
        <f>SUM($K$58:$K$59)</f>
        <v>265339</v>
      </c>
      <c r="L60" s="150">
        <f>SUM($L$58:$L$59)</f>
        <v>344463</v>
      </c>
      <c r="M60" s="150">
        <f>SUM($M$58:$M$59)</f>
        <v>438454</v>
      </c>
      <c r="N60" s="150">
        <f>SUM($N$58:$N$59)</f>
        <v>45760</v>
      </c>
      <c r="O60" s="150">
        <f>SUM($O$58:$O$59)</f>
        <v>-1412</v>
      </c>
      <c r="P60" s="150">
        <f>SUM($P$58:$P$59)</f>
        <v>-885856</v>
      </c>
      <c r="Q60" s="150">
        <f>SUM($Q$58:$Q$59)</f>
        <v>-855150</v>
      </c>
      <c r="R60" s="150">
        <f>SUM($R$58:$R$59)</f>
        <v>-984266</v>
      </c>
      <c r="S60" s="150">
        <f>SUM($S$58:$S$59)</f>
        <v>-29069</v>
      </c>
      <c r="T60" s="150">
        <f>SUM($T$58:$T$59)</f>
        <v>-33592</v>
      </c>
      <c r="U60" s="150">
        <f>SUM($U$58:$U$59)</f>
        <v>96607</v>
      </c>
      <c r="V60" s="150">
        <f>SUM($V$58:$V$59)</f>
        <v>40470</v>
      </c>
      <c r="W60" s="150">
        <f>SUM($W$58:$W$59)</f>
        <v>46421</v>
      </c>
      <c r="X60" s="150">
        <f>SUM($X$58:$X$59)</f>
        <v>75867</v>
      </c>
      <c r="Y60" s="150">
        <f>SUM($Y$58:$Y$59)</f>
        <v>119032</v>
      </c>
      <c r="Z60" s="150">
        <f>SUM($Z$58:$Z$59)</f>
        <v>64315</v>
      </c>
      <c r="AA60" s="151">
        <f>SUM($AA$58:$AA$59)</f>
        <v>5490030</v>
      </c>
    </row>
    <row r="61" spans="1:27" ht="11.25" customHeight="1" x14ac:dyDescent="0.2">
      <c r="A61" s="143" t="s">
        <v>2</v>
      </c>
      <c r="C61" s="144">
        <v>1946461</v>
      </c>
      <c r="D61" s="144">
        <v>1913545</v>
      </c>
      <c r="E61" s="144">
        <v>1350076</v>
      </c>
      <c r="F61" s="144">
        <v>1135637</v>
      </c>
      <c r="G61" s="144">
        <v>672267</v>
      </c>
      <c r="H61" s="144">
        <v>-740376</v>
      </c>
      <c r="I61" s="144">
        <v>473856</v>
      </c>
      <c r="J61" s="144">
        <v>412835</v>
      </c>
      <c r="K61" s="144">
        <v>354006</v>
      </c>
      <c r="L61" s="144">
        <v>412382</v>
      </c>
      <c r="M61" s="144">
        <v>494270</v>
      </c>
      <c r="N61" s="144">
        <v>90565</v>
      </c>
      <c r="O61" s="144">
        <v>43317</v>
      </c>
      <c r="P61" s="144">
        <v>-834054</v>
      </c>
      <c r="Q61" s="144">
        <v>-819473</v>
      </c>
      <c r="R61" s="144">
        <v>-954998</v>
      </c>
      <c r="S61" s="144">
        <v>-13863</v>
      </c>
      <c r="T61" s="144">
        <v>-13265</v>
      </c>
      <c r="U61" s="144">
        <v>116754</v>
      </c>
      <c r="V61" s="144">
        <v>75633</v>
      </c>
      <c r="W61" s="144">
        <v>103603</v>
      </c>
      <c r="X61" s="144">
        <v>125237</v>
      </c>
      <c r="Y61" s="144">
        <v>158538</v>
      </c>
      <c r="Z61" s="144">
        <v>116170</v>
      </c>
      <c r="AA61" s="144">
        <f>SUM($C$61:$Z$61)</f>
        <v>6619123</v>
      </c>
    </row>
    <row r="62" spans="1:27" ht="11.25" customHeight="1" x14ac:dyDescent="0.2">
      <c r="A62" s="143" t="s">
        <v>0</v>
      </c>
      <c r="C62" s="145">
        <f>SUM(($C$60-$C$61))</f>
        <v>-115182</v>
      </c>
      <c r="D62" s="145">
        <f>SUM(($D$60-$D$61))</f>
        <v>-77173</v>
      </c>
      <c r="E62" s="145">
        <f>SUM(($E$60-$E$61))</f>
        <v>-47288</v>
      </c>
      <c r="F62" s="145">
        <f>SUM(($F$60-$F$61))</f>
        <v>-33374</v>
      </c>
      <c r="G62" s="145">
        <f>SUM(($G$60-$G$61))</f>
        <v>-60914</v>
      </c>
      <c r="H62" s="145">
        <f>SUM(($H$60-$H$61))</f>
        <v>18155</v>
      </c>
      <c r="I62" s="145">
        <f>SUM(($I$60-$I$61))</f>
        <v>-23736</v>
      </c>
      <c r="J62" s="145">
        <f>SUM(($J$60-$J$61))</f>
        <v>-82142</v>
      </c>
      <c r="K62" s="145">
        <f>SUM(($K$60-$K$61))</f>
        <v>-88667</v>
      </c>
      <c r="L62" s="145">
        <f>SUM(($L$60-$L$61))</f>
        <v>-67919</v>
      </c>
      <c r="M62" s="145">
        <f>SUM(($M$60-$M$61))</f>
        <v>-55816</v>
      </c>
      <c r="N62" s="145">
        <f>SUM(($N$60-$N$61))</f>
        <v>-44805</v>
      </c>
      <c r="O62" s="145">
        <f>SUM(($O$60-$O$61))</f>
        <v>-44729</v>
      </c>
      <c r="P62" s="145">
        <f>SUM(($P$60-$P$61))</f>
        <v>-51802</v>
      </c>
      <c r="Q62" s="145">
        <f>SUM(($Q$60-$Q$61))</f>
        <v>-35677</v>
      </c>
      <c r="R62" s="145">
        <f>SUM(($R$60-$R$61))</f>
        <v>-29268</v>
      </c>
      <c r="S62" s="145">
        <f>SUM(($S$60-$S$61))</f>
        <v>-15206</v>
      </c>
      <c r="T62" s="145">
        <f>SUM(($T$60-$T$61))</f>
        <v>-20327</v>
      </c>
      <c r="U62" s="145">
        <f>SUM(($U$60-$U$61))</f>
        <v>-20147</v>
      </c>
      <c r="V62" s="145">
        <f>SUM(($V$60-$V$61))</f>
        <v>-35163</v>
      </c>
      <c r="W62" s="145">
        <f>SUM(($W$60-$W$61))</f>
        <v>-57182</v>
      </c>
      <c r="X62" s="145">
        <f>SUM(($X$60-$X$61))</f>
        <v>-49370</v>
      </c>
      <c r="Y62" s="145">
        <f>SUM(($Y$60-$Y$61))</f>
        <v>-39506</v>
      </c>
      <c r="Z62" s="145">
        <f>SUM(($Z$60-$Z$61))</f>
        <v>-51855</v>
      </c>
      <c r="AA62" s="145">
        <f>SUM(($AA$60-$AA$61))</f>
        <v>-1129093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196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197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f>SUM($C$67:$Z$67)</f>
        <v>265000</v>
      </c>
    </row>
    <row r="68" spans="1:27" ht="11.25" customHeight="1" x14ac:dyDescent="0.2">
      <c r="A68" s="143" t="s">
        <v>198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f>SUM($C$68:$Z$68)</f>
        <v>0</v>
      </c>
    </row>
    <row r="69" spans="1:27" ht="11.25" customHeight="1" x14ac:dyDescent="0.2">
      <c r="A69" s="143" t="s">
        <v>199</v>
      </c>
      <c r="C69" s="145">
        <f>SUM($C$67:$C$68)</f>
        <v>30000</v>
      </c>
      <c r="D69" s="145">
        <f>SUM($D$67:$D$68)</f>
        <v>30000</v>
      </c>
      <c r="E69" s="145">
        <f>SUM($E$67:$E$68)</f>
        <v>20000</v>
      </c>
      <c r="F69" s="145">
        <f>SUM($F$67:$F$68)</f>
        <v>20000</v>
      </c>
      <c r="G69" s="145">
        <f>SUM($G$67:$G$68)</f>
        <v>20000</v>
      </c>
      <c r="H69" s="145">
        <f>SUM($H$67:$H$68)</f>
        <v>20000</v>
      </c>
      <c r="I69" s="145">
        <f>SUM($I$67:$I$68)</f>
        <v>20000</v>
      </c>
      <c r="J69" s="145">
        <f>SUM($J$67:$J$68)</f>
        <v>20000</v>
      </c>
      <c r="K69" s="145">
        <f>SUM($K$67:$K$68)</f>
        <v>20000</v>
      </c>
      <c r="L69" s="145">
        <f>SUM($L$67:$L$68)</f>
        <v>20000</v>
      </c>
      <c r="M69" s="145">
        <f>SUM($M$67:$M$68)</f>
        <v>20000</v>
      </c>
      <c r="N69" s="145">
        <f>SUM($N$67:$N$68)</f>
        <v>5000</v>
      </c>
      <c r="O69" s="145">
        <f>SUM($O$67:$O$68)</f>
        <v>5000</v>
      </c>
      <c r="P69" s="145">
        <f>SUM($P$67:$P$68)</f>
        <v>5000</v>
      </c>
      <c r="Q69" s="145">
        <f>SUM($Q$67:$Q$68)</f>
        <v>5000</v>
      </c>
      <c r="R69" s="145">
        <f>SUM($R$67:$R$68)</f>
        <v>5000</v>
      </c>
      <c r="S69" s="145">
        <f>SUM($S$67:$S$68)</f>
        <v>0</v>
      </c>
      <c r="T69" s="145">
        <f>SUM($T$67:$T$68)</f>
        <v>0</v>
      </c>
      <c r="U69" s="145">
        <f>SUM($U$67:$U$68)</f>
        <v>0</v>
      </c>
      <c r="V69" s="145">
        <f>SUM($V$67:$V$68)</f>
        <v>0</v>
      </c>
      <c r="W69" s="145">
        <f>SUM($W$67:$W$68)</f>
        <v>0</v>
      </c>
      <c r="X69" s="145">
        <f>SUM($X$67:$X$68)</f>
        <v>0</v>
      </c>
      <c r="Y69" s="145">
        <f>SUM($Y$67:$Y$68)</f>
        <v>0</v>
      </c>
      <c r="Z69" s="145">
        <f>SUM($Z$67:$Z$68)</f>
        <v>0</v>
      </c>
      <c r="AA69" s="145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50" t="s">
        <v>200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200</v>
      </c>
      <c r="C72" s="144">
        <v>0</v>
      </c>
      <c r="D72" s="144">
        <v>0</v>
      </c>
      <c r="E72" s="144">
        <v>0</v>
      </c>
      <c r="F72" s="144">
        <v>-10000</v>
      </c>
      <c r="G72" s="144">
        <v>0</v>
      </c>
      <c r="H72" s="144">
        <v>15000</v>
      </c>
      <c r="I72" s="144">
        <v>15000</v>
      </c>
      <c r="J72" s="144">
        <v>35000</v>
      </c>
      <c r="K72" s="144">
        <v>35000</v>
      </c>
      <c r="L72" s="144">
        <v>35000</v>
      </c>
      <c r="M72" s="144">
        <v>35000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f>SUM($C$72:$Z$72)</f>
        <v>295000</v>
      </c>
    </row>
    <row r="73" spans="1:27" ht="13.5" customHeight="1" thickBot="1" x14ac:dyDescent="0.25"/>
    <row r="74" spans="1:27" ht="11.25" customHeight="1" thickBot="1" x14ac:dyDescent="0.25">
      <c r="A74" s="148" t="s">
        <v>199</v>
      </c>
      <c r="B74" s="149"/>
      <c r="C74" s="150">
        <f>SUM(($C$69+$C$72))</f>
        <v>30000</v>
      </c>
      <c r="D74" s="150">
        <f>SUM(($D$69+$D$72))</f>
        <v>30000</v>
      </c>
      <c r="E74" s="150">
        <f>SUM(($E$69+$E$72))</f>
        <v>20000</v>
      </c>
      <c r="F74" s="150">
        <f>SUM(($F$69+$F$72))</f>
        <v>10000</v>
      </c>
      <c r="G74" s="150">
        <f>SUM(($G$69+$G$72))</f>
        <v>20000</v>
      </c>
      <c r="H74" s="150">
        <f>SUM(($H$69+$H$72))</f>
        <v>35000</v>
      </c>
      <c r="I74" s="150">
        <f>SUM(($I$69+$I$72))</f>
        <v>35000</v>
      </c>
      <c r="J74" s="150">
        <f>SUM(($J$69+$J$72))</f>
        <v>55000</v>
      </c>
      <c r="K74" s="150">
        <f>SUM(($K$69+$K$72))</f>
        <v>55000</v>
      </c>
      <c r="L74" s="150">
        <f>SUM(($L$69+$L$72))</f>
        <v>55000</v>
      </c>
      <c r="M74" s="150">
        <f>SUM(($M$69+$M$72))</f>
        <v>55000</v>
      </c>
      <c r="N74" s="150">
        <f>SUM(($N$69+$N$72))</f>
        <v>25000</v>
      </c>
      <c r="O74" s="150">
        <f>SUM(($O$69+$O$72))</f>
        <v>25000</v>
      </c>
      <c r="P74" s="150">
        <f>SUM(($P$69+$P$72))</f>
        <v>25000</v>
      </c>
      <c r="Q74" s="150">
        <f>SUM(($Q$69+$Q$72))</f>
        <v>25000</v>
      </c>
      <c r="R74" s="150">
        <f>SUM(($R$69+$R$72))</f>
        <v>25000</v>
      </c>
      <c r="S74" s="150">
        <f>SUM(($S$69+$S$72))</f>
        <v>5000</v>
      </c>
      <c r="T74" s="150">
        <f>SUM(($T$69+$T$72))</f>
        <v>5000</v>
      </c>
      <c r="U74" s="150">
        <f>SUM(($U$69+$U$72))</f>
        <v>5000</v>
      </c>
      <c r="V74" s="150">
        <f>SUM(($V$69+$V$72))</f>
        <v>5000</v>
      </c>
      <c r="W74" s="150">
        <f>SUM(($W$69+$W$72))</f>
        <v>5000</v>
      </c>
      <c r="X74" s="150">
        <f>SUM(($X$69+$X$72))</f>
        <v>5000</v>
      </c>
      <c r="Y74" s="150">
        <f>SUM(($Y$69+$Y$72))</f>
        <v>5000</v>
      </c>
      <c r="Z74" s="150">
        <f>SUM(($Z$69+$Z$72))</f>
        <v>0</v>
      </c>
      <c r="AA74" s="151">
        <f>SUM(($AA$69+$AA$72))</f>
        <v>560000</v>
      </c>
    </row>
    <row r="76" spans="1:27" ht="12" customHeight="1" x14ac:dyDescent="0.2">
      <c r="A76" s="142" t="s">
        <v>192</v>
      </c>
    </row>
    <row r="77" spans="1:27" ht="11.25" customHeight="1" x14ac:dyDescent="0.2">
      <c r="A77" s="143" t="s">
        <v>197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f>SUM($C$77:$Z$77)</f>
        <v>265000</v>
      </c>
    </row>
    <row r="78" spans="1:27" ht="11.25" customHeight="1" x14ac:dyDescent="0.2">
      <c r="A78" s="143" t="s">
        <v>198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f>SUM($C$78:$Z$78)</f>
        <v>0</v>
      </c>
    </row>
    <row r="79" spans="1:27" ht="11.25" customHeight="1" x14ac:dyDescent="0.2">
      <c r="A79" s="143" t="s">
        <v>200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f>SUM($C$79:$Z$79)</f>
        <v>295000</v>
      </c>
    </row>
    <row r="80" spans="1:27" ht="11.25" customHeight="1" x14ac:dyDescent="0.2">
      <c r="A80" s="143" t="s">
        <v>199</v>
      </c>
      <c r="C80" s="145">
        <f>SUM($C$77:$C$79)</f>
        <v>30000</v>
      </c>
      <c r="D80" s="145">
        <f>SUM($D$77:$D$79)</f>
        <v>30000</v>
      </c>
      <c r="E80" s="145">
        <f>SUM($E$77:$E$79)</f>
        <v>20000</v>
      </c>
      <c r="F80" s="145">
        <f>SUM($F$77:$F$79)</f>
        <v>10000</v>
      </c>
      <c r="G80" s="145">
        <f>SUM($G$77:$G$79)</f>
        <v>20000</v>
      </c>
      <c r="H80" s="145">
        <f>SUM($H$77:$H$79)</f>
        <v>35000</v>
      </c>
      <c r="I80" s="145">
        <f>SUM($I$77:$I$79)</f>
        <v>35000</v>
      </c>
      <c r="J80" s="145">
        <f>SUM($J$77:$J$79)</f>
        <v>55000</v>
      </c>
      <c r="K80" s="145">
        <f>SUM($K$77:$K$79)</f>
        <v>55000</v>
      </c>
      <c r="L80" s="145">
        <f>SUM($L$77:$L$79)</f>
        <v>55000</v>
      </c>
      <c r="M80" s="145">
        <f>SUM($M$77:$M$79)</f>
        <v>55000</v>
      </c>
      <c r="N80" s="145">
        <f>SUM($N$77:$N$79)</f>
        <v>25000</v>
      </c>
      <c r="O80" s="145">
        <f>SUM($O$77:$O$79)</f>
        <v>25000</v>
      </c>
      <c r="P80" s="145">
        <f>SUM($P$77:$P$79)</f>
        <v>25000</v>
      </c>
      <c r="Q80" s="145">
        <f>SUM($Q$77:$Q$79)</f>
        <v>25000</v>
      </c>
      <c r="R80" s="145">
        <f>SUM($R$77:$R$79)</f>
        <v>25000</v>
      </c>
      <c r="S80" s="145">
        <f>SUM($S$77:$S$79)</f>
        <v>5000</v>
      </c>
      <c r="T80" s="145">
        <f>SUM($T$77:$T$79)</f>
        <v>5000</v>
      </c>
      <c r="U80" s="145">
        <f>SUM($U$77:$U$79)</f>
        <v>5000</v>
      </c>
      <c r="V80" s="145">
        <f>SUM($V$77:$V$79)</f>
        <v>5000</v>
      </c>
      <c r="W80" s="145">
        <f>SUM($W$77:$W$79)</f>
        <v>5000</v>
      </c>
      <c r="X80" s="145">
        <f>SUM($X$77:$X$79)</f>
        <v>5000</v>
      </c>
      <c r="Y80" s="145">
        <f>SUM($Y$77:$Y$79)</f>
        <v>5000</v>
      </c>
      <c r="Z80" s="145">
        <f>SUM($Z$77:$Z$79)</f>
        <v>0</v>
      </c>
      <c r="AA80" s="145">
        <f>SUM($AA$77:$AA$79)</f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197</v>
      </c>
      <c r="C83" s="144">
        <f>SUM(($C$67-$C$77))</f>
        <v>0</v>
      </c>
      <c r="D83" s="144">
        <f>SUM(($D$67-$D$77))</f>
        <v>0</v>
      </c>
      <c r="E83" s="144">
        <f>SUM(($E$67-$E$77))</f>
        <v>0</v>
      </c>
      <c r="F83" s="144">
        <f>SUM(($F$67-$F$77))</f>
        <v>0</v>
      </c>
      <c r="G83" s="144">
        <f>SUM(($G$67-$G$77))</f>
        <v>0</v>
      </c>
      <c r="H83" s="144">
        <f>SUM(($H$67-$H$77))</f>
        <v>0</v>
      </c>
      <c r="I83" s="144">
        <f>SUM(($I$67-$I$77))</f>
        <v>0</v>
      </c>
      <c r="J83" s="144">
        <f>SUM(($J$67-$J$77))</f>
        <v>0</v>
      </c>
      <c r="K83" s="144">
        <f>SUM(($K$67-$K$77))</f>
        <v>0</v>
      </c>
      <c r="L83" s="144">
        <f>SUM(($L$67-$L$77))</f>
        <v>0</v>
      </c>
      <c r="M83" s="144">
        <f>SUM(($M$67-$M$77))</f>
        <v>0</v>
      </c>
      <c r="N83" s="144">
        <f>SUM(($N$67-$N$77))</f>
        <v>0</v>
      </c>
      <c r="O83" s="144">
        <f>SUM(($O$67-$O$77))</f>
        <v>0</v>
      </c>
      <c r="P83" s="144">
        <f>SUM(($P$67-$P$77))</f>
        <v>0</v>
      </c>
      <c r="Q83" s="144">
        <f>SUM(($Q$67-$Q$77))</f>
        <v>0</v>
      </c>
      <c r="R83" s="144">
        <f>SUM(($R$67-$R$77))</f>
        <v>0</v>
      </c>
      <c r="S83" s="144">
        <f>SUM(($S$67-$S$77))</f>
        <v>0</v>
      </c>
      <c r="T83" s="144">
        <f>SUM(($T$67-$T$77))</f>
        <v>0</v>
      </c>
      <c r="U83" s="144">
        <f>SUM(($U$67-$U$77))</f>
        <v>0</v>
      </c>
      <c r="V83" s="144">
        <f>SUM(($V$67-$V$77))</f>
        <v>0</v>
      </c>
      <c r="W83" s="144">
        <f>SUM(($W$67-$W$77))</f>
        <v>0</v>
      </c>
      <c r="X83" s="144">
        <f>SUM(($X$67-$X$77))</f>
        <v>0</v>
      </c>
      <c r="Y83" s="144">
        <f>SUM(($Y$67-$Y$77))</f>
        <v>0</v>
      </c>
      <c r="Z83" s="144">
        <f>SUM(($Z$67-$Z$77))</f>
        <v>0</v>
      </c>
      <c r="AA83" s="144">
        <f>SUM(($AA$67-$AA$77))</f>
        <v>0</v>
      </c>
    </row>
    <row r="84" spans="1:27" ht="11.25" customHeight="1" x14ac:dyDescent="0.2">
      <c r="A84" s="143" t="s">
        <v>198</v>
      </c>
      <c r="C84" s="144">
        <f>SUM(($C$68-$C$78))</f>
        <v>0</v>
      </c>
      <c r="D84" s="144">
        <f>SUM(($D$68-$D$78))</f>
        <v>0</v>
      </c>
      <c r="E84" s="144">
        <f>SUM(($E$68-$E$78))</f>
        <v>0</v>
      </c>
      <c r="F84" s="144">
        <f>SUM(($F$68-$F$78))</f>
        <v>0</v>
      </c>
      <c r="G84" s="144">
        <f>SUM(($G$68-$G$78))</f>
        <v>0</v>
      </c>
      <c r="H84" s="144">
        <f>SUM(($H$68-$H$78))</f>
        <v>0</v>
      </c>
      <c r="I84" s="144">
        <f>SUM(($I$68-$I$78))</f>
        <v>0</v>
      </c>
      <c r="J84" s="144">
        <f>SUM(($J$68-$J$78))</f>
        <v>0</v>
      </c>
      <c r="K84" s="144">
        <f>SUM(($K$68-$K$78))</f>
        <v>0</v>
      </c>
      <c r="L84" s="144">
        <f>SUM(($L$68-$L$78))</f>
        <v>0</v>
      </c>
      <c r="M84" s="144">
        <f>SUM(($M$68-$M$78))</f>
        <v>0</v>
      </c>
      <c r="N84" s="144">
        <f>SUM(($N$68-$N$78))</f>
        <v>0</v>
      </c>
      <c r="O84" s="144">
        <f>SUM(($O$68-$O$78))</f>
        <v>0</v>
      </c>
      <c r="P84" s="144">
        <f>SUM(($P$68-$P$78))</f>
        <v>0</v>
      </c>
      <c r="Q84" s="144">
        <f>SUM(($Q$68-$Q$78))</f>
        <v>0</v>
      </c>
      <c r="R84" s="144">
        <f>SUM(($R$68-$R$78))</f>
        <v>0</v>
      </c>
      <c r="S84" s="144">
        <f>SUM(($S$68-$S$78))</f>
        <v>0</v>
      </c>
      <c r="T84" s="144">
        <f>SUM(($T$68-$T$78))</f>
        <v>0</v>
      </c>
      <c r="U84" s="144">
        <f>SUM(($U$68-$U$78))</f>
        <v>0</v>
      </c>
      <c r="V84" s="144">
        <f>SUM(($V$68-$V$78))</f>
        <v>0</v>
      </c>
      <c r="W84" s="144">
        <f>SUM(($W$68-$W$78))</f>
        <v>0</v>
      </c>
      <c r="X84" s="144">
        <f>SUM(($X$68-$X$78))</f>
        <v>0</v>
      </c>
      <c r="Y84" s="144">
        <f>SUM(($Y$68-$Y$78))</f>
        <v>0</v>
      </c>
      <c r="Z84" s="144">
        <f>SUM(($Z$68-$Z$78))</f>
        <v>0</v>
      </c>
      <c r="AA84" s="144">
        <f>SUM(($AA$68-$AA$78))</f>
        <v>0</v>
      </c>
    </row>
    <row r="85" spans="1:27" ht="11.25" customHeight="1" x14ac:dyDescent="0.2">
      <c r="A85" s="143" t="s">
        <v>200</v>
      </c>
      <c r="C85" s="144">
        <f>SUM(($C$72-$C$79))</f>
        <v>0</v>
      </c>
      <c r="D85" s="144">
        <f>SUM(($D$72-$D$79))</f>
        <v>0</v>
      </c>
      <c r="E85" s="144">
        <f>SUM(($E$72-$E$79))</f>
        <v>0</v>
      </c>
      <c r="F85" s="144">
        <f>SUM(($F$72-$F$79))</f>
        <v>0</v>
      </c>
      <c r="G85" s="144">
        <f>SUM(($G$72-$G$79))</f>
        <v>0</v>
      </c>
      <c r="H85" s="144">
        <f>SUM(($H$72-$H$79))</f>
        <v>0</v>
      </c>
      <c r="I85" s="144">
        <f>SUM(($I$72-$I$79))</f>
        <v>0</v>
      </c>
      <c r="J85" s="144">
        <f>SUM(($J$72-$J$79))</f>
        <v>0</v>
      </c>
      <c r="K85" s="144">
        <f>SUM(($K$72-$K$79))</f>
        <v>0</v>
      </c>
      <c r="L85" s="144">
        <f>SUM(($L$72-$L$79))</f>
        <v>0</v>
      </c>
      <c r="M85" s="144">
        <f>SUM(($M$72-$M$79))</f>
        <v>0</v>
      </c>
      <c r="N85" s="144">
        <f>SUM(($N$72-$N$79))</f>
        <v>0</v>
      </c>
      <c r="O85" s="144">
        <f>SUM(($O$72-$O$79))</f>
        <v>0</v>
      </c>
      <c r="P85" s="144">
        <f>SUM(($P$72-$P$79))</f>
        <v>0</v>
      </c>
      <c r="Q85" s="144">
        <f>SUM(($Q$72-$Q$79))</f>
        <v>0</v>
      </c>
      <c r="R85" s="144">
        <f>SUM(($R$72-$R$79))</f>
        <v>0</v>
      </c>
      <c r="S85" s="144">
        <f>SUM(($S$72-$S$79))</f>
        <v>0</v>
      </c>
      <c r="T85" s="144">
        <f>SUM(($T$72-$T$79))</f>
        <v>0</v>
      </c>
      <c r="U85" s="144">
        <f>SUM(($U$72-$U$79))</f>
        <v>0</v>
      </c>
      <c r="V85" s="144">
        <f>SUM(($V$72-$V$79))</f>
        <v>0</v>
      </c>
      <c r="W85" s="144">
        <f>SUM(($W$72-$W$79))</f>
        <v>0</v>
      </c>
      <c r="X85" s="144">
        <f>SUM(($X$72-$X$79))</f>
        <v>0</v>
      </c>
      <c r="Y85" s="144">
        <f>SUM(($Y$72-$Y$79))</f>
        <v>0</v>
      </c>
      <c r="Z85" s="144">
        <f>SUM(($Z$72-$Z$79))</f>
        <v>0</v>
      </c>
      <c r="AA85" s="144">
        <f>SUM(($AA$72-$AA$79))</f>
        <v>0</v>
      </c>
    </row>
    <row r="86" spans="1:27" ht="11.25" customHeight="1" x14ac:dyDescent="0.2">
      <c r="A86" s="143" t="s">
        <v>199</v>
      </c>
      <c r="C86" s="145">
        <f>SUM($C$83:$C$85)</f>
        <v>0</v>
      </c>
      <c r="D86" s="145">
        <f>SUM($D$83:$D$85)</f>
        <v>0</v>
      </c>
      <c r="E86" s="145">
        <f>SUM($E$83:$E$85)</f>
        <v>0</v>
      </c>
      <c r="F86" s="145">
        <f>SUM($F$83:$F$85)</f>
        <v>0</v>
      </c>
      <c r="G86" s="145">
        <f>SUM($G$83:$G$85)</f>
        <v>0</v>
      </c>
      <c r="H86" s="145">
        <f>SUM($H$83:$H$85)</f>
        <v>0</v>
      </c>
      <c r="I86" s="145">
        <f>SUM($I$83:$I$85)</f>
        <v>0</v>
      </c>
      <c r="J86" s="145">
        <f>SUM($J$83:$J$85)</f>
        <v>0</v>
      </c>
      <c r="K86" s="145">
        <f>SUM($K$83:$K$85)</f>
        <v>0</v>
      </c>
      <c r="L86" s="145">
        <f>SUM($L$83:$L$85)</f>
        <v>0</v>
      </c>
      <c r="M86" s="145">
        <f>SUM($M$83:$M$85)</f>
        <v>0</v>
      </c>
      <c r="N86" s="145">
        <f>SUM($N$83:$N$85)</f>
        <v>0</v>
      </c>
      <c r="O86" s="145">
        <f>SUM($O$83:$O$85)</f>
        <v>0</v>
      </c>
      <c r="P86" s="145">
        <f>SUM($P$83:$P$85)</f>
        <v>0</v>
      </c>
      <c r="Q86" s="145">
        <f>SUM($Q$83:$Q$85)</f>
        <v>0</v>
      </c>
      <c r="R86" s="145">
        <f>SUM($R$83:$R$85)</f>
        <v>0</v>
      </c>
      <c r="S86" s="145">
        <f>SUM($S$83:$S$85)</f>
        <v>0</v>
      </c>
      <c r="T86" s="145">
        <f>SUM($T$83:$T$85)</f>
        <v>0</v>
      </c>
      <c r="U86" s="145">
        <f>SUM($U$83:$U$85)</f>
        <v>0</v>
      </c>
      <c r="V86" s="145">
        <f>SUM($V$83:$V$85)</f>
        <v>0</v>
      </c>
      <c r="W86" s="145">
        <f>SUM($W$83:$W$85)</f>
        <v>0</v>
      </c>
      <c r="X86" s="145">
        <f>SUM($X$83:$X$85)</f>
        <v>0</v>
      </c>
      <c r="Y86" s="145">
        <f>SUM($Y$83:$Y$85)</f>
        <v>0</v>
      </c>
      <c r="Z86" s="145">
        <f>SUM($Z$83:$Z$85)</f>
        <v>0</v>
      </c>
      <c r="AA86" s="145">
        <f>SUM($AA$83:$AA$85)</f>
        <v>0</v>
      </c>
    </row>
    <row r="88" spans="1:27" ht="12" customHeight="1" x14ac:dyDescent="0.2">
      <c r="A88" s="142" t="s">
        <v>193</v>
      </c>
    </row>
    <row r="89" spans="1:27" ht="11.25" customHeight="1" x14ac:dyDescent="0.2">
      <c r="A89" s="143" t="s">
        <v>42</v>
      </c>
      <c r="C89" s="146">
        <v>2.29</v>
      </c>
      <c r="D89" s="146">
        <v>2.54</v>
      </c>
      <c r="E89" s="146">
        <v>2.58</v>
      </c>
      <c r="F89" s="146">
        <v>2.52</v>
      </c>
      <c r="G89" s="146">
        <v>2.41</v>
      </c>
      <c r="H89" s="146">
        <v>2.4500000000000002</v>
      </c>
      <c r="I89" s="146">
        <v>2.4900000000000002</v>
      </c>
      <c r="J89" s="146">
        <v>2.5299999999999998</v>
      </c>
      <c r="K89" s="146">
        <v>2.57</v>
      </c>
      <c r="L89" s="146">
        <v>2.58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192</v>
      </c>
      <c r="C90" s="146">
        <v>2.0299999999999998</v>
      </c>
      <c r="D90" s="146">
        <v>2.37</v>
      </c>
      <c r="E90" s="146">
        <v>2.42</v>
      </c>
      <c r="F90" s="146">
        <v>2.39</v>
      </c>
      <c r="G90" s="146">
        <v>2.27</v>
      </c>
      <c r="H90" s="146">
        <v>2.31</v>
      </c>
      <c r="I90" s="146">
        <v>2.36</v>
      </c>
      <c r="J90" s="146">
        <v>2.4</v>
      </c>
      <c r="K90" s="146">
        <v>2.44</v>
      </c>
      <c r="L90" s="146">
        <v>2.46</v>
      </c>
      <c r="M90" s="146">
        <v>2.5</v>
      </c>
      <c r="N90" s="146">
        <v>3</v>
      </c>
      <c r="O90" s="146">
        <v>3.2</v>
      </c>
      <c r="P90" s="146">
        <v>3.31</v>
      </c>
      <c r="Q90" s="146">
        <v>3.24</v>
      </c>
      <c r="R90" s="146">
        <v>3.15</v>
      </c>
      <c r="S90" s="146">
        <v>2.95</v>
      </c>
      <c r="T90" s="146">
        <v>2.96</v>
      </c>
      <c r="U90" s="146">
        <v>2.99</v>
      </c>
      <c r="V90" s="146">
        <v>3.04</v>
      </c>
      <c r="W90" s="146">
        <v>3.05</v>
      </c>
      <c r="X90" s="146">
        <v>3.06</v>
      </c>
      <c r="Y90" s="146">
        <v>3.1</v>
      </c>
      <c r="Z90" s="146">
        <v>3.52</v>
      </c>
      <c r="AA90" s="146"/>
    </row>
    <row r="91" spans="1:27" ht="11.25" customHeight="1" x14ac:dyDescent="0.2">
      <c r="A91" s="143" t="s">
        <v>0</v>
      </c>
      <c r="C91" s="147">
        <f>SUM(($C$89-$C$90))</f>
        <v>0.26000000000000023</v>
      </c>
      <c r="D91" s="147">
        <f>SUM(($D$89-$D$90))</f>
        <v>0.16999999999999993</v>
      </c>
      <c r="E91" s="147">
        <f>SUM(($E$89-$E$90))</f>
        <v>0.16000000000000014</v>
      </c>
      <c r="F91" s="147">
        <f>SUM(($F$89-$F$90))</f>
        <v>0.12999999999999989</v>
      </c>
      <c r="G91" s="147">
        <f>SUM(($G$89-$G$90))</f>
        <v>0.14000000000000012</v>
      </c>
      <c r="H91" s="147">
        <f>SUM(($H$89-$H$90))</f>
        <v>0.14000000000000012</v>
      </c>
      <c r="I91" s="147">
        <f>SUM(($I$89-$I$90))</f>
        <v>0.13000000000000034</v>
      </c>
      <c r="J91" s="147">
        <f>SUM(($J$89-$J$90))</f>
        <v>0.12999999999999989</v>
      </c>
      <c r="K91" s="147">
        <f>SUM(($K$89-$K$90))</f>
        <v>0.12999999999999989</v>
      </c>
      <c r="L91" s="147">
        <f>SUM(($L$89-$L$90))</f>
        <v>0.12000000000000011</v>
      </c>
      <c r="M91" s="147">
        <f>SUM(($M$89-$M$90))</f>
        <v>0.12000000000000011</v>
      </c>
      <c r="N91" s="147">
        <f>SUM(($N$89-$N$90))</f>
        <v>0.10999999999999988</v>
      </c>
      <c r="O91" s="147">
        <f>SUM(($O$89-$O$90))</f>
        <v>8.9999999999999858E-2</v>
      </c>
      <c r="P91" s="147">
        <f>SUM(($P$89-$P$90))</f>
        <v>8.9999999999999858E-2</v>
      </c>
      <c r="Q91" s="147">
        <f>SUM(($Q$89-$Q$90))</f>
        <v>8.9999999999999858E-2</v>
      </c>
      <c r="R91" s="147">
        <f>SUM(($R$89-$R$90))</f>
        <v>7.0000000000000284E-2</v>
      </c>
      <c r="S91" s="147">
        <f>SUM(($S$89-$S$90))</f>
        <v>5.9999999999999609E-2</v>
      </c>
      <c r="T91" s="147">
        <f>SUM(($T$89-$T$90))</f>
        <v>6.0000000000000053E-2</v>
      </c>
      <c r="U91" s="147">
        <f>SUM(($U$89-$U$90))</f>
        <v>5.9999999999999609E-2</v>
      </c>
      <c r="V91" s="147">
        <f>SUM(($V$89-$V$90))</f>
        <v>4.0000000000000036E-2</v>
      </c>
      <c r="W91" s="147">
        <f>SUM(($W$89-$W$90))</f>
        <v>6.0000000000000053E-2</v>
      </c>
      <c r="X91" s="147">
        <f>SUM(($X$89-$X$90))</f>
        <v>6.0000000000000053E-2</v>
      </c>
      <c r="Y91" s="147">
        <f>SUM(($Y$89-$Y$90))</f>
        <v>6.0000000000000053E-2</v>
      </c>
      <c r="Z91" s="147">
        <f>SUM(($Z$89-$Z$90))</f>
        <v>4.9999999999999822E-2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194</v>
      </c>
    </row>
    <row r="98" spans="1:27" ht="11.25" customHeight="1" x14ac:dyDescent="0.2">
      <c r="A98" s="143" t="s">
        <v>195</v>
      </c>
      <c r="C98" s="144">
        <v>-1437304</v>
      </c>
      <c r="D98" s="144">
        <v>-1201278</v>
      </c>
      <c r="E98" s="144">
        <v>-778664</v>
      </c>
      <c r="F98" s="144">
        <v>-715517</v>
      </c>
      <c r="G98" s="144">
        <v>-1007266</v>
      </c>
      <c r="H98" s="144">
        <v>-1267639</v>
      </c>
      <c r="I98" s="144">
        <v>-1181562</v>
      </c>
      <c r="J98" s="144">
        <v>-1628903</v>
      </c>
      <c r="K98" s="144">
        <v>-1557079</v>
      </c>
      <c r="L98" s="144">
        <v>-1485787</v>
      </c>
      <c r="M98" s="144">
        <v>-1464145</v>
      </c>
      <c r="N98" s="144">
        <v>-1028470</v>
      </c>
      <c r="O98" s="144">
        <v>-924261</v>
      </c>
      <c r="P98" s="144">
        <v>-838263</v>
      </c>
      <c r="Q98" s="144">
        <v>-799987</v>
      </c>
      <c r="R98" s="144">
        <v>-961766</v>
      </c>
      <c r="S98" s="144">
        <v>52158</v>
      </c>
      <c r="T98" s="144">
        <v>55033</v>
      </c>
      <c r="U98" s="144">
        <v>57108</v>
      </c>
      <c r="V98" s="144">
        <v>62903</v>
      </c>
      <c r="W98" s="144">
        <v>66826</v>
      </c>
      <c r="X98" s="144">
        <v>65678</v>
      </c>
      <c r="Y98" s="144">
        <v>73114</v>
      </c>
      <c r="Z98" s="144">
        <v>0</v>
      </c>
      <c r="AA98" s="144">
        <f>SUM($C$98:$Z$98)</f>
        <v>-17845071</v>
      </c>
    </row>
    <row r="99" spans="1:27" ht="11.25" customHeight="1" thickBot="1" x14ac:dyDescent="0.25">
      <c r="A99" s="143" t="s">
        <v>201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f>SUM($C$99:$Z$99)</f>
        <v>0</v>
      </c>
    </row>
    <row r="100" spans="1:27" ht="11.25" customHeight="1" thickBot="1" x14ac:dyDescent="0.25">
      <c r="A100" s="148" t="s">
        <v>189</v>
      </c>
      <c r="B100" s="149"/>
      <c r="C100" s="150">
        <f>SUM($C$98:$C$99)</f>
        <v>-1437304</v>
      </c>
      <c r="D100" s="150">
        <f>SUM($D$98:$D$99)</f>
        <v>-1201278</v>
      </c>
      <c r="E100" s="150">
        <f>SUM($E$98:$E$99)</f>
        <v>-778664</v>
      </c>
      <c r="F100" s="150">
        <f>SUM($F$98:$F$99)</f>
        <v>-715517</v>
      </c>
      <c r="G100" s="150">
        <f>SUM($G$98:$G$99)</f>
        <v>-1007266</v>
      </c>
      <c r="H100" s="150">
        <f>SUM($H$98:$H$99)</f>
        <v>-1267639</v>
      </c>
      <c r="I100" s="150">
        <f>SUM($I$98:$I$99)</f>
        <v>-1181562</v>
      </c>
      <c r="J100" s="150">
        <f>SUM($J$98:$J$99)</f>
        <v>-1628903</v>
      </c>
      <c r="K100" s="150">
        <f>SUM($K$98:$K$99)</f>
        <v>-1557079</v>
      </c>
      <c r="L100" s="150">
        <f>SUM($L$98:$L$99)</f>
        <v>-1485787</v>
      </c>
      <c r="M100" s="150">
        <f>SUM($M$98:$M$99)</f>
        <v>-1464145</v>
      </c>
      <c r="N100" s="150">
        <f>SUM($N$98:$N$99)</f>
        <v>-1028470</v>
      </c>
      <c r="O100" s="150">
        <f>SUM($O$98:$O$99)</f>
        <v>-924261</v>
      </c>
      <c r="P100" s="150">
        <f>SUM($P$98:$P$99)</f>
        <v>-838263</v>
      </c>
      <c r="Q100" s="150">
        <f>SUM($Q$98:$Q$99)</f>
        <v>-799987</v>
      </c>
      <c r="R100" s="150">
        <f>SUM($R$98:$R$99)</f>
        <v>-961766</v>
      </c>
      <c r="S100" s="150">
        <f>SUM($S$98:$S$99)</f>
        <v>52158</v>
      </c>
      <c r="T100" s="150">
        <f>SUM($T$98:$T$99)</f>
        <v>55033</v>
      </c>
      <c r="U100" s="150">
        <f>SUM($U$98:$U$99)</f>
        <v>57108</v>
      </c>
      <c r="V100" s="150">
        <f>SUM($V$98:$V$99)</f>
        <v>62903</v>
      </c>
      <c r="W100" s="150">
        <f>SUM($W$98:$W$99)</f>
        <v>66826</v>
      </c>
      <c r="X100" s="150">
        <f>SUM($X$98:$X$99)</f>
        <v>65678</v>
      </c>
      <c r="Y100" s="150">
        <f>SUM($Y$98:$Y$99)</f>
        <v>73114</v>
      </c>
      <c r="Z100" s="150">
        <f>SUM($Z$98:$Z$99)</f>
        <v>0</v>
      </c>
      <c r="AA100" s="151">
        <f>SUM($AA$98:$AA$99)</f>
        <v>-17845071</v>
      </c>
    </row>
    <row r="101" spans="1:27" ht="11.25" customHeight="1" x14ac:dyDescent="0.2">
      <c r="A101" s="143" t="s">
        <v>2</v>
      </c>
      <c r="C101" s="144">
        <v>-1678279</v>
      </c>
      <c r="D101" s="144">
        <v>-1358263</v>
      </c>
      <c r="E101" s="144">
        <v>-867315</v>
      </c>
      <c r="F101" s="144">
        <v>-755169</v>
      </c>
      <c r="G101" s="144">
        <v>-1089790</v>
      </c>
      <c r="H101" s="144">
        <v>-1416557</v>
      </c>
      <c r="I101" s="144">
        <v>-1314928</v>
      </c>
      <c r="J101" s="144">
        <v>-1844856</v>
      </c>
      <c r="K101" s="144">
        <v>-1772332</v>
      </c>
      <c r="L101" s="144">
        <v>-1677395</v>
      </c>
      <c r="M101" s="144">
        <v>-1661485</v>
      </c>
      <c r="N101" s="144">
        <v>-1107617</v>
      </c>
      <c r="O101" s="144">
        <v>-990856</v>
      </c>
      <c r="P101" s="144">
        <v>-904542</v>
      </c>
      <c r="Q101" s="144">
        <v>-859535</v>
      </c>
      <c r="R101" s="144">
        <v>-1012674</v>
      </c>
      <c r="S101" s="144">
        <v>43684</v>
      </c>
      <c r="T101" s="144">
        <v>46325</v>
      </c>
      <c r="U101" s="144">
        <v>48731</v>
      </c>
      <c r="V101" s="144">
        <v>57161</v>
      </c>
      <c r="W101" s="144">
        <v>58270</v>
      </c>
      <c r="X101" s="144">
        <v>57444</v>
      </c>
      <c r="Y101" s="144">
        <v>64650</v>
      </c>
      <c r="Z101" s="144">
        <v>0</v>
      </c>
      <c r="AA101" s="144">
        <f>SUM($C$101:$Z$101)</f>
        <v>-19935328</v>
      </c>
    </row>
    <row r="102" spans="1:27" ht="11.25" customHeight="1" x14ac:dyDescent="0.2">
      <c r="A102" s="143" t="s">
        <v>0</v>
      </c>
      <c r="C102" s="145">
        <f>SUM(($C$100-$C$101))</f>
        <v>240975</v>
      </c>
      <c r="D102" s="145">
        <f>SUM(($D$100-$D$101))</f>
        <v>156985</v>
      </c>
      <c r="E102" s="145">
        <f>SUM(($E$100-$E$101))</f>
        <v>88651</v>
      </c>
      <c r="F102" s="145">
        <f>SUM(($F$100-$F$101))</f>
        <v>39652</v>
      </c>
      <c r="G102" s="145">
        <f>SUM(($G$100-$G$101))</f>
        <v>82524</v>
      </c>
      <c r="H102" s="145">
        <f>SUM(($H$100-$H$101))</f>
        <v>148918</v>
      </c>
      <c r="I102" s="145">
        <f>SUM(($I$100-$I$101))</f>
        <v>133366</v>
      </c>
      <c r="J102" s="145">
        <f>SUM(($J$100-$J$101))</f>
        <v>215953</v>
      </c>
      <c r="K102" s="145">
        <f>SUM(($K$100-$K$101))</f>
        <v>215253</v>
      </c>
      <c r="L102" s="145">
        <f>SUM(($L$100-$L$101))</f>
        <v>191608</v>
      </c>
      <c r="M102" s="145">
        <f>SUM(($M$100-$M$101))</f>
        <v>197340</v>
      </c>
      <c r="N102" s="145">
        <f>SUM(($N$100-$N$101))</f>
        <v>79147</v>
      </c>
      <c r="O102" s="145">
        <f>SUM(($O$100-$O$101))</f>
        <v>66595</v>
      </c>
      <c r="P102" s="145">
        <f>SUM(($P$100-$P$101))</f>
        <v>66279</v>
      </c>
      <c r="Q102" s="145">
        <f>SUM(($Q$100-$Q$101))</f>
        <v>59548</v>
      </c>
      <c r="R102" s="145">
        <f>SUM(($R$100-$R$101))</f>
        <v>50908</v>
      </c>
      <c r="S102" s="145">
        <f>SUM(($S$100-$S$101))</f>
        <v>8474</v>
      </c>
      <c r="T102" s="145">
        <f>SUM(($T$100-$T$101))</f>
        <v>8708</v>
      </c>
      <c r="U102" s="145">
        <f>SUM(($U$100-$U$101))</f>
        <v>8377</v>
      </c>
      <c r="V102" s="145">
        <f>SUM(($V$100-$V$101))</f>
        <v>5742</v>
      </c>
      <c r="W102" s="145">
        <f>SUM(($W$100-$W$101))</f>
        <v>8556</v>
      </c>
      <c r="X102" s="145">
        <f>SUM(($X$100-$X$101))</f>
        <v>8234</v>
      </c>
      <c r="Y102" s="145">
        <f>SUM(($Y$100-$Y$101))</f>
        <v>8464</v>
      </c>
      <c r="Z102" s="145">
        <f>SUM(($Z$100-$Z$101))</f>
        <v>0</v>
      </c>
      <c r="AA102" s="145">
        <f>SUM(($AA$100-$AA$101))</f>
        <v>2090257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196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197</v>
      </c>
      <c r="C107" s="144">
        <f>55000</f>
        <v>55000</v>
      </c>
      <c r="D107" s="144">
        <f>55000</f>
        <v>55000</v>
      </c>
      <c r="E107" s="144">
        <f>55000</f>
        <v>55000</v>
      </c>
      <c r="F107" s="144">
        <f>45000</f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f>SUM($C$107:$Z$107)</f>
        <v>435000</v>
      </c>
    </row>
    <row r="108" spans="1:27" ht="11.25" customHeight="1" x14ac:dyDescent="0.2">
      <c r="A108" s="143" t="s">
        <v>198</v>
      </c>
      <c r="C108" s="144">
        <v>-49903</v>
      </c>
      <c r="D108" s="144">
        <v>-40774</v>
      </c>
      <c r="E108" s="144">
        <v>-37750</v>
      </c>
      <c r="F108" s="144">
        <v>-9742</v>
      </c>
      <c r="G108" s="144">
        <v>-8033</v>
      </c>
      <c r="H108" s="144">
        <v>-21677</v>
      </c>
      <c r="I108" s="144">
        <v>-26267</v>
      </c>
      <c r="J108" s="144">
        <v>-58935</v>
      </c>
      <c r="K108" s="144">
        <v>-64677</v>
      </c>
      <c r="L108" s="144">
        <v>-51533</v>
      </c>
      <c r="M108" s="144">
        <v>-41484</v>
      </c>
      <c r="N108" s="144">
        <v>-31567</v>
      </c>
      <c r="O108" s="144">
        <v>-36968</v>
      </c>
      <c r="P108" s="144">
        <v>-35387</v>
      </c>
      <c r="Q108" s="144">
        <v>-30321</v>
      </c>
      <c r="R108" s="144">
        <v>-21032</v>
      </c>
      <c r="S108" s="144">
        <v>-28467</v>
      </c>
      <c r="T108" s="144">
        <v>-19613</v>
      </c>
      <c r="U108" s="144">
        <v>-20567</v>
      </c>
      <c r="V108" s="144">
        <v>-47258</v>
      </c>
      <c r="W108" s="144">
        <v>-55097</v>
      </c>
      <c r="X108" s="144">
        <v>-47867</v>
      </c>
      <c r="Y108" s="144">
        <v>-35806</v>
      </c>
      <c r="Z108" s="144">
        <v>-31067</v>
      </c>
      <c r="AA108" s="144">
        <f>SUM($C$108:$Z$108)</f>
        <v>-851792</v>
      </c>
    </row>
    <row r="109" spans="1:27" ht="11.25" customHeight="1" x14ac:dyDescent="0.2">
      <c r="A109" s="143" t="s">
        <v>199</v>
      </c>
      <c r="C109" s="145">
        <f>SUM($C$107:$C$108)</f>
        <v>5097</v>
      </c>
      <c r="D109" s="145">
        <f>SUM($D$107:$D$108)</f>
        <v>14226</v>
      </c>
      <c r="E109" s="145">
        <f>SUM($E$107:$E$108)</f>
        <v>17250</v>
      </c>
      <c r="F109" s="145">
        <f>SUM($F$107:$F$108)</f>
        <v>35258</v>
      </c>
      <c r="G109" s="145">
        <f>SUM($G$107:$G$108)</f>
        <v>1967</v>
      </c>
      <c r="H109" s="145">
        <f>SUM($H$107:$H$108)</f>
        <v>-11677</v>
      </c>
      <c r="I109" s="145">
        <f>SUM($I$107:$I$108)</f>
        <v>-11267</v>
      </c>
      <c r="J109" s="145">
        <f>SUM($J$107:$J$108)</f>
        <v>-33935</v>
      </c>
      <c r="K109" s="145">
        <f>SUM($K$107:$K$108)</f>
        <v>-34677</v>
      </c>
      <c r="L109" s="145">
        <f>SUM($L$107:$L$108)</f>
        <v>-21533</v>
      </c>
      <c r="M109" s="145">
        <f>SUM($M$107:$M$108)</f>
        <v>-11484</v>
      </c>
      <c r="N109" s="145">
        <f>SUM($N$107:$N$108)</f>
        <v>-16567</v>
      </c>
      <c r="O109" s="145">
        <f>SUM($O$107:$O$108)</f>
        <v>-21968</v>
      </c>
      <c r="P109" s="145">
        <f>SUM($P$107:$P$108)</f>
        <v>-20387</v>
      </c>
      <c r="Q109" s="145">
        <f>SUM($Q$107:$Q$108)</f>
        <v>-15321</v>
      </c>
      <c r="R109" s="145">
        <f>SUM($R$107:$R$108)</f>
        <v>-6032</v>
      </c>
      <c r="S109" s="145">
        <f>SUM($S$107:$S$108)</f>
        <v>-28467</v>
      </c>
      <c r="T109" s="145">
        <f>SUM($T$107:$T$108)</f>
        <v>-19613</v>
      </c>
      <c r="U109" s="145">
        <f>SUM($U$107:$U$108)</f>
        <v>-20567</v>
      </c>
      <c r="V109" s="145">
        <f>SUM($V$107:$V$108)</f>
        <v>-47258</v>
      </c>
      <c r="W109" s="145">
        <f>SUM($W$107:$W$108)</f>
        <v>-55097</v>
      </c>
      <c r="X109" s="145">
        <f>SUM($X$107:$X$108)</f>
        <v>-47867</v>
      </c>
      <c r="Y109" s="145">
        <f>SUM($Y$107:$Y$108)</f>
        <v>-35806</v>
      </c>
      <c r="Z109" s="145">
        <f>SUM($Z$107:$Z$108)</f>
        <v>-31067</v>
      </c>
      <c r="AA109" s="145">
        <f>SUM($AA$107:$AA$108)</f>
        <v>-416792</v>
      </c>
    </row>
    <row r="110" spans="1:27" ht="13.5" customHeight="1" thickBot="1" x14ac:dyDescent="0.25"/>
    <row r="111" spans="1:27" ht="12" customHeight="1" thickBot="1" x14ac:dyDescent="0.25">
      <c r="A111" s="50" t="s">
        <v>200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200</v>
      </c>
      <c r="C112" s="144">
        <f>10000-25000</f>
        <v>-15000</v>
      </c>
      <c r="D112" s="144">
        <f>10000-25000</f>
        <v>-15000</v>
      </c>
      <c r="E112" s="144">
        <f>10000-25000</f>
        <v>-15000</v>
      </c>
      <c r="F112" s="144">
        <f>-20000-25000</f>
        <v>-45000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f>SUM($C$112:$Z$112)</f>
        <v>-65000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199</v>
      </c>
      <c r="B114" s="149"/>
      <c r="C114" s="150">
        <f>SUM(($C$109+$C$112))</f>
        <v>-9903</v>
      </c>
      <c r="D114" s="150">
        <f>SUM(($D$109+$D$112))</f>
        <v>-774</v>
      </c>
      <c r="E114" s="150">
        <f>SUM(($E$109+$E$112))</f>
        <v>2250</v>
      </c>
      <c r="F114" s="150">
        <f>SUM(($F$109+$F$112))</f>
        <v>-9742</v>
      </c>
      <c r="G114" s="150">
        <f>SUM(($G$109+$G$112))</f>
        <v>-13033</v>
      </c>
      <c r="H114" s="150">
        <f>SUM(($H$109+$H$112))</f>
        <v>-26677</v>
      </c>
      <c r="I114" s="150">
        <f>SUM(($I$109+$I$112))</f>
        <v>-11267</v>
      </c>
      <c r="J114" s="150">
        <f>SUM(($J$109+$J$112))</f>
        <v>-38935</v>
      </c>
      <c r="K114" s="150">
        <f>SUM(($K$109+$K$112))</f>
        <v>-39677</v>
      </c>
      <c r="L114" s="150">
        <f>SUM(($L$109+$L$112))</f>
        <v>-26533</v>
      </c>
      <c r="M114" s="150">
        <f>SUM(($M$109+$M$112))</f>
        <v>-16484</v>
      </c>
      <c r="N114" s="150">
        <f>SUM(($N$109+$N$112))</f>
        <v>-6567</v>
      </c>
      <c r="O114" s="150">
        <f>SUM(($O$109+$O$112))</f>
        <v>-11968</v>
      </c>
      <c r="P114" s="150">
        <f>SUM(($P$109+$P$112))</f>
        <v>-10387</v>
      </c>
      <c r="Q114" s="150">
        <f>SUM(($Q$109+$Q$112))</f>
        <v>-10321</v>
      </c>
      <c r="R114" s="150">
        <f>SUM(($R$109+$R$112))</f>
        <v>-1032</v>
      </c>
      <c r="S114" s="150">
        <f>SUM(($S$109+$S$112))</f>
        <v>-23467</v>
      </c>
      <c r="T114" s="150">
        <f>SUM(($T$109+$T$112))</f>
        <v>-14613</v>
      </c>
      <c r="U114" s="150">
        <f>SUM(($U$109+$U$112))</f>
        <v>-15567</v>
      </c>
      <c r="V114" s="150">
        <f>SUM(($V$109+$V$112))</f>
        <v>-42258</v>
      </c>
      <c r="W114" s="150">
        <f>SUM(($W$109+$W$112))</f>
        <v>-50097</v>
      </c>
      <c r="X114" s="150">
        <f>SUM(($X$109+$X$112))</f>
        <v>-42867</v>
      </c>
      <c r="Y114" s="150">
        <f>SUM(($Y$109+$Y$112))</f>
        <v>-30806</v>
      </c>
      <c r="Z114" s="150">
        <f>SUM(($Z$109+$Z$112))</f>
        <v>-31067</v>
      </c>
      <c r="AA114" s="151">
        <f>SUM(($AA$109+$AA$112))</f>
        <v>-481792</v>
      </c>
    </row>
    <row r="116" spans="1:27" ht="12" customHeight="1" x14ac:dyDescent="0.2">
      <c r="A116" s="142" t="s">
        <v>192</v>
      </c>
    </row>
    <row r="117" spans="1:27" ht="11.25" customHeight="1" x14ac:dyDescent="0.2">
      <c r="A117" s="143" t="s">
        <v>197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f>SUM($C$117:$Z$117)</f>
        <v>435000</v>
      </c>
    </row>
    <row r="118" spans="1:27" ht="11.25" customHeight="1" x14ac:dyDescent="0.2">
      <c r="A118" s="143" t="s">
        <v>198</v>
      </c>
      <c r="C118" s="144">
        <v>-61451.620999999999</v>
      </c>
      <c r="D118" s="144">
        <v>-46258.040300000001</v>
      </c>
      <c r="E118" s="144">
        <v>-52035.690699999999</v>
      </c>
      <c r="F118" s="144">
        <v>-14483.8526</v>
      </c>
      <c r="G118" s="144">
        <v>-9333.34</v>
      </c>
      <c r="H118" s="144">
        <v>-23935.474200000001</v>
      </c>
      <c r="I118" s="144">
        <v>-27999.9863</v>
      </c>
      <c r="J118" s="144">
        <v>-61612.924200000001</v>
      </c>
      <c r="K118" s="144">
        <v>-66903.207399999999</v>
      </c>
      <c r="L118" s="144">
        <v>-53999.995999999999</v>
      </c>
      <c r="M118" s="144">
        <v>-44677.411899999999</v>
      </c>
      <c r="N118" s="144">
        <v>-33899.983</v>
      </c>
      <c r="O118" s="144">
        <v>-38741.924800000001</v>
      </c>
      <c r="P118" s="144">
        <v>-37322.584799999997</v>
      </c>
      <c r="Q118" s="144">
        <v>-32035.6793</v>
      </c>
      <c r="R118" s="144">
        <v>-22000.028699999999</v>
      </c>
      <c r="S118" s="144">
        <v>-29699.977999999999</v>
      </c>
      <c r="T118" s="144">
        <v>-20451.5926</v>
      </c>
      <c r="U118" s="144">
        <v>-21400.023000000001</v>
      </c>
      <c r="V118" s="144">
        <v>-47967.780599999998</v>
      </c>
      <c r="W118" s="144">
        <v>-56419.364500000003</v>
      </c>
      <c r="X118" s="144">
        <v>-49133.324999999997</v>
      </c>
      <c r="Y118" s="144">
        <v>-37000.010999999999</v>
      </c>
      <c r="Z118" s="144">
        <v>-32033.352999999999</v>
      </c>
      <c r="AA118" s="144">
        <f>SUM($C$118:$Z$118)</f>
        <v>-920797.17290000001</v>
      </c>
    </row>
    <row r="119" spans="1:27" ht="11.25" customHeight="1" x14ac:dyDescent="0.2">
      <c r="A119" s="143" t="s">
        <v>200</v>
      </c>
      <c r="C119" s="144">
        <f>15000-25000</f>
        <v>-10000</v>
      </c>
      <c r="D119" s="144">
        <f>15000-25000</f>
        <v>-10000</v>
      </c>
      <c r="E119" s="144">
        <f>15000-25000</f>
        <v>-10000</v>
      </c>
      <c r="F119" s="144">
        <f>-15000-25000</f>
        <v>-40000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f>SUM($C$119:$Z$119)</f>
        <v>-45000</v>
      </c>
    </row>
    <row r="120" spans="1:27" ht="11.25" customHeight="1" x14ac:dyDescent="0.2">
      <c r="A120" s="143" t="s">
        <v>199</v>
      </c>
      <c r="C120" s="145">
        <f>SUM($C$117:$C$119)</f>
        <v>-16451.620999999999</v>
      </c>
      <c r="D120" s="145">
        <f>SUM($D$117:$D$119)</f>
        <v>-1258.0403000000006</v>
      </c>
      <c r="E120" s="145">
        <f>SUM($E$117:$E$119)</f>
        <v>-7035.6906999999992</v>
      </c>
      <c r="F120" s="145">
        <f>SUM($F$117:$F$119)</f>
        <v>-9483.8525999999983</v>
      </c>
      <c r="G120" s="145">
        <f>SUM($G$117:$G$119)</f>
        <v>-14333.34</v>
      </c>
      <c r="H120" s="145">
        <f>SUM($H$117:$H$119)</f>
        <v>-28935.474200000001</v>
      </c>
      <c r="I120" s="145">
        <f>SUM($I$117:$I$119)</f>
        <v>-12999.9863</v>
      </c>
      <c r="J120" s="145">
        <f>SUM($J$117:$J$119)</f>
        <v>-41612.924200000001</v>
      </c>
      <c r="K120" s="145">
        <f>SUM($K$117:$K$119)</f>
        <v>-41903.207399999999</v>
      </c>
      <c r="L120" s="145">
        <f>SUM($L$117:$L$119)</f>
        <v>-28999.995999999999</v>
      </c>
      <c r="M120" s="145">
        <f>SUM($M$117:$M$119)</f>
        <v>-19677.411899999999</v>
      </c>
      <c r="N120" s="145">
        <f>SUM($N$117:$N$119)</f>
        <v>-8899.9830000000002</v>
      </c>
      <c r="O120" s="145">
        <f>SUM($O$117:$O$119)</f>
        <v>-13741.924800000001</v>
      </c>
      <c r="P120" s="145">
        <f>SUM($P$117:$P$119)</f>
        <v>-12322.584799999997</v>
      </c>
      <c r="Q120" s="145">
        <f>SUM($Q$117:$Q$119)</f>
        <v>-12035.6793</v>
      </c>
      <c r="R120" s="145">
        <f>SUM($R$117:$R$119)</f>
        <v>-2000.0286999999989</v>
      </c>
      <c r="S120" s="145">
        <f>SUM($S$117:$S$119)</f>
        <v>-24699.977999999999</v>
      </c>
      <c r="T120" s="145">
        <f>SUM($T$117:$T$119)</f>
        <v>-15451.5926</v>
      </c>
      <c r="U120" s="145">
        <f>SUM($U$117:$U$119)</f>
        <v>-16400.023000000001</v>
      </c>
      <c r="V120" s="145">
        <f>SUM($V$117:$V$119)</f>
        <v>-42967.780599999998</v>
      </c>
      <c r="W120" s="145">
        <f>SUM($W$117:$W$119)</f>
        <v>-51419.364500000003</v>
      </c>
      <c r="X120" s="145">
        <f>SUM($X$117:$X$119)</f>
        <v>-44133.324999999997</v>
      </c>
      <c r="Y120" s="145">
        <f>SUM($Y$117:$Y$119)</f>
        <v>-32000.010999999999</v>
      </c>
      <c r="Z120" s="145">
        <f>SUM($Z$117:$Z$119)</f>
        <v>-32033.352999999999</v>
      </c>
      <c r="AA120" s="145">
        <f>SUM($AA$117:$AA$119)</f>
        <v>-530797.17290000001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197</v>
      </c>
      <c r="C123" s="144">
        <f>SUM(($C$107-$C$117))</f>
        <v>0</v>
      </c>
      <c r="D123" s="144">
        <f>SUM(($D$107-$D$117))</f>
        <v>0</v>
      </c>
      <c r="E123" s="144">
        <f>SUM(($E$107-$E$117))</f>
        <v>0</v>
      </c>
      <c r="F123" s="144">
        <f>SUM(($F$107-$F$117))</f>
        <v>0</v>
      </c>
      <c r="G123" s="144">
        <f>SUM(($G$107-$G$117))</f>
        <v>0</v>
      </c>
      <c r="H123" s="144">
        <f>SUM(($H$107-$H$117))</f>
        <v>0</v>
      </c>
      <c r="I123" s="144">
        <f>SUM(($I$107-$I$117))</f>
        <v>0</v>
      </c>
      <c r="J123" s="144">
        <f>SUM(($J$107-$J$117))</f>
        <v>0</v>
      </c>
      <c r="K123" s="144">
        <f>SUM(($K$107-$K$117))</f>
        <v>0</v>
      </c>
      <c r="L123" s="144">
        <f>SUM(($L$107-$L$117))</f>
        <v>0</v>
      </c>
      <c r="M123" s="144">
        <f>SUM(($M$107-$M$117))</f>
        <v>0</v>
      </c>
      <c r="N123" s="144">
        <f>SUM(($N$107-$N$117))</f>
        <v>0</v>
      </c>
      <c r="O123" s="144">
        <f>SUM(($O$107-$O$117))</f>
        <v>0</v>
      </c>
      <c r="P123" s="144">
        <f>SUM(($P$107-$P$117))</f>
        <v>0</v>
      </c>
      <c r="Q123" s="144">
        <f>SUM(($Q$107-$Q$117))</f>
        <v>0</v>
      </c>
      <c r="R123" s="144">
        <f>SUM(($R$107-$R$117))</f>
        <v>0</v>
      </c>
      <c r="S123" s="144">
        <f>SUM(($S$107-$S$117))</f>
        <v>0</v>
      </c>
      <c r="T123" s="144">
        <f>SUM(($T$107-$T$117))</f>
        <v>0</v>
      </c>
      <c r="U123" s="144">
        <f>SUM(($U$107-$U$117))</f>
        <v>0</v>
      </c>
      <c r="V123" s="144">
        <f>SUM(($V$107-$V$117))</f>
        <v>0</v>
      </c>
      <c r="W123" s="144">
        <f>SUM(($W$107-$W$117))</f>
        <v>0</v>
      </c>
      <c r="X123" s="144">
        <f>SUM(($X$107-$X$117))</f>
        <v>0</v>
      </c>
      <c r="Y123" s="144">
        <f>SUM(($Y$107-$Y$117))</f>
        <v>0</v>
      </c>
      <c r="Z123" s="144">
        <f>SUM(($Z$107-$Z$117))</f>
        <v>0</v>
      </c>
      <c r="AA123" s="144">
        <f>SUM(($AA$107-$AA$117))</f>
        <v>0</v>
      </c>
    </row>
    <row r="124" spans="1:27" ht="11.25" customHeight="1" x14ac:dyDescent="0.2">
      <c r="A124" s="143" t="s">
        <v>198</v>
      </c>
      <c r="C124" s="144">
        <f>SUM(($C$108-$C$118))</f>
        <v>11548.620999999999</v>
      </c>
      <c r="D124" s="144">
        <f>SUM(($D$108-$D$118))</f>
        <v>5484.0403000000006</v>
      </c>
      <c r="E124" s="144">
        <f>SUM(($E$108-$E$118))</f>
        <v>14285.690699999999</v>
      </c>
      <c r="F124" s="144">
        <f>SUM(($F$108-$F$118))</f>
        <v>4741.8526000000002</v>
      </c>
      <c r="G124" s="144">
        <f>SUM(($G$108-$G$118))</f>
        <v>1300.3400000000001</v>
      </c>
      <c r="H124" s="144">
        <f>SUM(($H$108-$H$118))</f>
        <v>2258.4742000000006</v>
      </c>
      <c r="I124" s="144">
        <f>SUM(($I$108-$I$118))</f>
        <v>1732.9863000000005</v>
      </c>
      <c r="J124" s="144">
        <f>SUM(($J$108-$J$118))</f>
        <v>2677.9242000000013</v>
      </c>
      <c r="K124" s="144">
        <f>SUM(($K$108-$K$118))</f>
        <v>2226.2073999999993</v>
      </c>
      <c r="L124" s="144">
        <f>SUM(($L$108-$L$118))</f>
        <v>2466.9959999999992</v>
      </c>
      <c r="M124" s="144">
        <f>SUM(($M$108-$M$118))</f>
        <v>3193.4118999999992</v>
      </c>
      <c r="N124" s="144">
        <f>SUM(($N$108-$N$118))</f>
        <v>2332.9830000000002</v>
      </c>
      <c r="O124" s="144">
        <f>SUM(($O$108-$O$118))</f>
        <v>1773.9248000000007</v>
      </c>
      <c r="P124" s="144">
        <f>SUM(($P$108-$P$118))</f>
        <v>1935.5847999999969</v>
      </c>
      <c r="Q124" s="144">
        <f>SUM(($Q$108-$Q$118))</f>
        <v>1714.6792999999998</v>
      </c>
      <c r="R124" s="144">
        <f>SUM(($R$108-$R$118))</f>
        <v>968.02869999999893</v>
      </c>
      <c r="S124" s="144">
        <f>SUM(($S$108-$S$118))</f>
        <v>1232.9779999999992</v>
      </c>
      <c r="T124" s="144">
        <f>SUM(($T$108-$T$118))</f>
        <v>838.59259999999995</v>
      </c>
      <c r="U124" s="144">
        <f>SUM(($U$108-$U$118))</f>
        <v>833.02300000000105</v>
      </c>
      <c r="V124" s="144">
        <f>SUM(($V$108-$V$118))</f>
        <v>709.78059999999823</v>
      </c>
      <c r="W124" s="144">
        <f>SUM(($W$108-$W$118))</f>
        <v>1322.3645000000033</v>
      </c>
      <c r="X124" s="144">
        <f>SUM(($X$108-$X$118))</f>
        <v>1266.3249999999971</v>
      </c>
      <c r="Y124" s="144">
        <f>SUM(($Y$108-$Y$118))</f>
        <v>1194.0109999999986</v>
      </c>
      <c r="Z124" s="144">
        <f>SUM(($Z$108-$Z$118))</f>
        <v>966.35299999999916</v>
      </c>
      <c r="AA124" s="144">
        <f>SUM(($AA$108-$AA$118))</f>
        <v>69005.172900000005</v>
      </c>
    </row>
    <row r="125" spans="1:27" ht="11.25" customHeight="1" x14ac:dyDescent="0.2">
      <c r="A125" s="143" t="s">
        <v>200</v>
      </c>
      <c r="C125" s="144">
        <f>SUM(($C$112-$C$119))</f>
        <v>-5000</v>
      </c>
      <c r="D125" s="144">
        <f>SUM(($D$112-$D$119))</f>
        <v>-5000</v>
      </c>
      <c r="E125" s="144">
        <f>SUM(($E$112-$E$119))</f>
        <v>-5000</v>
      </c>
      <c r="F125" s="144">
        <f>SUM(($F$112-$F$119))</f>
        <v>-5000</v>
      </c>
      <c r="G125" s="144">
        <f>SUM(($G$112-$G$119))</f>
        <v>0</v>
      </c>
      <c r="H125" s="144">
        <f>SUM(($H$112-$H$119))</f>
        <v>0</v>
      </c>
      <c r="I125" s="144">
        <f>SUM(($I$112-$I$119))</f>
        <v>0</v>
      </c>
      <c r="J125" s="144">
        <f>SUM(($J$112-$J$119))</f>
        <v>0</v>
      </c>
      <c r="K125" s="144">
        <f>SUM(($K$112-$K$119))</f>
        <v>0</v>
      </c>
      <c r="L125" s="144">
        <f>SUM(($L$112-$L$119))</f>
        <v>0</v>
      </c>
      <c r="M125" s="144">
        <f>SUM(($M$112-$M$119))</f>
        <v>0</v>
      </c>
      <c r="N125" s="144">
        <f>SUM(($N$112-$N$119))</f>
        <v>0</v>
      </c>
      <c r="O125" s="144">
        <f>SUM(($O$112-$O$119))</f>
        <v>0</v>
      </c>
      <c r="P125" s="144">
        <f>SUM(($P$112-$P$119))</f>
        <v>0</v>
      </c>
      <c r="Q125" s="144">
        <f>SUM(($Q$112-$Q$119))</f>
        <v>0</v>
      </c>
      <c r="R125" s="144">
        <f>SUM(($R$112-$R$119))</f>
        <v>0</v>
      </c>
      <c r="S125" s="144">
        <f>SUM(($S$112-$S$119))</f>
        <v>0</v>
      </c>
      <c r="T125" s="144">
        <f>SUM(($T$112-$T$119))</f>
        <v>0</v>
      </c>
      <c r="U125" s="144">
        <f>SUM(($U$112-$U$119))</f>
        <v>0</v>
      </c>
      <c r="V125" s="144">
        <f>SUM(($V$112-$V$119))</f>
        <v>0</v>
      </c>
      <c r="W125" s="144">
        <f>SUM(($W$112-$W$119))</f>
        <v>0</v>
      </c>
      <c r="X125" s="144">
        <f>SUM(($X$112-$X$119))</f>
        <v>0</v>
      </c>
      <c r="Y125" s="144">
        <f>SUM(($Y$112-$Y$119))</f>
        <v>0</v>
      </c>
      <c r="Z125" s="144">
        <f>SUM(($Z$112-$Z$119))</f>
        <v>0</v>
      </c>
      <c r="AA125" s="144">
        <f>SUM(($AA$112-$AA$119))</f>
        <v>-20000</v>
      </c>
    </row>
    <row r="126" spans="1:27" ht="11.25" customHeight="1" x14ac:dyDescent="0.2">
      <c r="A126" s="143" t="s">
        <v>199</v>
      </c>
      <c r="C126" s="145">
        <f>SUM($C$123:$C$125)</f>
        <v>6548.6209999999992</v>
      </c>
      <c r="D126" s="145">
        <f>SUM($D$123:$D$125)</f>
        <v>484.04030000000057</v>
      </c>
      <c r="E126" s="145">
        <f>SUM($E$123:$E$125)</f>
        <v>9285.6906999999992</v>
      </c>
      <c r="F126" s="145">
        <f>SUM($F$123:$F$125)</f>
        <v>-258.14739999999983</v>
      </c>
      <c r="G126" s="145">
        <f>SUM($G$123:$G$125)</f>
        <v>1300.3400000000001</v>
      </c>
      <c r="H126" s="145">
        <f>SUM($H$123:$H$125)</f>
        <v>2258.4742000000006</v>
      </c>
      <c r="I126" s="145">
        <f>SUM($I$123:$I$125)</f>
        <v>1732.9863000000005</v>
      </c>
      <c r="J126" s="145">
        <f>SUM($J$123:$J$125)</f>
        <v>2677.9242000000013</v>
      </c>
      <c r="K126" s="145">
        <f>SUM($K$123:$K$125)</f>
        <v>2226.2073999999993</v>
      </c>
      <c r="L126" s="145">
        <f>SUM($L$123:$L$125)</f>
        <v>2466.9959999999992</v>
      </c>
      <c r="M126" s="145">
        <f>SUM($M$123:$M$125)</f>
        <v>3193.4118999999992</v>
      </c>
      <c r="N126" s="145">
        <f>SUM($N$123:$N$125)</f>
        <v>2332.9830000000002</v>
      </c>
      <c r="O126" s="145">
        <f>SUM($O$123:$O$125)</f>
        <v>1773.9248000000007</v>
      </c>
      <c r="P126" s="145">
        <f>SUM($P$123:$P$125)</f>
        <v>1935.5847999999969</v>
      </c>
      <c r="Q126" s="145">
        <f>SUM($Q$123:$Q$125)</f>
        <v>1714.6792999999998</v>
      </c>
      <c r="R126" s="145">
        <f>SUM($R$123:$R$125)</f>
        <v>968.02869999999893</v>
      </c>
      <c r="S126" s="145">
        <f>SUM($S$123:$S$125)</f>
        <v>1232.9779999999992</v>
      </c>
      <c r="T126" s="145">
        <f>SUM($T$123:$T$125)</f>
        <v>838.59259999999995</v>
      </c>
      <c r="U126" s="145">
        <f>SUM($U$123:$U$125)</f>
        <v>833.02300000000105</v>
      </c>
      <c r="V126" s="145">
        <f>SUM($V$123:$V$125)</f>
        <v>709.78059999999823</v>
      </c>
      <c r="W126" s="145">
        <f>SUM($W$123:$W$125)</f>
        <v>1322.3645000000033</v>
      </c>
      <c r="X126" s="145">
        <f>SUM($X$123:$X$125)</f>
        <v>1266.3249999999971</v>
      </c>
      <c r="Y126" s="145">
        <f>SUM($Y$123:$Y$125)</f>
        <v>1194.0109999999986</v>
      </c>
      <c r="Z126" s="145">
        <f>SUM($Z$123:$Z$125)</f>
        <v>966.35299999999916</v>
      </c>
      <c r="AA126" s="145">
        <f>SUM($AA$123:$AA$125)</f>
        <v>49005.172900000005</v>
      </c>
    </row>
    <row r="128" spans="1:27" ht="12" customHeight="1" x14ac:dyDescent="0.2">
      <c r="A128" s="142" t="s">
        <v>193</v>
      </c>
    </row>
    <row r="129" spans="1:27" ht="11.25" customHeight="1" x14ac:dyDescent="0.2">
      <c r="A129" s="143" t="s">
        <v>42</v>
      </c>
      <c r="C129" s="146">
        <v>2.621</v>
      </c>
      <c r="D129" s="146">
        <v>2.9260000000000002</v>
      </c>
      <c r="E129" s="146">
        <v>2.766</v>
      </c>
      <c r="F129" s="146">
        <v>2.738</v>
      </c>
      <c r="G129" s="146">
        <v>2.625</v>
      </c>
      <c r="H129" s="146">
        <v>2.6680000000000001</v>
      </c>
      <c r="I129" s="146">
        <v>2.71</v>
      </c>
      <c r="J129" s="146">
        <v>2.75</v>
      </c>
      <c r="K129" s="146">
        <v>2.79</v>
      </c>
      <c r="L129" s="146">
        <v>2.802</v>
      </c>
      <c r="M129" s="146">
        <v>2.8420000000000001</v>
      </c>
      <c r="N129" s="146">
        <v>3.4620000000000002</v>
      </c>
      <c r="O129" s="146">
        <v>3.6469999999999998</v>
      </c>
      <c r="P129" s="146">
        <v>3.7570000000000001</v>
      </c>
      <c r="Q129" s="146">
        <v>3.6819999999999999</v>
      </c>
      <c r="R129" s="146">
        <v>3.577</v>
      </c>
      <c r="S129" s="146">
        <v>3.2320000000000002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192</v>
      </c>
      <c r="C130" s="146">
        <v>2.4470000000000001</v>
      </c>
      <c r="D130" s="146">
        <v>2.8050000000000002</v>
      </c>
      <c r="E130" s="146">
        <v>2.6080000000000001</v>
      </c>
      <c r="F130" s="146">
        <v>2.613</v>
      </c>
      <c r="G130" s="146">
        <v>2.4980000000000002</v>
      </c>
      <c r="H130" s="146">
        <v>2.5409999999999999</v>
      </c>
      <c r="I130" s="146">
        <v>2.5859999999999999</v>
      </c>
      <c r="J130" s="146">
        <v>2.629</v>
      </c>
      <c r="K130" s="146">
        <v>2.6720000000000002</v>
      </c>
      <c r="L130" s="146">
        <v>2.6840000000000002</v>
      </c>
      <c r="M130" s="146">
        <v>2.7240000000000002</v>
      </c>
      <c r="N130" s="146">
        <v>3.3519999999999999</v>
      </c>
      <c r="O130" s="146">
        <v>3.55</v>
      </c>
      <c r="P130" s="146">
        <v>3.6669999999999998</v>
      </c>
      <c r="Q130" s="146">
        <v>3.597</v>
      </c>
      <c r="R130" s="146">
        <v>3.5070000000000001</v>
      </c>
      <c r="S130" s="146">
        <v>3.1669999999999998</v>
      </c>
      <c r="T130" s="146">
        <v>3.177</v>
      </c>
      <c r="U130" s="146">
        <v>3.2069999999999999</v>
      </c>
      <c r="V130" s="146">
        <v>3.262</v>
      </c>
      <c r="W130" s="146">
        <v>3.2690000000000001</v>
      </c>
      <c r="X130" s="146">
        <v>3.2770000000000001</v>
      </c>
      <c r="Y130" s="146">
        <v>3.319</v>
      </c>
      <c r="Z130" s="146">
        <v>3.8570000000000002</v>
      </c>
      <c r="AA130" s="146"/>
    </row>
    <row r="131" spans="1:27" ht="11.25" customHeight="1" x14ac:dyDescent="0.2">
      <c r="A131" s="143" t="s">
        <v>0</v>
      </c>
      <c r="C131" s="147">
        <f>SUM(($C$129-$C$130))</f>
        <v>0.17399999999999993</v>
      </c>
      <c r="D131" s="147">
        <f>SUM(($D$129-$D$130))</f>
        <v>0.121</v>
      </c>
      <c r="E131" s="147">
        <f>SUM(($E$129-$E$130))</f>
        <v>0.15799999999999992</v>
      </c>
      <c r="F131" s="147">
        <f>SUM(($F$129-$F$130))</f>
        <v>0.125</v>
      </c>
      <c r="G131" s="147">
        <f>SUM(($G$129-$G$130))</f>
        <v>0.12699999999999978</v>
      </c>
      <c r="H131" s="147">
        <f>SUM(($H$129-$H$130))</f>
        <v>0.12700000000000022</v>
      </c>
      <c r="I131" s="147">
        <f>SUM(($I$129-$I$130))</f>
        <v>0.12400000000000011</v>
      </c>
      <c r="J131" s="147">
        <f>SUM(($J$129-$J$130))</f>
        <v>0.121</v>
      </c>
      <c r="K131" s="147">
        <f>SUM(($K$129-$K$130))</f>
        <v>0.11799999999999988</v>
      </c>
      <c r="L131" s="147">
        <f>SUM(($L$129-$L$130))</f>
        <v>0.11799999999999988</v>
      </c>
      <c r="M131" s="147">
        <f>SUM(($M$129-$M$130))</f>
        <v>0.11799999999999988</v>
      </c>
      <c r="N131" s="147">
        <f>SUM(($N$129-$N$130))</f>
        <v>0.11000000000000032</v>
      </c>
      <c r="O131" s="147">
        <f>SUM(($O$129-$O$130))</f>
        <v>9.6999999999999975E-2</v>
      </c>
      <c r="P131" s="147">
        <f>SUM(($P$129-$P$130))</f>
        <v>9.0000000000000302E-2</v>
      </c>
      <c r="Q131" s="147">
        <f>SUM(($Q$129-$Q$130))</f>
        <v>8.4999999999999964E-2</v>
      </c>
      <c r="R131" s="147">
        <f>SUM(($R$129-$R$130))</f>
        <v>6.999999999999984E-2</v>
      </c>
      <c r="S131" s="147">
        <f>SUM(($S$129-$S$130))</f>
        <v>6.5000000000000391E-2</v>
      </c>
      <c r="T131" s="147">
        <f>SUM(($T$129-$T$130))</f>
        <v>6.0000000000000053E-2</v>
      </c>
      <c r="U131" s="147">
        <f>SUM(($U$129-$U$130))</f>
        <v>6.0000000000000053E-2</v>
      </c>
      <c r="V131" s="147">
        <f>SUM(($V$129-$V$130))</f>
        <v>4.0000000000000036E-2</v>
      </c>
      <c r="W131" s="147">
        <f>SUM(($W$129-$W$130))</f>
        <v>6.4999999999999947E-2</v>
      </c>
      <c r="X131" s="147">
        <f>SUM(($X$129-$X$130))</f>
        <v>6.4999999999999947E-2</v>
      </c>
      <c r="Y131" s="147">
        <f>SUM(($Y$129-$Y$130))</f>
        <v>6.4999999999999947E-2</v>
      </c>
      <c r="Z131" s="147">
        <f>SUM(($Z$129-$Z$130))</f>
        <v>5.4999999999999716E-2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194</v>
      </c>
    </row>
    <row r="138" spans="1:27" ht="11.25" customHeight="1" x14ac:dyDescent="0.2">
      <c r="A138" s="143" t="s">
        <v>195</v>
      </c>
      <c r="C138" s="144">
        <v>-2950154</v>
      </c>
      <c r="D138" s="144">
        <v>-2564281</v>
      </c>
      <c r="E138" s="170">
        <v>-2486530</v>
      </c>
      <c r="F138" s="170">
        <v>-2053977</v>
      </c>
      <c r="G138" s="170">
        <v>-471636</v>
      </c>
      <c r="H138" s="170">
        <v>-492348</v>
      </c>
      <c r="I138" s="170">
        <v>-790526</v>
      </c>
      <c r="J138" s="144">
        <v>-840761</v>
      </c>
      <c r="K138" s="144">
        <v>-1151868</v>
      </c>
      <c r="L138" s="144">
        <v>-1102241</v>
      </c>
      <c r="M138" s="144">
        <v>-1105135</v>
      </c>
      <c r="N138" s="144">
        <v>-2676334</v>
      </c>
      <c r="O138" s="144">
        <v>-2615890</v>
      </c>
      <c r="P138" s="144">
        <v>-2521448</v>
      </c>
      <c r="Q138" s="144">
        <v>-2180780</v>
      </c>
      <c r="R138" s="144">
        <v>-2463674</v>
      </c>
      <c r="S138" s="144">
        <v>49621</v>
      </c>
      <c r="T138" s="144">
        <v>51702</v>
      </c>
      <c r="U138" s="144">
        <v>53904</v>
      </c>
      <c r="V138" s="144">
        <v>60330</v>
      </c>
      <c r="W138" s="144">
        <v>64551</v>
      </c>
      <c r="X138" s="144">
        <v>63215</v>
      </c>
      <c r="Y138" s="144">
        <v>70865</v>
      </c>
      <c r="Z138" s="144">
        <v>0</v>
      </c>
      <c r="AA138" s="144">
        <f>SUM($C$138:$Z$138)</f>
        <v>-28053395</v>
      </c>
    </row>
    <row r="139" spans="1:27" ht="11.25" customHeight="1" thickBot="1" x14ac:dyDescent="0.25">
      <c r="A139" s="143" t="s">
        <v>201</v>
      </c>
      <c r="C139" s="144">
        <v>11536403</v>
      </c>
      <c r="D139" s="144">
        <v>11470250</v>
      </c>
      <c r="E139" s="144">
        <v>8754425</v>
      </c>
      <c r="F139" s="144">
        <v>1794572</v>
      </c>
      <c r="G139" s="144">
        <v>167994</v>
      </c>
      <c r="H139" s="144">
        <v>2088325</v>
      </c>
      <c r="I139" s="144">
        <v>2652099</v>
      </c>
      <c r="J139" s="144">
        <v>4201982</v>
      </c>
      <c r="K139" s="144">
        <v>3784791</v>
      </c>
      <c r="L139" s="144">
        <v>4385886</v>
      </c>
      <c r="M139" s="144">
        <v>4612269</v>
      </c>
      <c r="N139" s="144">
        <v>4571808</v>
      </c>
      <c r="O139" s="144">
        <v>4705003</v>
      </c>
      <c r="P139" s="144">
        <v>1754405</v>
      </c>
      <c r="Q139" s="144">
        <v>1179980</v>
      </c>
      <c r="R139" s="144">
        <v>1404063</v>
      </c>
      <c r="S139" s="144">
        <v>-17168</v>
      </c>
      <c r="T139" s="144">
        <v>-79286</v>
      </c>
      <c r="U139" s="144">
        <v>-54316</v>
      </c>
      <c r="V139" s="144">
        <v>-149167</v>
      </c>
      <c r="W139" s="144">
        <v>-191740</v>
      </c>
      <c r="X139" s="144">
        <v>-115226</v>
      </c>
      <c r="Y139" s="144">
        <v>-33790</v>
      </c>
      <c r="Z139" s="144">
        <v>1658338</v>
      </c>
      <c r="AA139" s="144">
        <f>SUM($C$139:$Z$139)</f>
        <v>70081900</v>
      </c>
    </row>
    <row r="140" spans="1:27" ht="11.25" customHeight="1" thickBot="1" x14ac:dyDescent="0.25">
      <c r="A140" s="148" t="s">
        <v>189</v>
      </c>
      <c r="B140" s="149"/>
      <c r="C140" s="150">
        <f>SUM($C$138:$C$139)</f>
        <v>8586249</v>
      </c>
      <c r="D140" s="150">
        <f>SUM($D$138:$D$139)</f>
        <v>8905969</v>
      </c>
      <c r="E140" s="150">
        <f>SUM($E$138:$E$139)</f>
        <v>6267895</v>
      </c>
      <c r="F140" s="150">
        <f>SUM($F$138:$F$139)</f>
        <v>-259405</v>
      </c>
      <c r="G140" s="150">
        <f>SUM($G$138:$G$139)</f>
        <v>-303642</v>
      </c>
      <c r="H140" s="150">
        <f>SUM($H$138:$H$139)</f>
        <v>1595977</v>
      </c>
      <c r="I140" s="150">
        <f>SUM($I$138:$I$139)</f>
        <v>1861573</v>
      </c>
      <c r="J140" s="150">
        <f>SUM($J$138:$J$139)</f>
        <v>3361221</v>
      </c>
      <c r="K140" s="150">
        <f>SUM($K$138:$K$139)</f>
        <v>2632923</v>
      </c>
      <c r="L140" s="150">
        <f>SUM($L$138:$L$139)</f>
        <v>3283645</v>
      </c>
      <c r="M140" s="150">
        <f>SUM($M$138:$M$139)</f>
        <v>3507134</v>
      </c>
      <c r="N140" s="150">
        <f>SUM($N$138:$N$139)</f>
        <v>1895474</v>
      </c>
      <c r="O140" s="150">
        <f>SUM($O$138:$O$139)</f>
        <v>2089113</v>
      </c>
      <c r="P140" s="150">
        <f>SUM($P$138:$P$139)</f>
        <v>-767043</v>
      </c>
      <c r="Q140" s="150">
        <f>SUM($Q$138:$Q$139)</f>
        <v>-1000800</v>
      </c>
      <c r="R140" s="150">
        <f>SUM($R$138:$R$139)</f>
        <v>-1059611</v>
      </c>
      <c r="S140" s="150">
        <f>SUM($S$138:$S$139)</f>
        <v>32453</v>
      </c>
      <c r="T140" s="150">
        <f>SUM($T$138:$T$139)</f>
        <v>-27584</v>
      </c>
      <c r="U140" s="150">
        <f>SUM($U$138:$U$139)</f>
        <v>-412</v>
      </c>
      <c r="V140" s="150">
        <f>SUM($V$138:$V$139)</f>
        <v>-88837</v>
      </c>
      <c r="W140" s="150">
        <f>SUM($W$138:$W$139)</f>
        <v>-127189</v>
      </c>
      <c r="X140" s="150">
        <f>SUM($X$138:$X$139)</f>
        <v>-52011</v>
      </c>
      <c r="Y140" s="150">
        <f>SUM($Y$138:$Y$139)</f>
        <v>37075</v>
      </c>
      <c r="Z140" s="150">
        <f>SUM($Z$138:$Z$139)</f>
        <v>1658338</v>
      </c>
      <c r="AA140" s="151">
        <f>SUM($AA$138:$AA$139)</f>
        <v>42028505</v>
      </c>
    </row>
    <row r="141" spans="1:27" ht="11.25" customHeight="1" x14ac:dyDescent="0.2">
      <c r="A141" s="143" t="s">
        <v>2</v>
      </c>
      <c r="C141" s="144">
        <v>8667262</v>
      </c>
      <c r="D141" s="144">
        <v>8950092</v>
      </c>
      <c r="E141" s="144">
        <v>6312739</v>
      </c>
      <c r="F141" s="144">
        <v>-208889</v>
      </c>
      <c r="G141" s="144">
        <v>-249714</v>
      </c>
      <c r="H141" s="144">
        <v>1707243</v>
      </c>
      <c r="I141" s="144">
        <v>1908098</v>
      </c>
      <c r="J141" s="144">
        <v>3512169</v>
      </c>
      <c r="K141" s="144">
        <v>2780896</v>
      </c>
      <c r="L141" s="144">
        <v>3381737</v>
      </c>
      <c r="M141" s="144">
        <v>3575121</v>
      </c>
      <c r="N141" s="144">
        <v>1922675</v>
      </c>
      <c r="O141" s="144">
        <v>2127542</v>
      </c>
      <c r="P141" s="144">
        <v>-734171</v>
      </c>
      <c r="Q141" s="144">
        <v>-973385</v>
      </c>
      <c r="R141" s="144">
        <v>-1055296</v>
      </c>
      <c r="S141" s="144">
        <v>77691</v>
      </c>
      <c r="T141" s="144">
        <v>-721</v>
      </c>
      <c r="U141" s="144">
        <v>26997</v>
      </c>
      <c r="V141" s="144">
        <v>-39658</v>
      </c>
      <c r="W141" s="144">
        <v>-32107</v>
      </c>
      <c r="X141" s="144">
        <v>26497</v>
      </c>
      <c r="Y141" s="144">
        <v>95529</v>
      </c>
      <c r="Z141" s="144">
        <v>1705022</v>
      </c>
      <c r="AA141" s="144">
        <f>SUM($C$141:$Z$141)</f>
        <v>43483369</v>
      </c>
    </row>
    <row r="142" spans="1:27" ht="11.25" customHeight="1" x14ac:dyDescent="0.2">
      <c r="A142" s="143" t="s">
        <v>0</v>
      </c>
      <c r="C142" s="145">
        <f>SUM(($C$140-$C$141))</f>
        <v>-81013</v>
      </c>
      <c r="D142" s="145">
        <f>SUM(($D$140-$D$141))</f>
        <v>-44123</v>
      </c>
      <c r="E142" s="145">
        <f>SUM(($E$140-$E$141))</f>
        <v>-44844</v>
      </c>
      <c r="F142" s="145">
        <f>SUM(($F$140-$F$141))</f>
        <v>-50516</v>
      </c>
      <c r="G142" s="145">
        <f>SUM(($G$140-$G$141))</f>
        <v>-53928</v>
      </c>
      <c r="H142" s="145">
        <f>SUM(($H$140-$H$141))</f>
        <v>-111266</v>
      </c>
      <c r="I142" s="145">
        <f>SUM(($I$140-$I$141))</f>
        <v>-46525</v>
      </c>
      <c r="J142" s="145">
        <f>SUM(($J$140-$J$141))</f>
        <v>-150948</v>
      </c>
      <c r="K142" s="145">
        <f>SUM(($K$140-$K$141))</f>
        <v>-147973</v>
      </c>
      <c r="L142" s="145">
        <f>SUM(($L$140-$L$141))</f>
        <v>-98092</v>
      </c>
      <c r="M142" s="145">
        <f>SUM(($M$140-$M$141))</f>
        <v>-67987</v>
      </c>
      <c r="N142" s="145">
        <f>SUM(($N$140-$N$141))</f>
        <v>-27201</v>
      </c>
      <c r="O142" s="145">
        <f>SUM(($O$140-$O$141))</f>
        <v>-38429</v>
      </c>
      <c r="P142" s="145">
        <f>SUM(($P$140-$P$141))</f>
        <v>-32872</v>
      </c>
      <c r="Q142" s="145">
        <f>SUM(($Q$140-$Q$141))</f>
        <v>-27415</v>
      </c>
      <c r="R142" s="145">
        <f>SUM(($R$140-$R$141))</f>
        <v>-4315</v>
      </c>
      <c r="S142" s="145">
        <f>SUM(($S$140-$S$141))</f>
        <v>-45238</v>
      </c>
      <c r="T142" s="145">
        <f>SUM(($T$140-$T$141))</f>
        <v>-26863</v>
      </c>
      <c r="U142" s="145">
        <f>SUM(($U$140-$U$141))</f>
        <v>-27409</v>
      </c>
      <c r="V142" s="145">
        <f>SUM(($V$140-$V$141))</f>
        <v>-49179</v>
      </c>
      <c r="W142" s="145">
        <f>SUM(($W$140-$W$141))</f>
        <v>-95082</v>
      </c>
      <c r="X142" s="145">
        <f>SUM(($X$140-$X$141))</f>
        <v>-78508</v>
      </c>
      <c r="Y142" s="145">
        <f>SUM(($Y$140-$Y$141))</f>
        <v>-58454</v>
      </c>
      <c r="Z142" s="145">
        <f>SUM(($Z$140-$Z$141))</f>
        <v>-46684</v>
      </c>
      <c r="AA142" s="145">
        <f>SUM(($AA$140-$AA$141))</f>
        <v>-1454864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191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192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-6451.6129000000001</v>
      </c>
      <c r="D12" s="145">
        <v>-6451.6129000000001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-12903.2258</v>
      </c>
    </row>
    <row r="14" spans="1:27" ht="12" customHeight="1" x14ac:dyDescent="0.2">
      <c r="A14" s="142" t="s">
        <v>193</v>
      </c>
    </row>
    <row r="15" spans="1:27" ht="11.25" customHeight="1" x14ac:dyDescent="0.2">
      <c r="A15" s="143" t="s">
        <v>42</v>
      </c>
      <c r="C15" s="146">
        <v>2.79</v>
      </c>
      <c r="D15" s="146">
        <v>3</v>
      </c>
      <c r="E15" s="146">
        <v>3.04</v>
      </c>
      <c r="F15" s="146">
        <v>3.03</v>
      </c>
      <c r="G15" s="146">
        <v>3</v>
      </c>
      <c r="H15" s="146">
        <v>3.04</v>
      </c>
      <c r="I15" s="146">
        <v>3.09</v>
      </c>
      <c r="J15" s="146">
        <v>3.13</v>
      </c>
      <c r="K15" s="146">
        <v>3.17</v>
      </c>
      <c r="L15" s="146">
        <v>3.18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192</v>
      </c>
      <c r="C16" s="146">
        <v>2.64</v>
      </c>
      <c r="D16" s="146">
        <v>2.85</v>
      </c>
      <c r="E16" s="146">
        <v>2.9</v>
      </c>
      <c r="F16" s="146">
        <v>2.9</v>
      </c>
      <c r="G16" s="146">
        <v>2.88</v>
      </c>
      <c r="H16" s="146">
        <v>2.92</v>
      </c>
      <c r="I16" s="146">
        <v>2.97</v>
      </c>
      <c r="J16" s="146">
        <v>3.01</v>
      </c>
      <c r="K16" s="146">
        <v>3.05</v>
      </c>
      <c r="L16" s="146">
        <v>3.06</v>
      </c>
      <c r="M16" s="146">
        <v>3.1</v>
      </c>
      <c r="N16" s="146">
        <v>3.3</v>
      </c>
      <c r="O16" s="146">
        <v>3.5</v>
      </c>
      <c r="P16" s="146">
        <v>3.61</v>
      </c>
      <c r="Q16" s="146">
        <v>3.54</v>
      </c>
      <c r="R16" s="146">
        <v>3.45</v>
      </c>
      <c r="S16" s="146">
        <v>3.35</v>
      </c>
      <c r="T16" s="146">
        <v>3.36</v>
      </c>
      <c r="U16" s="146">
        <v>3.39</v>
      </c>
      <c r="V16" s="146">
        <v>3.44</v>
      </c>
      <c r="W16" s="146">
        <v>3.45</v>
      </c>
      <c r="X16" s="146">
        <v>3.46</v>
      </c>
      <c r="Y16" s="146">
        <v>3.5</v>
      </c>
      <c r="Z16" s="146">
        <v>3.66</v>
      </c>
      <c r="AA16" s="146"/>
    </row>
    <row r="17" spans="1:27" ht="11.25" customHeight="1" x14ac:dyDescent="0.2">
      <c r="A17" s="143" t="s">
        <v>0</v>
      </c>
      <c r="C17" s="147">
        <v>0.15</v>
      </c>
      <c r="D17" s="147">
        <v>0.15</v>
      </c>
      <c r="E17" s="147">
        <v>0.14000000000000001</v>
      </c>
      <c r="F17" s="147">
        <v>0.13</v>
      </c>
      <c r="G17" s="147">
        <v>0.12</v>
      </c>
      <c r="H17" s="147">
        <v>0.12</v>
      </c>
      <c r="I17" s="147">
        <v>0.12</v>
      </c>
      <c r="J17" s="147">
        <v>0.12</v>
      </c>
      <c r="K17" s="147">
        <v>0.12</v>
      </c>
      <c r="L17" s="147">
        <v>0.12</v>
      </c>
      <c r="M17" s="147">
        <v>0.12</v>
      </c>
      <c r="N17" s="147">
        <v>0.11</v>
      </c>
      <c r="O17" s="147">
        <v>8.9999999999999858E-2</v>
      </c>
      <c r="P17" s="147">
        <v>9.0000000000000302E-2</v>
      </c>
      <c r="Q17" s="147">
        <v>8.9999999999999858E-2</v>
      </c>
      <c r="R17" s="147">
        <v>6.999999999999984E-2</v>
      </c>
      <c r="S17" s="147">
        <v>6.0000000000000053E-2</v>
      </c>
      <c r="T17" s="147">
        <v>6.0000000000000053E-2</v>
      </c>
      <c r="U17" s="147">
        <v>6.0000000000000053E-2</v>
      </c>
      <c r="V17" s="147">
        <v>0.04</v>
      </c>
      <c r="W17" s="147">
        <v>5.9999999999999609E-2</v>
      </c>
      <c r="X17" s="147">
        <v>6.0000000000000053E-2</v>
      </c>
      <c r="Y17" s="147">
        <v>6.0000000000000053E-2</v>
      </c>
      <c r="Z17" s="147">
        <v>4.9999999999999822E-2</v>
      </c>
      <c r="AA17" s="146"/>
    </row>
    <row r="19" spans="1:27" ht="12" customHeight="1" x14ac:dyDescent="0.2">
      <c r="A19" s="142" t="s">
        <v>194</v>
      </c>
    </row>
    <row r="20" spans="1:27" ht="11.25" customHeight="1" x14ac:dyDescent="0.2">
      <c r="A20" s="143" t="s">
        <v>195</v>
      </c>
      <c r="C20" s="144">
        <v>-66567</v>
      </c>
      <c r="D20" s="144">
        <v>11200</v>
      </c>
      <c r="E20" s="170">
        <v>14886</v>
      </c>
      <c r="F20" s="144">
        <v>10391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-30090</v>
      </c>
    </row>
    <row r="21" spans="1:27" ht="11.25" customHeight="1" x14ac:dyDescent="0.2">
      <c r="A21" s="143" t="s">
        <v>2</v>
      </c>
      <c r="C21" s="144">
        <v>-50571</v>
      </c>
      <c r="D21" s="144">
        <v>29112</v>
      </c>
      <c r="E21" s="144">
        <v>14881</v>
      </c>
      <c r="F21" s="144">
        <v>10388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3810</v>
      </c>
    </row>
    <row r="22" spans="1:27" ht="11.25" customHeight="1" x14ac:dyDescent="0.2">
      <c r="A22" s="143" t="s">
        <v>0</v>
      </c>
      <c r="C22" s="145">
        <v>-15996</v>
      </c>
      <c r="D22" s="145">
        <v>-17912</v>
      </c>
      <c r="E22" s="145">
        <v>5</v>
      </c>
      <c r="F22" s="145">
        <v>3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-33900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196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197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198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199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200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200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199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192</v>
      </c>
    </row>
    <row r="37" spans="1:27" ht="11.25" customHeight="1" x14ac:dyDescent="0.2">
      <c r="A37" s="143" t="s">
        <v>197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198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200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199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197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198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200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199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193</v>
      </c>
    </row>
    <row r="49" spans="1:27" ht="11.25" customHeight="1" x14ac:dyDescent="0.2">
      <c r="A49" s="143" t="s">
        <v>42</v>
      </c>
      <c r="C49" s="146">
        <v>3.69</v>
      </c>
      <c r="D49" s="146">
        <v>3.87</v>
      </c>
      <c r="E49" s="146">
        <v>3.89</v>
      </c>
      <c r="F49" s="146">
        <v>3.81</v>
      </c>
      <c r="G49" s="146">
        <v>3.76</v>
      </c>
      <c r="H49" s="146">
        <v>3.82</v>
      </c>
      <c r="I49" s="146">
        <v>3.89</v>
      </c>
      <c r="J49" s="146">
        <v>3.95</v>
      </c>
      <c r="K49" s="146">
        <v>4.01</v>
      </c>
      <c r="L49" s="146">
        <v>4.03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</v>
      </c>
      <c r="R49" s="146">
        <v>4.6500000000000004</v>
      </c>
      <c r="S49" s="146">
        <v>4.4800000000000004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192</v>
      </c>
      <c r="C50" s="146">
        <v>3.14</v>
      </c>
      <c r="D50" s="146">
        <v>3.6</v>
      </c>
      <c r="E50" s="146">
        <v>3.65</v>
      </c>
      <c r="F50" s="146">
        <v>3.61</v>
      </c>
      <c r="G50" s="146">
        <v>3.57</v>
      </c>
      <c r="H50" s="146">
        <v>3.64</v>
      </c>
      <c r="I50" s="146">
        <v>3.71</v>
      </c>
      <c r="J50" s="146">
        <v>3.77</v>
      </c>
      <c r="K50" s="146">
        <v>3.84</v>
      </c>
      <c r="L50" s="146">
        <v>3.86</v>
      </c>
      <c r="M50" s="146">
        <v>3.92</v>
      </c>
      <c r="N50" s="146">
        <v>4.3099999999999996</v>
      </c>
      <c r="O50" s="146">
        <v>4.5999999999999996</v>
      </c>
      <c r="P50" s="146">
        <v>4.78</v>
      </c>
      <c r="Q50" s="146">
        <v>4.68</v>
      </c>
      <c r="R50" s="146">
        <v>4.54</v>
      </c>
      <c r="S50" s="146">
        <v>4.38</v>
      </c>
      <c r="T50" s="146">
        <v>4.4000000000000004</v>
      </c>
      <c r="U50" s="146">
        <v>4.4400000000000004</v>
      </c>
      <c r="V50" s="146">
        <v>4.5199999999999996</v>
      </c>
      <c r="W50" s="146">
        <v>4.53</v>
      </c>
      <c r="X50" s="146">
        <v>4.55</v>
      </c>
      <c r="Y50" s="146">
        <v>4.6100000000000003</v>
      </c>
      <c r="Z50" s="146">
        <v>4.87</v>
      </c>
      <c r="AA50" s="146"/>
    </row>
    <row r="51" spans="1:27" ht="11.25" customHeight="1" x14ac:dyDescent="0.2">
      <c r="A51" s="143" t="s">
        <v>0</v>
      </c>
      <c r="C51" s="147">
        <v>0.55000000000000004</v>
      </c>
      <c r="D51" s="147">
        <v>0.27</v>
      </c>
      <c r="E51" s="147">
        <v>0.24</v>
      </c>
      <c r="F51" s="147">
        <v>0.2</v>
      </c>
      <c r="G51" s="147">
        <v>0.19</v>
      </c>
      <c r="H51" s="147">
        <v>0.18</v>
      </c>
      <c r="I51" s="147">
        <v>0.18</v>
      </c>
      <c r="J51" s="147">
        <v>0.18</v>
      </c>
      <c r="K51" s="147">
        <v>0.17</v>
      </c>
      <c r="L51" s="147">
        <v>0.17</v>
      </c>
      <c r="M51" s="147">
        <v>0.17</v>
      </c>
      <c r="N51" s="147">
        <v>0.16</v>
      </c>
      <c r="O51" s="147">
        <v>0.15</v>
      </c>
      <c r="P51" s="147">
        <v>0.14000000000000001</v>
      </c>
      <c r="Q51" s="147">
        <v>0.12</v>
      </c>
      <c r="R51" s="147">
        <v>0.11</v>
      </c>
      <c r="S51" s="147">
        <v>0.10000000000000053</v>
      </c>
      <c r="T51" s="147">
        <v>8.9999999999999858E-2</v>
      </c>
      <c r="U51" s="147">
        <v>8.9999999999999858E-2</v>
      </c>
      <c r="V51" s="147">
        <v>6.0000000000000497E-2</v>
      </c>
      <c r="W51" s="147">
        <v>9.9999999999999645E-2</v>
      </c>
      <c r="X51" s="147">
        <v>0.10000000000000053</v>
      </c>
      <c r="Y51" s="147">
        <v>9.9999999999999645E-2</v>
      </c>
      <c r="Z51" s="147">
        <v>8.0000000000000071E-2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194</v>
      </c>
    </row>
    <row r="58" spans="1:27" ht="11.25" customHeight="1" x14ac:dyDescent="0.2">
      <c r="A58" s="143" t="s">
        <v>195</v>
      </c>
      <c r="C58" s="144">
        <v>-10865</v>
      </c>
      <c r="D58" s="144">
        <v>-19137</v>
      </c>
      <c r="E58" s="144">
        <v>-17227</v>
      </c>
      <c r="F58" s="144">
        <v>-19017</v>
      </c>
      <c r="G58" s="144">
        <v>-51990</v>
      </c>
      <c r="H58" s="144">
        <v>-53551</v>
      </c>
      <c r="I58" s="144">
        <v>-51654</v>
      </c>
      <c r="J58" s="144">
        <v>-53196</v>
      </c>
      <c r="K58" s="144">
        <v>-53019</v>
      </c>
      <c r="L58" s="144">
        <v>-51145</v>
      </c>
      <c r="M58" s="144">
        <v>-52670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-433471</v>
      </c>
    </row>
    <row r="59" spans="1:27" ht="11.25" customHeight="1" thickBot="1" x14ac:dyDescent="0.25">
      <c r="A59" s="143" t="s">
        <v>201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189</v>
      </c>
      <c r="B60" s="149"/>
      <c r="C60" s="150">
        <v>-10865</v>
      </c>
      <c r="D60" s="150">
        <v>-19137</v>
      </c>
      <c r="E60" s="150">
        <v>-17227</v>
      </c>
      <c r="F60" s="150">
        <v>-19017</v>
      </c>
      <c r="G60" s="150">
        <v>-51990</v>
      </c>
      <c r="H60" s="150">
        <v>-53551</v>
      </c>
      <c r="I60" s="150">
        <v>-51654</v>
      </c>
      <c r="J60" s="150">
        <v>-53196</v>
      </c>
      <c r="K60" s="150">
        <v>-53019</v>
      </c>
      <c r="L60" s="150">
        <v>-51145</v>
      </c>
      <c r="M60" s="150">
        <v>-52670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-433471</v>
      </c>
    </row>
    <row r="61" spans="1:27" ht="11.25" customHeight="1" x14ac:dyDescent="0.2">
      <c r="A61" s="143" t="s">
        <v>2</v>
      </c>
      <c r="C61" s="144">
        <v>-10779</v>
      </c>
      <c r="D61" s="144">
        <v>-18979</v>
      </c>
      <c r="E61" s="144">
        <v>-17087</v>
      </c>
      <c r="F61" s="144">
        <v>-18865</v>
      </c>
      <c r="G61" s="144">
        <v>-51547</v>
      </c>
      <c r="H61" s="144">
        <v>-53095</v>
      </c>
      <c r="I61" s="144">
        <v>-51213</v>
      </c>
      <c r="J61" s="144">
        <v>-52751</v>
      </c>
      <c r="K61" s="144">
        <v>-52575</v>
      </c>
      <c r="L61" s="144">
        <v>-50709</v>
      </c>
      <c r="M61" s="144">
        <v>-52221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-429821</v>
      </c>
    </row>
    <row r="62" spans="1:27" ht="11.25" customHeight="1" x14ac:dyDescent="0.2">
      <c r="A62" s="143" t="s">
        <v>0</v>
      </c>
      <c r="C62" s="145">
        <v>-86</v>
      </c>
      <c r="D62" s="145">
        <v>-158</v>
      </c>
      <c r="E62" s="145">
        <v>-140</v>
      </c>
      <c r="F62" s="145">
        <v>-152</v>
      </c>
      <c r="G62" s="145">
        <v>-443</v>
      </c>
      <c r="H62" s="145">
        <v>-456</v>
      </c>
      <c r="I62" s="145">
        <v>-441</v>
      </c>
      <c r="J62" s="145">
        <v>-445</v>
      </c>
      <c r="K62" s="145">
        <v>-444</v>
      </c>
      <c r="L62" s="145">
        <v>-436</v>
      </c>
      <c r="M62" s="145">
        <v>-449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-3650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196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197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198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199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200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200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199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192</v>
      </c>
    </row>
    <row r="77" spans="1:27" ht="11.25" customHeight="1" x14ac:dyDescent="0.2">
      <c r="A77" s="143" t="s">
        <v>197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198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200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199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197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198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200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199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193</v>
      </c>
    </row>
    <row r="89" spans="1:27" ht="11.25" customHeight="1" x14ac:dyDescent="0.2">
      <c r="A89" s="143" t="s">
        <v>42</v>
      </c>
      <c r="C89" s="146">
        <v>2.29</v>
      </c>
      <c r="D89" s="146">
        <v>2.54</v>
      </c>
      <c r="E89" s="146">
        <v>2.58</v>
      </c>
      <c r="F89" s="146">
        <v>2.52</v>
      </c>
      <c r="G89" s="146">
        <v>2.41</v>
      </c>
      <c r="H89" s="146">
        <v>2.4500000000000002</v>
      </c>
      <c r="I89" s="146">
        <v>2.4900000000000002</v>
      </c>
      <c r="J89" s="146">
        <v>2.5299999999999998</v>
      </c>
      <c r="K89" s="146">
        <v>2.57</v>
      </c>
      <c r="L89" s="146">
        <v>2.58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192</v>
      </c>
      <c r="C90" s="146">
        <v>2.0299999999999998</v>
      </c>
      <c r="D90" s="146">
        <v>2.37</v>
      </c>
      <c r="E90" s="146">
        <v>2.42</v>
      </c>
      <c r="F90" s="146">
        <v>2.39</v>
      </c>
      <c r="G90" s="146">
        <v>2.27</v>
      </c>
      <c r="H90" s="146">
        <v>2.31</v>
      </c>
      <c r="I90" s="146">
        <v>2.36</v>
      </c>
      <c r="J90" s="146">
        <v>2.4</v>
      </c>
      <c r="K90" s="146">
        <v>2.44</v>
      </c>
      <c r="L90" s="146">
        <v>2.46</v>
      </c>
      <c r="M90" s="146">
        <v>2.5</v>
      </c>
      <c r="N90" s="146">
        <v>3</v>
      </c>
      <c r="O90" s="146">
        <v>3.2</v>
      </c>
      <c r="P90" s="146">
        <v>3.31</v>
      </c>
      <c r="Q90" s="146">
        <v>3.24</v>
      </c>
      <c r="R90" s="146">
        <v>3.15</v>
      </c>
      <c r="S90" s="146">
        <v>2.95</v>
      </c>
      <c r="T90" s="146">
        <v>2.96</v>
      </c>
      <c r="U90" s="146">
        <v>2.99</v>
      </c>
      <c r="V90" s="146">
        <v>3.04</v>
      </c>
      <c r="W90" s="146">
        <v>3.05</v>
      </c>
      <c r="X90" s="146">
        <v>3.06</v>
      </c>
      <c r="Y90" s="146">
        <v>3.1</v>
      </c>
      <c r="Z90" s="146">
        <v>3.52</v>
      </c>
      <c r="AA90" s="146"/>
    </row>
    <row r="91" spans="1:27" ht="11.25" customHeight="1" x14ac:dyDescent="0.2">
      <c r="A91" s="143" t="s">
        <v>0</v>
      </c>
      <c r="C91" s="147">
        <v>0.26</v>
      </c>
      <c r="D91" s="147">
        <v>0.17</v>
      </c>
      <c r="E91" s="147">
        <v>0.16</v>
      </c>
      <c r="F91" s="147">
        <v>0.13</v>
      </c>
      <c r="G91" s="147">
        <v>0.14000000000000001</v>
      </c>
      <c r="H91" s="147">
        <v>0.14000000000000001</v>
      </c>
      <c r="I91" s="147">
        <v>0.13</v>
      </c>
      <c r="J91" s="147">
        <v>0.13</v>
      </c>
      <c r="K91" s="147">
        <v>0.13</v>
      </c>
      <c r="L91" s="147">
        <v>0.12</v>
      </c>
      <c r="M91" s="147">
        <v>0.12</v>
      </c>
      <c r="N91" s="147">
        <v>0.11</v>
      </c>
      <c r="O91" s="147">
        <v>8.9999999999999858E-2</v>
      </c>
      <c r="P91" s="147">
        <v>8.9999999999999858E-2</v>
      </c>
      <c r="Q91" s="147">
        <v>8.9999999999999858E-2</v>
      </c>
      <c r="R91" s="147">
        <v>7.0000000000000284E-2</v>
      </c>
      <c r="S91" s="147">
        <v>5.9999999999999609E-2</v>
      </c>
      <c r="T91" s="147">
        <v>6.0000000000000053E-2</v>
      </c>
      <c r="U91" s="147">
        <v>5.9999999999999609E-2</v>
      </c>
      <c r="V91" s="147">
        <v>0.04</v>
      </c>
      <c r="W91" s="147">
        <v>6.0000000000000053E-2</v>
      </c>
      <c r="X91" s="147">
        <v>6.0000000000000053E-2</v>
      </c>
      <c r="Y91" s="147">
        <v>6.0000000000000053E-2</v>
      </c>
      <c r="Z91" s="147">
        <v>4.9999999999999822E-2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194</v>
      </c>
    </row>
    <row r="98" spans="1:27" ht="11.25" customHeight="1" x14ac:dyDescent="0.2">
      <c r="A98" s="143" t="s">
        <v>195</v>
      </c>
      <c r="C98" s="144">
        <v>0</v>
      </c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4">
        <v>0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0</v>
      </c>
    </row>
    <row r="99" spans="1:27" ht="11.25" customHeight="1" thickBot="1" x14ac:dyDescent="0.25">
      <c r="A99" s="143" t="s">
        <v>201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189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0</v>
      </c>
      <c r="H100" s="150">
        <v>0</v>
      </c>
      <c r="I100" s="150">
        <v>0</v>
      </c>
      <c r="J100" s="150">
        <v>0</v>
      </c>
      <c r="K100" s="150">
        <v>0</v>
      </c>
      <c r="L100" s="150">
        <v>0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0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196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197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198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199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200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200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199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192</v>
      </c>
    </row>
    <row r="117" spans="1:27" ht="11.25" customHeight="1" x14ac:dyDescent="0.2">
      <c r="A117" s="143" t="s">
        <v>197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198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200</v>
      </c>
      <c r="C119" s="144">
        <v>-5000</v>
      </c>
      <c r="D119" s="144">
        <v>-5000</v>
      </c>
      <c r="E119" s="144">
        <v>-5000</v>
      </c>
      <c r="F119" s="144">
        <v>-5000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-20000</v>
      </c>
    </row>
    <row r="120" spans="1:27" ht="11.25" customHeight="1" x14ac:dyDescent="0.2">
      <c r="A120" s="143" t="s">
        <v>199</v>
      </c>
      <c r="C120" s="145">
        <v>-5000</v>
      </c>
      <c r="D120" s="145">
        <v>-5000</v>
      </c>
      <c r="E120" s="145">
        <v>-5000</v>
      </c>
      <c r="F120" s="145">
        <v>-5000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-20000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197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198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200</v>
      </c>
      <c r="C125" s="144">
        <v>5000</v>
      </c>
      <c r="D125" s="144">
        <v>5000</v>
      </c>
      <c r="E125" s="144">
        <v>5000</v>
      </c>
      <c r="F125" s="144">
        <v>5000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20000</v>
      </c>
    </row>
    <row r="126" spans="1:27" ht="11.25" customHeight="1" x14ac:dyDescent="0.2">
      <c r="A126" s="143" t="s">
        <v>199</v>
      </c>
      <c r="C126" s="145">
        <v>5000</v>
      </c>
      <c r="D126" s="145">
        <v>5000</v>
      </c>
      <c r="E126" s="145">
        <v>5000</v>
      </c>
      <c r="F126" s="145">
        <v>5000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20000</v>
      </c>
    </row>
    <row r="128" spans="1:27" ht="12" customHeight="1" x14ac:dyDescent="0.2">
      <c r="A128" s="142" t="s">
        <v>193</v>
      </c>
    </row>
    <row r="129" spans="1:27" ht="11.25" customHeight="1" x14ac:dyDescent="0.2">
      <c r="A129" s="143" t="s">
        <v>42</v>
      </c>
      <c r="C129" s="146">
        <v>2.621</v>
      </c>
      <c r="D129" s="146">
        <v>2.9260000000000002</v>
      </c>
      <c r="E129" s="146">
        <v>2.766</v>
      </c>
      <c r="F129" s="146">
        <v>2.738</v>
      </c>
      <c r="G129" s="146">
        <v>2.625</v>
      </c>
      <c r="H129" s="146">
        <v>2.6680000000000001</v>
      </c>
      <c r="I129" s="146">
        <v>2.71</v>
      </c>
      <c r="J129" s="146">
        <v>2.75</v>
      </c>
      <c r="K129" s="146">
        <v>2.79</v>
      </c>
      <c r="L129" s="146">
        <v>2.802</v>
      </c>
      <c r="M129" s="146">
        <v>2.8420000000000001</v>
      </c>
      <c r="N129" s="146">
        <v>3.4620000000000002</v>
      </c>
      <c r="O129" s="146">
        <v>3.6469999999999998</v>
      </c>
      <c r="P129" s="146">
        <v>3.7570000000000001</v>
      </c>
      <c r="Q129" s="146">
        <v>3.6819999999999999</v>
      </c>
      <c r="R129" s="146">
        <v>3.577</v>
      </c>
      <c r="S129" s="146">
        <v>3.2320000000000002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192</v>
      </c>
      <c r="C130" s="146">
        <v>2.4470000000000001</v>
      </c>
      <c r="D130" s="146">
        <v>2.8050000000000002</v>
      </c>
      <c r="E130" s="146">
        <v>2.6080000000000001</v>
      </c>
      <c r="F130" s="146">
        <v>2.613</v>
      </c>
      <c r="G130" s="146">
        <v>2.4980000000000002</v>
      </c>
      <c r="H130" s="146">
        <v>2.5409999999999999</v>
      </c>
      <c r="I130" s="146">
        <v>2.5859999999999999</v>
      </c>
      <c r="J130" s="146">
        <v>2.629</v>
      </c>
      <c r="K130" s="146">
        <v>2.6720000000000002</v>
      </c>
      <c r="L130" s="146">
        <v>2.6840000000000002</v>
      </c>
      <c r="M130" s="146">
        <v>2.7240000000000002</v>
      </c>
      <c r="N130" s="146">
        <v>3.3519999999999999</v>
      </c>
      <c r="O130" s="146">
        <v>3.55</v>
      </c>
      <c r="P130" s="146">
        <v>3.6669999999999998</v>
      </c>
      <c r="Q130" s="146">
        <v>3.597</v>
      </c>
      <c r="R130" s="146">
        <v>3.5070000000000001</v>
      </c>
      <c r="S130" s="146">
        <v>3.1669999999999998</v>
      </c>
      <c r="T130" s="146">
        <v>3.177</v>
      </c>
      <c r="U130" s="146">
        <v>3.2069999999999999</v>
      </c>
      <c r="V130" s="146">
        <v>3.262</v>
      </c>
      <c r="W130" s="146">
        <v>3.2690000000000001</v>
      </c>
      <c r="X130" s="146">
        <v>3.2770000000000001</v>
      </c>
      <c r="Y130" s="146">
        <v>3.319</v>
      </c>
      <c r="Z130" s="146">
        <v>3.8570000000000002</v>
      </c>
      <c r="AA130" s="146"/>
    </row>
    <row r="131" spans="1:27" ht="11.25" customHeight="1" x14ac:dyDescent="0.2">
      <c r="A131" s="143" t="s">
        <v>0</v>
      </c>
      <c r="C131" s="147">
        <v>0.17399999999999993</v>
      </c>
      <c r="D131" s="147">
        <v>0.121</v>
      </c>
      <c r="E131" s="147">
        <v>0.15799999999999992</v>
      </c>
      <c r="F131" s="147">
        <v>0.125</v>
      </c>
      <c r="G131" s="147">
        <v>0.12699999999999978</v>
      </c>
      <c r="H131" s="147">
        <v>0.12700000000000022</v>
      </c>
      <c r="I131" s="147">
        <v>0.12400000000000011</v>
      </c>
      <c r="J131" s="147">
        <v>0.121</v>
      </c>
      <c r="K131" s="147">
        <v>0.11799999999999988</v>
      </c>
      <c r="L131" s="147">
        <v>0.11799999999999988</v>
      </c>
      <c r="M131" s="147">
        <v>0.11799999999999988</v>
      </c>
      <c r="N131" s="147">
        <v>0.11</v>
      </c>
      <c r="O131" s="147">
        <v>9.6999999999999975E-2</v>
      </c>
      <c r="P131" s="147">
        <v>9.0000000000000302E-2</v>
      </c>
      <c r="Q131" s="147">
        <v>8.5000000000000006E-2</v>
      </c>
      <c r="R131" s="147">
        <v>6.999999999999984E-2</v>
      </c>
      <c r="S131" s="147">
        <v>6.5000000000000391E-2</v>
      </c>
      <c r="T131" s="147">
        <v>6.0000000000000053E-2</v>
      </c>
      <c r="U131" s="147">
        <v>6.0000000000000053E-2</v>
      </c>
      <c r="V131" s="147">
        <v>0.04</v>
      </c>
      <c r="W131" s="147">
        <v>6.4999999999999947E-2</v>
      </c>
      <c r="X131" s="147">
        <v>6.4999999999999947E-2</v>
      </c>
      <c r="Y131" s="147">
        <v>6.4999999999999947E-2</v>
      </c>
      <c r="Z131" s="147">
        <v>5.4999999999999716E-2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194</v>
      </c>
    </row>
    <row r="138" spans="1:27" ht="11.25" customHeight="1" x14ac:dyDescent="0.2">
      <c r="A138" s="143" t="s">
        <v>195</v>
      </c>
      <c r="C138" s="144">
        <v>155426</v>
      </c>
      <c r="D138" s="144">
        <v>154934</v>
      </c>
      <c r="E138" s="170">
        <v>139491</v>
      </c>
      <c r="F138" s="170">
        <v>154010</v>
      </c>
      <c r="G138" s="170">
        <v>25154</v>
      </c>
      <c r="H138" s="170">
        <v>25909</v>
      </c>
      <c r="I138" s="170">
        <v>24991</v>
      </c>
      <c r="J138" s="144">
        <v>25741</v>
      </c>
      <c r="K138" s="144">
        <v>25656</v>
      </c>
      <c r="L138" s="144">
        <v>24745</v>
      </c>
      <c r="M138" s="144">
        <v>25483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781540</v>
      </c>
    </row>
    <row r="139" spans="1:27" ht="11.25" customHeight="1" thickBot="1" x14ac:dyDescent="0.25">
      <c r="A139" s="143" t="s">
        <v>201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189</v>
      </c>
      <c r="B140" s="149"/>
      <c r="C140" s="150">
        <v>155426</v>
      </c>
      <c r="D140" s="150">
        <v>154934</v>
      </c>
      <c r="E140" s="150">
        <v>139491</v>
      </c>
      <c r="F140" s="150">
        <v>154010</v>
      </c>
      <c r="G140" s="150">
        <v>25154</v>
      </c>
      <c r="H140" s="150">
        <v>25909</v>
      </c>
      <c r="I140" s="150">
        <v>24991</v>
      </c>
      <c r="J140" s="150">
        <v>25741</v>
      </c>
      <c r="K140" s="150">
        <v>25656</v>
      </c>
      <c r="L140" s="150">
        <v>24745</v>
      </c>
      <c r="M140" s="150">
        <v>25483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781540</v>
      </c>
    </row>
    <row r="141" spans="1:27" ht="11.25" customHeight="1" x14ac:dyDescent="0.2">
      <c r="A141" s="143" t="s">
        <v>2</v>
      </c>
      <c r="C141" s="144">
        <v>169770</v>
      </c>
      <c r="D141" s="144">
        <v>114005</v>
      </c>
      <c r="E141" s="144">
        <v>130003</v>
      </c>
      <c r="F141" s="144">
        <v>142768</v>
      </c>
      <c r="G141" s="144">
        <v>25146</v>
      </c>
      <c r="H141" s="144">
        <v>25901</v>
      </c>
      <c r="I141" s="144">
        <v>24983</v>
      </c>
      <c r="J141" s="144">
        <v>25733</v>
      </c>
      <c r="K141" s="144">
        <v>25648</v>
      </c>
      <c r="L141" s="144">
        <v>24737</v>
      </c>
      <c r="M141" s="144">
        <v>25475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734169</v>
      </c>
    </row>
    <row r="142" spans="1:27" ht="11.25" customHeight="1" x14ac:dyDescent="0.2">
      <c r="A142" s="143" t="s">
        <v>0</v>
      </c>
      <c r="C142" s="145">
        <v>-14344</v>
      </c>
      <c r="D142" s="145">
        <v>40929</v>
      </c>
      <c r="E142" s="145">
        <v>9488</v>
      </c>
      <c r="F142" s="145">
        <v>11242</v>
      </c>
      <c r="G142" s="145">
        <v>8</v>
      </c>
      <c r="H142" s="145">
        <v>8</v>
      </c>
      <c r="I142" s="145">
        <v>8</v>
      </c>
      <c r="J142" s="145">
        <v>8</v>
      </c>
      <c r="K142" s="145">
        <v>8</v>
      </c>
      <c r="L142" s="145">
        <v>8</v>
      </c>
      <c r="M142" s="145">
        <v>8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47371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5" x14ac:dyDescent="0.15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75" x14ac:dyDescent="0.2">
      <c r="A1" s="86" t="s">
        <v>10</v>
      </c>
    </row>
    <row r="2" spans="1:31" ht="12.75" x14ac:dyDescent="0.2">
      <c r="A2" s="86" t="s">
        <v>11</v>
      </c>
    </row>
    <row r="3" spans="1:31" ht="12.75" x14ac:dyDescent="0.2">
      <c r="A3" s="86" t="str">
        <f>'GAS SUM'!A3</f>
        <v>As of November 19, 2001</v>
      </c>
    </row>
    <row r="4" spans="1:31" ht="12.75" x14ac:dyDescent="0.2">
      <c r="A4" s="86" t="s">
        <v>12</v>
      </c>
      <c r="F4" s="100"/>
    </row>
    <row r="5" spans="1:31" x14ac:dyDescent="0.15">
      <c r="I5" s="25"/>
    </row>
    <row r="6" spans="1:31" ht="12.75" x14ac:dyDescent="0.2">
      <c r="A6" s="86" t="s">
        <v>13</v>
      </c>
    </row>
    <row r="7" spans="1:31" x14ac:dyDescent="0.15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15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73633</v>
      </c>
      <c r="J8" s="124">
        <v>1000000</v>
      </c>
      <c r="K8" s="125">
        <f>IF(I8&gt;J8,I8-J8,0)</f>
        <v>0</v>
      </c>
    </row>
    <row r="9" spans="1:31" x14ac:dyDescent="0.15">
      <c r="A9" s="87" t="s">
        <v>14</v>
      </c>
      <c r="B9" s="89"/>
      <c r="C9" s="88">
        <f>C25</f>
        <v>327029</v>
      </c>
      <c r="F9" s="87" t="s">
        <v>15</v>
      </c>
      <c r="I9" s="181">
        <f>O54</f>
        <v>9821</v>
      </c>
      <c r="J9" s="88">
        <v>-1000000</v>
      </c>
      <c r="K9" s="126">
        <f>IF(I9&lt;J9,I9-J9,0)</f>
        <v>0</v>
      </c>
    </row>
    <row r="10" spans="1:31" x14ac:dyDescent="0.15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168670</v>
      </c>
      <c r="J10" s="88">
        <v>-2250000</v>
      </c>
      <c r="K10" s="126">
        <f>IF(I10&lt;J10,I10-J10,0)</f>
        <v>0</v>
      </c>
    </row>
    <row r="11" spans="1:31" x14ac:dyDescent="0.15">
      <c r="A11" s="87" t="s">
        <v>39</v>
      </c>
      <c r="B11" s="90"/>
      <c r="C11" s="91"/>
      <c r="D11" s="88">
        <f>SUM(C9:C10)</f>
        <v>2868384.6032664902</v>
      </c>
      <c r="F11" s="87" t="s">
        <v>47</v>
      </c>
      <c r="H11" s="91"/>
      <c r="I11" s="131">
        <f>'Gap Risk'!B29</f>
        <v>-399999.99979999999</v>
      </c>
      <c r="J11" s="128">
        <v>5000000</v>
      </c>
      <c r="K11" s="127">
        <f>IF(ABS(I11)&gt;J11,ABS(I11)-J11,0)</f>
        <v>0</v>
      </c>
    </row>
    <row r="12" spans="1:31" x14ac:dyDescent="0.15">
      <c r="A12" s="112" t="s">
        <v>18</v>
      </c>
      <c r="B12" s="113"/>
      <c r="C12" s="113"/>
      <c r="D12" s="114">
        <f>SUM(D7:D11)</f>
        <v>4216240.5432664901</v>
      </c>
      <c r="F12" s="87" t="s">
        <v>117</v>
      </c>
      <c r="I12" s="131">
        <f>'Gap Risk'!B8</f>
        <v>-399999.99979999999</v>
      </c>
      <c r="J12" s="128">
        <v>5000000</v>
      </c>
      <c r="K12" s="127">
        <f>IF(ABS(I12)&gt;J12,ABS(I12)-J12,0)</f>
        <v>0</v>
      </c>
    </row>
    <row r="13" spans="1:31" x14ac:dyDescent="0.15">
      <c r="D13" s="88"/>
      <c r="E13" s="210"/>
    </row>
    <row r="14" spans="1:31" x14ac:dyDescent="0.15">
      <c r="C14" s="95"/>
      <c r="D14" s="88"/>
    </row>
    <row r="15" spans="1:31" x14ac:dyDescent="0.15">
      <c r="D15" s="88"/>
    </row>
    <row r="16" spans="1:31" s="96" customFormat="1" ht="12.75" x14ac:dyDescent="0.2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15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15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15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15">
      <c r="AF20" s="99"/>
      <c r="AG20" s="99"/>
      <c r="AH20" s="99"/>
      <c r="AI20" s="99"/>
      <c r="AJ20" s="99"/>
      <c r="AK20" s="99"/>
    </row>
    <row r="21" spans="1:37" ht="12.75" x14ac:dyDescent="0.2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15">
      <c r="A22" s="87" t="s">
        <v>22</v>
      </c>
      <c r="C22" s="88">
        <f>O49</f>
        <v>351979</v>
      </c>
      <c r="AF22" s="99"/>
      <c r="AG22" s="99"/>
      <c r="AH22" s="99"/>
      <c r="AI22" s="99"/>
      <c r="AJ22" s="99"/>
      <c r="AK22" s="99"/>
    </row>
    <row r="23" spans="1:37" x14ac:dyDescent="0.15">
      <c r="A23" s="87" t="s">
        <v>23</v>
      </c>
      <c r="C23" s="88">
        <f>O50</f>
        <v>-34000</v>
      </c>
      <c r="AF23" s="99"/>
      <c r="AG23" s="99"/>
      <c r="AH23" s="99"/>
      <c r="AI23" s="99"/>
      <c r="AJ23" s="99"/>
      <c r="AK23" s="99"/>
    </row>
    <row r="24" spans="1:37" x14ac:dyDescent="0.15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15">
      <c r="A25" s="92" t="s">
        <v>14</v>
      </c>
      <c r="B25" s="93"/>
      <c r="C25" s="94">
        <f>SUM(C22:C24)</f>
        <v>327029</v>
      </c>
      <c r="AF25" s="99"/>
      <c r="AG25" s="99"/>
      <c r="AH25" s="99"/>
      <c r="AI25" s="99"/>
      <c r="AJ25" s="99"/>
      <c r="AK25" s="99"/>
    </row>
    <row r="26" spans="1:37" x14ac:dyDescent="0.15">
      <c r="AF26" s="99"/>
      <c r="AG26" s="99"/>
      <c r="AH26" s="99"/>
      <c r="AI26" s="99"/>
      <c r="AJ26" s="99"/>
      <c r="AK26" s="99"/>
    </row>
    <row r="27" spans="1:37" x14ac:dyDescent="0.15">
      <c r="AF27" s="99"/>
      <c r="AG27" s="99"/>
      <c r="AH27" s="99"/>
      <c r="AI27" s="99"/>
      <c r="AJ27" s="99"/>
      <c r="AK27" s="99"/>
    </row>
    <row r="28" spans="1:37" x14ac:dyDescent="0.15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15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15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15">
      <c r="A31" s="115" t="s">
        <v>38</v>
      </c>
      <c r="C31" s="116">
        <f>'SPEC SUM'!C21</f>
        <v>-5000</v>
      </c>
      <c r="D31" s="116">
        <f>'SPEC SUM'!D21</f>
        <v>-5000</v>
      </c>
      <c r="E31" s="116">
        <f>'SPEC SUM'!E21</f>
        <v>-5000</v>
      </c>
      <c r="F31" s="116">
        <f>'SPEC SUM'!F21</f>
        <v>-5000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15">
      <c r="A32" s="87" t="s">
        <v>0</v>
      </c>
      <c r="C32" s="117">
        <f>ROUND((C30-C31),0)</f>
        <v>-1452</v>
      </c>
      <c r="D32" s="117">
        <f t="shared" ref="D32:N32" si="0">D30-D31</f>
        <v>-1451.6129000000001</v>
      </c>
      <c r="E32" s="117">
        <f t="shared" si="0"/>
        <v>5000</v>
      </c>
      <c r="F32" s="117">
        <f t="shared" si="0"/>
        <v>5000</v>
      </c>
      <c r="G32" s="117">
        <f t="shared" si="0"/>
        <v>0</v>
      </c>
      <c r="H32" s="117">
        <f t="shared" si="0"/>
        <v>0</v>
      </c>
      <c r="I32" s="117">
        <f t="shared" si="0"/>
        <v>0</v>
      </c>
      <c r="J32" s="117">
        <f t="shared" si="0"/>
        <v>0</v>
      </c>
      <c r="K32" s="117">
        <f t="shared" si="0"/>
        <v>0</v>
      </c>
      <c r="L32" s="117">
        <f t="shared" si="0"/>
        <v>0</v>
      </c>
      <c r="M32" s="117">
        <f t="shared" si="0"/>
        <v>0</v>
      </c>
      <c r="N32" s="117">
        <f t="shared" si="0"/>
        <v>0</v>
      </c>
    </row>
    <row r="33" spans="1:37" s="104" customFormat="1" x14ac:dyDescent="0.15">
      <c r="N33" s="99"/>
    </row>
    <row r="34" spans="1:37" x14ac:dyDescent="0.15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15">
      <c r="A35" s="88" t="s">
        <v>26</v>
      </c>
      <c r="C35" s="88">
        <f>'SPEC REPORT DETAILS'!J10+'SPEC REPORT DETAILS'!J22+'SPEC REPORT DETAILS'!J34+'SPEC REPORT DETAILS'!J46</f>
        <v>93994</v>
      </c>
      <c r="D35" s="88">
        <f>'SPEC REPORT DETAILS'!K10+'SPEC REPORT DETAILS'!K22+'SPEC REPORT DETAILS'!K34+'SPEC REPORT DETAILS'!K46</f>
        <v>164997</v>
      </c>
      <c r="E35" s="88">
        <f>'SPEC REPORT DETAILS'!L10+'SPEC REPORT DETAILS'!L22+'SPEC REPORT DETAILS'!L34+'SPEC REPORT DETAILS'!L46</f>
        <v>137150</v>
      </c>
      <c r="F35" s="88">
        <f>'SPEC REPORT DETAILS'!M10+'SPEC REPORT DETAILS'!M22+'SPEC REPORT DETAILS'!M34+'SPEC REPORT DETAILS'!M46</f>
        <v>145384</v>
      </c>
      <c r="G35" s="88">
        <f>'SPEC REPORT DETAILS'!N10+'SPEC REPORT DETAILS'!N22+'SPEC REPORT DETAILS'!N34+'SPEC REPORT DETAILS'!N46</f>
        <v>-26836</v>
      </c>
      <c r="H35" s="88">
        <f>'SPEC REPORT DETAILS'!O10+'SPEC REPORT DETAILS'!O22+'SPEC REPORT DETAILS'!O34+'SPEC REPORT DETAILS'!O46</f>
        <v>-27642</v>
      </c>
      <c r="I35" s="88">
        <f>'SPEC REPORT DETAILS'!P10+'SPEC REPORT DETAILS'!P22+'SPEC REPORT DETAILS'!P34+'SPEC REPORT DETAILS'!P46</f>
        <v>-26663</v>
      </c>
      <c r="J35" s="88">
        <f>'SPEC REPORT DETAILS'!Q10+'SPEC REPORT DETAILS'!Q22+'SPEC REPORT DETAILS'!Q34+'SPEC REPORT DETAILS'!Q46</f>
        <v>-27455</v>
      </c>
      <c r="K35" s="88">
        <f>'SPEC REPORT DETAILS'!R10+'SPEC REPORT DETAILS'!R22+'SPEC REPORT DETAILS'!R34+'SPEC REPORT DETAILS'!R46</f>
        <v>-27363</v>
      </c>
      <c r="L35" s="88">
        <f>'SPEC REPORT DETAILS'!S10+'SPEC REPORT DETAILS'!S22+'SPEC REPORT DETAILS'!S34+'SPEC REPORT DETAILS'!S46</f>
        <v>-26400</v>
      </c>
      <c r="M35" s="88">
        <f>'SPEC REPORT DETAILS'!T10+'SPEC REPORT DETAILS'!T22+'SPEC REPORT DETAILS'!T34+'SPEC REPORT DETAILS'!T46</f>
        <v>-27187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15">
      <c r="A36" s="88" t="s">
        <v>27</v>
      </c>
      <c r="C36" s="88">
        <f>'SPEC REPORT DETAILS'!J11+'SPEC REPORT DETAILS'!J23+'SPEC REPORT DETAILS'!J35+'SPEC REPORT DETAILS'!J47</f>
        <v>-16000</v>
      </c>
      <c r="D36" s="88">
        <f>'SPEC REPORT DETAILS'!K11+'SPEC REPORT DETAILS'!K23+'SPEC REPORT DETAILS'!K35+'SPEC REPORT DETAILS'!K47</f>
        <v>-18000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15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15">
      <c r="A38" s="92" t="s">
        <v>28</v>
      </c>
      <c r="B38" s="21"/>
      <c r="C38" s="94">
        <f>SUM(C35:C37)</f>
        <v>62494</v>
      </c>
      <c r="D38" s="94">
        <f t="shared" ref="D38:N38" si="1">SUM(D35:D37)</f>
        <v>131497</v>
      </c>
      <c r="E38" s="94">
        <f t="shared" si="1"/>
        <v>123150</v>
      </c>
      <c r="F38" s="94">
        <f t="shared" si="1"/>
        <v>129884</v>
      </c>
      <c r="G38" s="94">
        <f t="shared" si="1"/>
        <v>-17086</v>
      </c>
      <c r="H38" s="94">
        <f t="shared" si="1"/>
        <v>-17567</v>
      </c>
      <c r="I38" s="94">
        <f t="shared" si="1"/>
        <v>-16913</v>
      </c>
      <c r="J38" s="94">
        <f t="shared" si="1"/>
        <v>-17380</v>
      </c>
      <c r="K38" s="94">
        <f t="shared" si="1"/>
        <v>-17288</v>
      </c>
      <c r="L38" s="94">
        <f t="shared" si="1"/>
        <v>-16650</v>
      </c>
      <c r="M38" s="94">
        <f t="shared" si="1"/>
        <v>-17112</v>
      </c>
      <c r="N38" s="94">
        <f t="shared" si="1"/>
        <v>0</v>
      </c>
    </row>
    <row r="39" spans="1:37" x14ac:dyDescent="0.15">
      <c r="A39" s="100" t="s">
        <v>2</v>
      </c>
      <c r="C39" s="107">
        <v>92920</v>
      </c>
      <c r="D39" s="107">
        <v>108638</v>
      </c>
      <c r="E39" s="107">
        <v>113797</v>
      </c>
      <c r="F39" s="107">
        <v>118791</v>
      </c>
      <c r="G39" s="107">
        <v>-16651</v>
      </c>
      <c r="H39" s="107">
        <v>-17119</v>
      </c>
      <c r="I39" s="107">
        <v>-16480</v>
      </c>
      <c r="J39" s="107">
        <v>-16943</v>
      </c>
      <c r="K39" s="107">
        <v>-16852</v>
      </c>
      <c r="L39" s="107">
        <v>-16222</v>
      </c>
      <c r="M39" s="107">
        <v>-16671</v>
      </c>
      <c r="N39" s="107">
        <v>0</v>
      </c>
    </row>
    <row r="40" spans="1:37" x14ac:dyDescent="0.15">
      <c r="A40" s="87" t="s">
        <v>0</v>
      </c>
      <c r="C40" s="88">
        <f>C38-C39</f>
        <v>-30426</v>
      </c>
      <c r="D40" s="88">
        <f t="shared" ref="D40:N40" si="2">D38-D39</f>
        <v>22859</v>
      </c>
      <c r="E40" s="88">
        <f t="shared" si="2"/>
        <v>9353</v>
      </c>
      <c r="F40" s="88">
        <f t="shared" si="2"/>
        <v>11093</v>
      </c>
      <c r="G40" s="88">
        <f t="shared" si="2"/>
        <v>-435</v>
      </c>
      <c r="H40" s="88">
        <f t="shared" si="2"/>
        <v>-448</v>
      </c>
      <c r="I40" s="88">
        <f t="shared" si="2"/>
        <v>-433</v>
      </c>
      <c r="J40" s="88">
        <f t="shared" si="2"/>
        <v>-437</v>
      </c>
      <c r="K40" s="88">
        <f t="shared" si="2"/>
        <v>-436</v>
      </c>
      <c r="L40" s="88">
        <f t="shared" si="2"/>
        <v>-428</v>
      </c>
      <c r="M40" s="88">
        <f t="shared" si="2"/>
        <v>-441</v>
      </c>
      <c r="N40" s="88">
        <f t="shared" si="2"/>
        <v>0</v>
      </c>
    </row>
    <row r="42" spans="1:37" x14ac:dyDescent="0.15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15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15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15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15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15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15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15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351979</v>
      </c>
    </row>
    <row r="50" spans="1:21" ht="11.25" customHeight="1" x14ac:dyDescent="0.15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-34000</v>
      </c>
    </row>
    <row r="51" spans="1:21" x14ac:dyDescent="0.15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15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327029</v>
      </c>
    </row>
    <row r="53" spans="1:21" x14ac:dyDescent="0.15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317208</v>
      </c>
      <c r="P53" s="91"/>
      <c r="Q53" s="91"/>
      <c r="R53" s="91"/>
      <c r="S53" s="91"/>
      <c r="T53" s="91"/>
      <c r="U53" s="68"/>
    </row>
    <row r="54" spans="1:21" x14ac:dyDescent="0.15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9821</v>
      </c>
    </row>
    <row r="71" spans="3:37" x14ac:dyDescent="0.15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1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15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15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15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15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15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15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15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15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15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15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15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15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15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15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15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15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15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15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15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15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15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15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15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15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15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15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15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15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15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15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15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15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15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15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15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15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15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15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15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15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15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15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15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15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15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15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15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15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15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15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15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15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15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15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15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15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15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15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15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15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15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15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15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15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15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15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15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15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15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15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15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15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15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15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15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15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15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15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15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15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15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15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15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15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15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15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15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15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15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15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15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15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15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15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15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15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15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15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15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15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15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15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15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15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15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15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15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15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15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15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15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15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15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15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15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15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15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15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15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15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15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15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15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15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15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15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15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15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15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15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15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15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15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15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15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15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15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15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15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15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15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15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15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15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15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15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15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15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15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15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15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15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15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15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15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15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15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15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15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15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15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15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15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15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15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15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15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15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15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15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15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15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15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15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15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15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15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15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15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15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15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15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15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15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15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15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15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15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15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15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15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15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15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15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15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15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15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15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15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15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15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15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15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15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15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15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15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15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15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15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15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15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15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15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15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15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15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15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15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15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15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15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15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15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15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15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15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15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15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15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15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15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15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15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15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15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15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15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15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15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15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15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15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15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15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15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15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15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15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15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15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15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15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15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15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15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15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15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15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15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15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15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15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15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15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15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15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15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15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15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15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15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15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15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15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15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15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15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15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15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15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15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15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15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15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15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15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15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15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15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15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15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15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15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15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15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15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15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15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15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15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15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15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15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15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15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15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15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15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15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15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15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15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15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15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15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15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15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15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15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15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15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15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15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15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15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15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15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15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15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15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15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15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15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15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15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15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15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15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15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15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15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15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15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15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15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15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15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15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15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15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15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15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15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15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15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15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15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15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15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15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15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15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15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15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15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15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15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15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15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15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15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15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15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15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15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15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15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15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15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15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15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15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15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15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15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15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15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15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15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15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15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9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5" x14ac:dyDescent="0.15">
      <c r="A1" s="100" t="s">
        <v>10</v>
      </c>
      <c r="B1" s="79"/>
    </row>
    <row r="2" spans="1:39" ht="10.5" x14ac:dyDescent="0.15">
      <c r="A2" s="100" t="s">
        <v>29</v>
      </c>
      <c r="B2" s="79"/>
    </row>
    <row r="3" spans="1:39" ht="10.5" x14ac:dyDescent="0.15">
      <c r="A3" s="100" t="str">
        <f>'SPEC REPORT'!A3</f>
        <v>As of November 19, 2001</v>
      </c>
      <c r="B3" s="79"/>
    </row>
    <row r="4" spans="1:39" ht="10.5" x14ac:dyDescent="0.15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-10865</v>
      </c>
      <c r="K10" s="74">
        <f t="shared" si="0"/>
        <v>-19137</v>
      </c>
      <c r="L10" s="74">
        <f t="shared" si="0"/>
        <v>-17227</v>
      </c>
      <c r="M10" s="74">
        <f t="shared" si="0"/>
        <v>-19017</v>
      </c>
      <c r="N10" s="74">
        <f t="shared" si="0"/>
        <v>-51990</v>
      </c>
      <c r="O10" s="74">
        <f t="shared" si="0"/>
        <v>-53551</v>
      </c>
      <c r="P10" s="74">
        <f t="shared" si="0"/>
        <v>-51654</v>
      </c>
      <c r="Q10" s="74">
        <f t="shared" si="0"/>
        <v>-53196</v>
      </c>
      <c r="R10" s="74">
        <f t="shared" si="0"/>
        <v>-53019</v>
      </c>
      <c r="S10" s="74">
        <f t="shared" si="0"/>
        <v>-51145</v>
      </c>
      <c r="T10" s="74">
        <f t="shared" si="0"/>
        <v>-52670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-433471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-10865</v>
      </c>
      <c r="K12" s="64">
        <f>'SPEC DETAILS'!D60</f>
        <v>-19137</v>
      </c>
      <c r="L12" s="64">
        <f>'SPEC DETAILS'!E60</f>
        <v>-17227</v>
      </c>
      <c r="M12" s="64">
        <f>'SPEC DETAILS'!F60</f>
        <v>-19017</v>
      </c>
      <c r="N12" s="64">
        <f>'SPEC DETAILS'!G60</f>
        <v>-51990</v>
      </c>
      <c r="O12" s="64">
        <f>'SPEC DETAILS'!H60</f>
        <v>-53551</v>
      </c>
      <c r="P12" s="64">
        <f>'SPEC DETAILS'!I60</f>
        <v>-51654</v>
      </c>
      <c r="Q12" s="64">
        <f>'SPEC DETAILS'!J60</f>
        <v>-53196</v>
      </c>
      <c r="R12" s="64">
        <f>'SPEC DETAILS'!K60</f>
        <v>-53019</v>
      </c>
      <c r="S12" s="64">
        <f>'SPEC DETAILS'!L60</f>
        <v>-51145</v>
      </c>
      <c r="T12" s="64">
        <f>'SPEC DETAILS'!M60</f>
        <v>-52670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-433471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0</v>
      </c>
      <c r="O22" s="74">
        <f t="shared" si="2"/>
        <v>0</v>
      </c>
      <c r="P22" s="74">
        <f t="shared" si="2"/>
        <v>0</v>
      </c>
      <c r="Q22" s="74">
        <f t="shared" si="2"/>
        <v>0</v>
      </c>
      <c r="R22" s="74">
        <f t="shared" si="2"/>
        <v>0</v>
      </c>
      <c r="S22" s="74">
        <f t="shared" si="2"/>
        <v>0</v>
      </c>
      <c r="T22" s="74">
        <f t="shared" si="2"/>
        <v>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0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0</v>
      </c>
      <c r="O24" s="64">
        <f>'SPEC DETAILS'!H100</f>
        <v>0</v>
      </c>
      <c r="P24" s="64">
        <f>'SPEC DETAILS'!I100</f>
        <v>0</v>
      </c>
      <c r="Q24" s="64">
        <f>'SPEC DETAILS'!J100</f>
        <v>0</v>
      </c>
      <c r="R24" s="64">
        <f>'SPEC DETAILS'!K100</f>
        <v>0</v>
      </c>
      <c r="S24" s="64">
        <f>'SPEC DETAILS'!L100</f>
        <v>0</v>
      </c>
      <c r="T24" s="64">
        <f>'SPEC DETAILS'!M100</f>
        <v>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0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0</v>
      </c>
      <c r="O28" s="121">
        <f>'SPEC DETAILS'!H95</f>
        <v>0</v>
      </c>
      <c r="P28" s="121">
        <f>'SPEC DETAILS'!I95</f>
        <v>0</v>
      </c>
      <c r="Q28" s="121">
        <f>'SPEC DETAILS'!J95</f>
        <v>0</v>
      </c>
      <c r="R28" s="121">
        <f>'SPEC DETAILS'!K95</f>
        <v>0</v>
      </c>
      <c r="S28" s="121">
        <f>'SPEC DETAILS'!L95</f>
        <v>0</v>
      </c>
      <c r="T28" s="121">
        <f>'SPEC DETAILS'!M95</f>
        <v>0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155426</v>
      </c>
      <c r="K34" s="74">
        <f t="shared" si="4"/>
        <v>154934</v>
      </c>
      <c r="L34" s="74">
        <f t="shared" si="4"/>
        <v>139491</v>
      </c>
      <c r="M34" s="74">
        <f t="shared" si="4"/>
        <v>154010</v>
      </c>
      <c r="N34" s="74">
        <f t="shared" si="4"/>
        <v>25154</v>
      </c>
      <c r="O34" s="74">
        <f t="shared" si="4"/>
        <v>25909</v>
      </c>
      <c r="P34" s="74">
        <f t="shared" si="4"/>
        <v>24991</v>
      </c>
      <c r="Q34" s="74">
        <f t="shared" si="4"/>
        <v>25741</v>
      </c>
      <c r="R34" s="62">
        <f t="shared" si="4"/>
        <v>25656</v>
      </c>
      <c r="S34" s="62">
        <f t="shared" si="4"/>
        <v>24745</v>
      </c>
      <c r="T34" s="62">
        <f t="shared" si="4"/>
        <v>25483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781540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155426</v>
      </c>
      <c r="K36" s="64">
        <f>'SPEC DETAILS'!D140</f>
        <v>154934</v>
      </c>
      <c r="L36" s="64">
        <f>'SPEC DETAILS'!E140</f>
        <v>139491</v>
      </c>
      <c r="M36" s="64">
        <f>'SPEC DETAILS'!F140</f>
        <v>154010</v>
      </c>
      <c r="N36" s="64">
        <f>'SPEC DETAILS'!G140</f>
        <v>25154</v>
      </c>
      <c r="O36" s="64">
        <f>'SPEC DETAILS'!H140</f>
        <v>25909</v>
      </c>
      <c r="P36" s="64">
        <f>'SPEC DETAILS'!I140</f>
        <v>24991</v>
      </c>
      <c r="Q36" s="64">
        <f>'SPEC DETAILS'!J140</f>
        <v>25741</v>
      </c>
      <c r="R36" s="64">
        <f>'SPEC DETAILS'!K140</f>
        <v>25656</v>
      </c>
      <c r="S36" s="64">
        <f>'SPEC DETAILS'!L140</f>
        <v>24745</v>
      </c>
      <c r="T36" s="64">
        <f>'SPEC DETAILS'!M140</f>
        <v>25483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781540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-50567</v>
      </c>
      <c r="K46" s="74">
        <f t="shared" si="6"/>
        <v>29200</v>
      </c>
      <c r="L46" s="74">
        <f t="shared" si="6"/>
        <v>14886</v>
      </c>
      <c r="M46" s="74">
        <f t="shared" si="6"/>
        <v>10391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3910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-16000</v>
      </c>
      <c r="K47" s="76">
        <v>-18000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-66567</v>
      </c>
      <c r="K48" s="64">
        <f>'SPEC DETAILS'!D20</f>
        <v>11200</v>
      </c>
      <c r="L48" s="64">
        <f>'SPEC DETAILS'!E20</f>
        <v>14886</v>
      </c>
      <c r="M48" s="64">
        <f>'SPEC DETAILS'!F20</f>
        <v>10391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3910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1.25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SUM(B111:B65536)</f>
        <v>-111065</v>
      </c>
      <c r="E1" s="108" t="s">
        <v>100</v>
      </c>
    </row>
    <row r="2" spans="1:6" x14ac:dyDescent="0.2">
      <c r="A2" s="108" t="s">
        <v>60</v>
      </c>
      <c r="B2" s="110"/>
      <c r="C2" s="111">
        <f>SUM(C111:C65536)</f>
        <v>168670</v>
      </c>
      <c r="E2" s="108" t="s">
        <v>140</v>
      </c>
      <c r="F2" s="111">
        <f>SUM(C103:C122)</f>
        <v>26880.939999999944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2" thickBot="1" x14ac:dyDescent="0.25">
      <c r="A61" s="174">
        <v>37134</v>
      </c>
      <c r="B61" s="175">
        <v>404653</v>
      </c>
      <c r="C61" s="175">
        <v>46715</v>
      </c>
    </row>
    <row r="62" spans="1:3" ht="12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2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2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2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2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2" thickBot="1" x14ac:dyDescent="0.25">
      <c r="A122" s="174">
        <v>37225</v>
      </c>
      <c r="B122" s="175"/>
      <c r="C122" s="175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B80" s="110"/>
      <c r="C80" s="110"/>
      <c r="D80" s="110"/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/>
  </sheetViews>
  <sheetFormatPr defaultRowHeight="10.5" customHeight="1" x14ac:dyDescent="0.15"/>
  <cols>
    <col min="1" max="1" width="10.83203125" style="132" customWidth="1"/>
    <col min="2" max="2" width="8.1640625" style="132" customWidth="1"/>
    <col min="3" max="3" width="10.5" style="132" customWidth="1"/>
    <col min="4" max="4" width="10.1640625" style="132" customWidth="1"/>
    <col min="5" max="6" width="10.1640625" style="133" customWidth="1"/>
    <col min="7" max="7" width="10.5" style="132" customWidth="1"/>
    <col min="8" max="8" width="12.83203125" style="132" customWidth="1"/>
    <col min="9" max="9" width="12.83203125" style="133" customWidth="1"/>
    <col min="10" max="10" width="12.164062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154"/>
      <c r="D2"/>
      <c r="E2"/>
      <c r="F2"/>
      <c r="G2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156" t="s">
        <v>84</v>
      </c>
      <c r="D3"/>
      <c r="E3"/>
      <c r="F3"/>
      <c r="G3"/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159"/>
      <c r="D4"/>
      <c r="E4"/>
      <c r="F4"/>
      <c r="G4"/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1.25" x14ac:dyDescent="0.2">
      <c r="F9" s="109"/>
      <c r="J9" s="109"/>
    </row>
    <row r="10" spans="1:21" customFormat="1" ht="11.25" x14ac:dyDescent="0.2">
      <c r="F10" s="109"/>
      <c r="J10" s="109"/>
    </row>
    <row r="11" spans="1:21" customFormat="1" ht="11.25" x14ac:dyDescent="0.2">
      <c r="F11" s="109"/>
      <c r="J11" s="109"/>
    </row>
    <row r="12" spans="1:21" customFormat="1" ht="11.25" x14ac:dyDescent="0.2">
      <c r="F12" s="109"/>
      <c r="J12" s="109"/>
    </row>
    <row r="13" spans="1:21" ht="10.5" customHeight="1" x14ac:dyDescent="0.2">
      <c r="A13"/>
      <c r="B13"/>
      <c r="C13"/>
      <c r="D13"/>
      <c r="E13"/>
      <c r="F13" s="109"/>
      <c r="G13"/>
      <c r="H13"/>
      <c r="I13"/>
      <c r="J13" s="109"/>
      <c r="K13"/>
      <c r="L13"/>
      <c r="M13"/>
      <c r="N13"/>
      <c r="O13"/>
      <c r="P13"/>
      <c r="Q13"/>
      <c r="R13"/>
      <c r="S13"/>
      <c r="T13"/>
      <c r="U13"/>
    </row>
    <row r="14" spans="1:21" ht="10.5" customHeight="1" x14ac:dyDescent="0.2">
      <c r="A14"/>
      <c r="B14"/>
      <c r="C14"/>
      <c r="D14"/>
      <c r="E14"/>
      <c r="F14" s="109"/>
      <c r="G14"/>
      <c r="H14"/>
      <c r="I14"/>
      <c r="J14" s="109"/>
      <c r="K14"/>
      <c r="L14"/>
      <c r="M14"/>
      <c r="N14"/>
      <c r="O14"/>
      <c r="P14"/>
      <c r="Q14"/>
      <c r="R14"/>
      <c r="S14"/>
      <c r="T14"/>
      <c r="U14"/>
    </row>
    <row r="15" spans="1:21" ht="10.5" customHeight="1" x14ac:dyDescent="0.2">
      <c r="A15"/>
      <c r="B15"/>
      <c r="C15"/>
      <c r="D15"/>
      <c r="E15"/>
      <c r="F15" s="109"/>
      <c r="G15"/>
      <c r="H15"/>
      <c r="I15"/>
      <c r="J15" s="109"/>
      <c r="K15"/>
      <c r="L15"/>
      <c r="M15"/>
      <c r="N15"/>
      <c r="O15"/>
      <c r="P15"/>
      <c r="Q15"/>
      <c r="R15"/>
      <c r="S15"/>
      <c r="T15"/>
      <c r="U15"/>
    </row>
    <row r="16" spans="1:21" customFormat="1" ht="11.25" x14ac:dyDescent="0.2">
      <c r="F16" s="109"/>
      <c r="J16" s="109"/>
    </row>
    <row r="17" spans="6:10" customFormat="1" ht="11.25" x14ac:dyDescent="0.2">
      <c r="F17" s="109"/>
      <c r="J17" s="109"/>
    </row>
    <row r="18" spans="6:10" customFormat="1" ht="11.25" x14ac:dyDescent="0.2">
      <c r="F18" s="109"/>
      <c r="J18" s="109"/>
    </row>
    <row r="19" spans="6:10" customFormat="1" ht="11.25" x14ac:dyDescent="0.2">
      <c r="F19" s="109"/>
      <c r="J19" s="109"/>
    </row>
    <row r="20" spans="6:10" customFormat="1" ht="11.25" x14ac:dyDescent="0.2">
      <c r="F20" s="109"/>
      <c r="J20" s="109"/>
    </row>
    <row r="21" spans="6:10" customFormat="1" ht="11.25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1.25" x14ac:dyDescent="0.2">
      <c r="F23" s="109"/>
      <c r="J23" s="109"/>
    </row>
    <row r="24" spans="6:10" customFormat="1" ht="11.25" x14ac:dyDescent="0.2">
      <c r="F24" s="109"/>
      <c r="J24" s="109"/>
    </row>
    <row r="25" spans="6:10" customFormat="1" ht="11.25" x14ac:dyDescent="0.2">
      <c r="F25" s="109"/>
      <c r="J25" s="109"/>
    </row>
    <row r="26" spans="6:10" customFormat="1" ht="11.25" x14ac:dyDescent="0.2">
      <c r="F26" s="109"/>
      <c r="J26" s="109"/>
    </row>
    <row r="27" spans="6:10" customFormat="1" ht="11.25" x14ac:dyDescent="0.2">
      <c r="F27" s="109"/>
      <c r="J27" s="109"/>
    </row>
    <row r="28" spans="6:10" customFormat="1" ht="11.25" x14ac:dyDescent="0.2">
      <c r="F28" s="109"/>
      <c r="J28" s="109"/>
    </row>
    <row r="29" spans="6:10" customFormat="1" ht="11.25" x14ac:dyDescent="0.2">
      <c r="F29" s="109"/>
      <c r="J29" s="109"/>
    </row>
    <row r="30" spans="6:10" customFormat="1" ht="11.25" x14ac:dyDescent="0.2">
      <c r="F30" s="109"/>
      <c r="J30" s="109"/>
    </row>
    <row r="31" spans="6:10" customFormat="1" ht="11.25" x14ac:dyDescent="0.2">
      <c r="F31" s="109"/>
      <c r="J31" s="109"/>
    </row>
    <row r="32" spans="6:10" customFormat="1" ht="11.25" x14ac:dyDescent="0.2">
      <c r="F32" s="109"/>
      <c r="J32" s="109"/>
    </row>
    <row r="33" spans="6:10" customFormat="1" ht="11.25" x14ac:dyDescent="0.2">
      <c r="F33" s="109"/>
      <c r="J33" s="109"/>
    </row>
    <row r="34" spans="6:10" customFormat="1" ht="11.25" x14ac:dyDescent="0.2">
      <c r="F34" s="109"/>
      <c r="J34" s="109"/>
    </row>
    <row r="35" spans="6:10" customFormat="1" ht="11.25" x14ac:dyDescent="0.2">
      <c r="F35" s="109"/>
      <c r="J35" s="109"/>
    </row>
    <row r="36" spans="6:10" customFormat="1" ht="11.25" x14ac:dyDescent="0.2">
      <c r="F36" s="109"/>
      <c r="J36" s="109"/>
    </row>
    <row r="37" spans="6:10" customFormat="1" ht="11.25" x14ac:dyDescent="0.2">
      <c r="F37" s="109"/>
      <c r="J37" s="109"/>
    </row>
    <row r="38" spans="6:10" customFormat="1" ht="11.25" x14ac:dyDescent="0.2">
      <c r="F38" s="109"/>
      <c r="J38" s="109"/>
    </row>
    <row r="39" spans="6:10" customFormat="1" ht="11.25" x14ac:dyDescent="0.2">
      <c r="F39" s="109"/>
      <c r="J39" s="109"/>
    </row>
    <row r="40" spans="6:10" ht="10.5" customHeight="1" x14ac:dyDescent="0.15">
      <c r="J40" s="171"/>
    </row>
    <row r="41" spans="6:10" ht="10.5" customHeight="1" x14ac:dyDescent="0.15">
      <c r="J41" s="171"/>
    </row>
    <row r="42" spans="6:10" ht="10.5" customHeight="1" x14ac:dyDescent="0.15">
      <c r="J42" s="171"/>
    </row>
    <row r="43" spans="6:10" ht="10.5" customHeight="1" x14ac:dyDescent="0.15">
      <c r="J43" s="171"/>
    </row>
    <row r="44" spans="6:10" ht="10.5" customHeight="1" x14ac:dyDescent="0.15">
      <c r="J44" s="171"/>
    </row>
    <row r="45" spans="6:10" ht="10.5" customHeight="1" x14ac:dyDescent="0.15">
      <c r="J45" s="171"/>
    </row>
    <row r="46" spans="6:10" ht="10.5" customHeight="1" x14ac:dyDescent="0.15">
      <c r="J46" s="171"/>
    </row>
    <row r="47" spans="6:10" ht="10.5" customHeight="1" x14ac:dyDescent="0.15">
      <c r="J47" s="171"/>
    </row>
    <row r="48" spans="6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  <row r="81" spans="10:10" ht="10.5" customHeight="1" x14ac:dyDescent="0.15">
      <c r="J81" s="171"/>
    </row>
    <row r="82" spans="10:10" ht="10.5" customHeight="1" x14ac:dyDescent="0.15">
      <c r="J82" s="171"/>
    </row>
    <row r="83" spans="10:10" ht="10.5" customHeight="1" x14ac:dyDescent="0.15">
      <c r="J83" s="171"/>
    </row>
    <row r="84" spans="10:10" ht="10.5" customHeight="1" x14ac:dyDescent="0.15">
      <c r="J84" s="171"/>
    </row>
    <row r="85" spans="10:10" ht="10.5" customHeight="1" x14ac:dyDescent="0.15">
      <c r="J85" s="171"/>
    </row>
    <row r="86" spans="10:10" ht="10.5" customHeight="1" x14ac:dyDescent="0.15">
      <c r="J86" s="171"/>
    </row>
    <row r="87" spans="10:10" ht="10.5" customHeight="1" x14ac:dyDescent="0.15">
      <c r="J87" s="171"/>
    </row>
    <row r="88" spans="10:10" ht="10.5" customHeight="1" x14ac:dyDescent="0.15">
      <c r="J88" s="171"/>
    </row>
    <row r="89" spans="10:10" ht="10.5" customHeight="1" x14ac:dyDescent="0.15">
      <c r="J89" s="171"/>
    </row>
    <row r="90" spans="10:10" ht="10.5" customHeight="1" x14ac:dyDescent="0.15">
      <c r="J90" s="171"/>
    </row>
    <row r="91" spans="10:10" ht="10.5" customHeight="1" x14ac:dyDescent="0.15">
      <c r="J91" s="171"/>
    </row>
    <row r="92" spans="10:10" ht="10.5" customHeight="1" x14ac:dyDescent="0.15">
      <c r="J92" s="171"/>
    </row>
    <row r="93" spans="10:10" ht="10.5" customHeight="1" x14ac:dyDescent="0.15">
      <c r="J93" s="171"/>
    </row>
    <row r="94" spans="10:10" ht="10.5" customHeight="1" x14ac:dyDescent="0.15">
      <c r="J94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-399999.99979999999</v>
      </c>
      <c r="M7" s="130">
        <f>SUM(B5:M5)</f>
        <v>-399999.99979999999</v>
      </c>
      <c r="N7" s="130">
        <f t="shared" ref="N7:Y7" si="0">SUM(C5:N5)</f>
        <v>-199999.9999</v>
      </c>
      <c r="O7" s="130">
        <f t="shared" si="0"/>
        <v>0</v>
      </c>
      <c r="P7" s="130">
        <f t="shared" si="0"/>
        <v>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-399999.99979999999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602379.43259999994</v>
      </c>
      <c r="C13" s="130">
        <f>Dth_Day!D32*C12</f>
        <v>693485.80069999979</v>
      </c>
      <c r="D13" s="130">
        <f>Dth_Day!E32*D12</f>
        <v>591178.27159999986</v>
      </c>
      <c r="E13" s="130">
        <f>Dth_Day!F32*E12</f>
        <v>48468.800699999905</v>
      </c>
      <c r="F13" s="130">
        <f>Dth_Day!G32*F12</f>
        <v>-93654.902999999977</v>
      </c>
      <c r="G13" s="130">
        <f>Dth_Day!H32*G12</f>
        <v>489836.26690000005</v>
      </c>
      <c r="H13" s="130">
        <f>Dth_Day!I32*H12</f>
        <v>673507.64400000009</v>
      </c>
      <c r="I13" s="130">
        <f>Dth_Day!J32*I12</f>
        <v>37765.898800000075</v>
      </c>
      <c r="J13" s="130">
        <f>Dth_Day!K32*J12</f>
        <v>-63263.101199999925</v>
      </c>
      <c r="K13" s="130">
        <f>Dth_Day!L32*K12</f>
        <v>475537.64400000009</v>
      </c>
      <c r="L13" s="130">
        <f>Dth_Day!M32*L12</f>
        <v>921730.89880000008</v>
      </c>
      <c r="M13" s="130">
        <f>Dth_Day!N32*M12</f>
        <v>409690.19099999999</v>
      </c>
      <c r="N13" s="130">
        <f>Dth_Day!O32*N12</f>
        <v>251637.5307</v>
      </c>
      <c r="O13" s="130">
        <f>Dth_Day!P32*O12</f>
        <v>234649.5307</v>
      </c>
      <c r="P13" s="130">
        <f>Dth_Day!Q32*P12</f>
        <v>296781.51160000003</v>
      </c>
      <c r="Q13" s="130">
        <f>Dth_Day!R32*Q12</f>
        <v>711646.5307</v>
      </c>
      <c r="R13" s="130">
        <f>Dth_Day!S32*R12</f>
        <v>-649674.90299999993</v>
      </c>
      <c r="S13" s="130">
        <f>Dth_Day!T32*S12</f>
        <v>-460189.73309999995</v>
      </c>
      <c r="T13" s="130">
        <f>Dth_Day!U32*T12</f>
        <v>-478674.90299999999</v>
      </c>
      <c r="U13" s="130">
        <f>Dth_Day!V32*U12</f>
        <v>-1612180.7331000001</v>
      </c>
      <c r="V13" s="130">
        <f>Dth_Day!W32*V12</f>
        <v>-1971191.7330999998</v>
      </c>
      <c r="W13" s="130">
        <f>Dth_Day!X32*W12</f>
        <v>-1620654.9029999999</v>
      </c>
      <c r="X13" s="130">
        <f>Dth_Day!Y32*X12</f>
        <v>-1168167.7331000001</v>
      </c>
      <c r="Y13" s="130">
        <f>Dth_Day!Z32*Y12</f>
        <v>-1606020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4786662.8449000008</v>
      </c>
      <c r="C16" s="130">
        <f>MIN(M16:Y16)</f>
        <v>-8072039.5376999993</v>
      </c>
      <c r="M16" s="130">
        <f>SUM(B13:M13)</f>
        <v>4786662.8449000008</v>
      </c>
      <c r="N16" s="130">
        <f t="shared" ref="N16:Y16" si="3">SUM(C13:N13)</f>
        <v>4435920.9430000009</v>
      </c>
      <c r="O16" s="130">
        <f t="shared" si="3"/>
        <v>3977084.6730000004</v>
      </c>
      <c r="P16" s="130">
        <f t="shared" si="3"/>
        <v>3682687.9130000002</v>
      </c>
      <c r="Q16" s="130">
        <f t="shared" si="3"/>
        <v>4345865.6430000011</v>
      </c>
      <c r="R16" s="130">
        <f t="shared" si="3"/>
        <v>3789845.6430000002</v>
      </c>
      <c r="S16" s="130">
        <f t="shared" si="3"/>
        <v>2839819.6430000006</v>
      </c>
      <c r="T16" s="130">
        <f t="shared" si="3"/>
        <v>1687637.0960000004</v>
      </c>
      <c r="U16" s="130">
        <f t="shared" si="3"/>
        <v>37690.464100000216</v>
      </c>
      <c r="V16" s="130">
        <f t="shared" si="3"/>
        <v>-1870238.1677999997</v>
      </c>
      <c r="W16" s="130">
        <f t="shared" si="3"/>
        <v>-3966430.7147999993</v>
      </c>
      <c r="X16" s="130">
        <f t="shared" si="3"/>
        <v>-6056329.3466999996</v>
      </c>
      <c r="Y16" s="130">
        <f t="shared" si="3"/>
        <v>-8072039.5376999993</v>
      </c>
    </row>
    <row r="17" spans="1:25" x14ac:dyDescent="0.2">
      <c r="A17" s="130"/>
      <c r="B17" s="40">
        <f>IF(ABS(C16)&gt;ABS(B16),C16,B16)</f>
        <v>-8072039.5376999993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4786662.8449000008</v>
      </c>
      <c r="C24" s="129"/>
    </row>
    <row r="25" spans="1:25" x14ac:dyDescent="0.2">
      <c r="A25" s="130" t="s">
        <v>53</v>
      </c>
      <c r="B25" s="130">
        <f>SUM(N13:Y13)</f>
        <v>-8072039.5376999993</v>
      </c>
      <c r="C25" s="129"/>
    </row>
    <row r="26" spans="1:25" x14ac:dyDescent="0.2">
      <c r="A26" s="134" t="s">
        <v>101</v>
      </c>
      <c r="B26" s="134">
        <f>SUM(B24:B25)</f>
        <v>-3285376.6927999984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-399999.99979999999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/>
  </sheetViews>
  <sheetFormatPr defaultRowHeight="8.25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75" x14ac:dyDescent="0.25">
      <c r="A1" s="190" t="s">
        <v>139</v>
      </c>
      <c r="B1" s="191"/>
      <c r="C1" s="191"/>
      <c r="D1" s="191"/>
      <c r="E1" s="191"/>
      <c r="F1" s="191"/>
      <c r="G1" s="191"/>
    </row>
    <row r="3" spans="1:21" ht="11.25" x14ac:dyDescent="0.2">
      <c r="A3" s="215" t="s">
        <v>85</v>
      </c>
      <c r="B3" s="153" t="s">
        <v>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4"/>
      <c r="O3"/>
      <c r="P3"/>
      <c r="Q3" s="154"/>
    </row>
    <row r="4" spans="1:21" ht="11.25" x14ac:dyDescent="0.2">
      <c r="A4" s="155"/>
      <c r="B4" s="4">
        <v>37226</v>
      </c>
      <c r="C4" s="5">
        <v>37257</v>
      </c>
      <c r="D4" s="5">
        <v>37288</v>
      </c>
      <c r="E4" s="5">
        <v>37316</v>
      </c>
      <c r="F4" s="5">
        <v>37347</v>
      </c>
      <c r="G4" s="5">
        <v>37377</v>
      </c>
      <c r="H4" s="5">
        <v>37408</v>
      </c>
      <c r="I4" s="5">
        <v>37438</v>
      </c>
      <c r="J4" s="5">
        <v>37469</v>
      </c>
      <c r="K4" s="5">
        <v>37500</v>
      </c>
      <c r="L4" s="5">
        <v>37530</v>
      </c>
      <c r="M4" s="3" t="s">
        <v>83</v>
      </c>
      <c r="N4" s="156" t="s">
        <v>84</v>
      </c>
      <c r="O4"/>
      <c r="P4"/>
      <c r="Q4" s="156"/>
    </row>
    <row r="5" spans="1:21" ht="11.25" x14ac:dyDescent="0.2">
      <c r="A5" s="157" t="s">
        <v>20</v>
      </c>
      <c r="B5" s="158">
        <v>-15500</v>
      </c>
      <c r="C5" s="6">
        <v>-15500</v>
      </c>
      <c r="D5" s="6">
        <v>-14000</v>
      </c>
      <c r="E5" s="6">
        <v>-15500</v>
      </c>
      <c r="F5" s="6">
        <v>9750</v>
      </c>
      <c r="G5" s="6">
        <v>10075</v>
      </c>
      <c r="H5" s="6">
        <v>9750</v>
      </c>
      <c r="I5" s="6">
        <v>10075</v>
      </c>
      <c r="J5" s="6">
        <v>10075</v>
      </c>
      <c r="K5" s="6">
        <v>9750</v>
      </c>
      <c r="L5" s="6">
        <v>10075</v>
      </c>
      <c r="M5" s="6"/>
      <c r="N5" s="159">
        <v>9050</v>
      </c>
      <c r="O5"/>
      <c r="P5"/>
      <c r="Q5" s="159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1.25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109">
        <v>37167</v>
      </c>
      <c r="G9" t="s">
        <v>205</v>
      </c>
      <c r="H9" t="s">
        <v>206</v>
      </c>
      <c r="I9" t="s">
        <v>207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2.66</v>
      </c>
      <c r="S9">
        <v>2.625</v>
      </c>
      <c r="T9">
        <v>-5250</v>
      </c>
      <c r="U9" t="s">
        <v>209</v>
      </c>
    </row>
    <row r="10" spans="1:21" ht="11.25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109">
        <v>37167</v>
      </c>
      <c r="G10" t="s">
        <v>205</v>
      </c>
      <c r="H10" t="s">
        <v>206</v>
      </c>
      <c r="I10" t="s">
        <v>207</v>
      </c>
      <c r="J10" s="10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2.79</v>
      </c>
      <c r="S10">
        <v>2.75</v>
      </c>
      <c r="T10">
        <v>-6200</v>
      </c>
      <c r="U10" t="s">
        <v>209</v>
      </c>
    </row>
    <row r="11" spans="1:21" ht="11.25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109">
        <v>37167</v>
      </c>
      <c r="G11" t="s">
        <v>205</v>
      </c>
      <c r="H11" t="s">
        <v>206</v>
      </c>
      <c r="I11" t="s">
        <v>207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2.84</v>
      </c>
      <c r="S11">
        <v>2.802</v>
      </c>
      <c r="T11">
        <v>-5700</v>
      </c>
      <c r="U11" t="s">
        <v>209</v>
      </c>
    </row>
    <row r="12" spans="1:21" ht="11.25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109">
        <v>37167</v>
      </c>
      <c r="G12" t="s">
        <v>205</v>
      </c>
      <c r="H12" t="s">
        <v>206</v>
      </c>
      <c r="I12" t="s">
        <v>207</v>
      </c>
      <c r="J12" s="10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2.88</v>
      </c>
      <c r="S12">
        <v>2.8420000000000001</v>
      </c>
      <c r="T12">
        <v>-5890</v>
      </c>
      <c r="U12" t="s">
        <v>209</v>
      </c>
    </row>
    <row r="13" spans="1:21" ht="11.25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109">
        <v>37167</v>
      </c>
      <c r="G13" t="s">
        <v>205</v>
      </c>
      <c r="H13" t="s">
        <v>206</v>
      </c>
      <c r="I13" t="s">
        <v>207</v>
      </c>
      <c r="J13" s="10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2.83</v>
      </c>
      <c r="S13">
        <v>2.79</v>
      </c>
      <c r="T13">
        <v>-6200</v>
      </c>
      <c r="U13" t="s">
        <v>209</v>
      </c>
    </row>
    <row r="14" spans="1:21" ht="11.25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109">
        <v>37167</v>
      </c>
      <c r="G14" t="s">
        <v>205</v>
      </c>
      <c r="H14" t="s">
        <v>206</v>
      </c>
      <c r="I14" t="s">
        <v>207</v>
      </c>
      <c r="J14" s="10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2.75</v>
      </c>
      <c r="S14">
        <v>2.71</v>
      </c>
      <c r="T14">
        <v>-6000</v>
      </c>
      <c r="U14" t="s">
        <v>209</v>
      </c>
    </row>
    <row r="15" spans="1:21" ht="11.25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109">
        <v>37167</v>
      </c>
      <c r="G15" t="s">
        <v>205</v>
      </c>
      <c r="H15" t="s">
        <v>206</v>
      </c>
      <c r="I15" t="s">
        <v>207</v>
      </c>
      <c r="J15" s="10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2.7</v>
      </c>
      <c r="S15">
        <v>2.6680000000000001</v>
      </c>
      <c r="T15">
        <v>-4960</v>
      </c>
      <c r="U15" t="s">
        <v>209</v>
      </c>
    </row>
    <row r="16" spans="1:21" ht="11.25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109">
        <v>37112</v>
      </c>
      <c r="G16" t="s">
        <v>205</v>
      </c>
      <c r="H16" t="s">
        <v>206</v>
      </c>
      <c r="I16" t="s">
        <v>210</v>
      </c>
      <c r="J16" s="10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3.165</v>
      </c>
      <c r="S16">
        <v>2.621</v>
      </c>
      <c r="T16">
        <v>-84320</v>
      </c>
      <c r="U16" t="s">
        <v>209</v>
      </c>
    </row>
    <row r="17" spans="1:21" ht="11.25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109">
        <v>37112</v>
      </c>
      <c r="G17" t="s">
        <v>205</v>
      </c>
      <c r="H17" t="s">
        <v>206</v>
      </c>
      <c r="I17" t="s">
        <v>210</v>
      </c>
      <c r="J17" s="10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3.4049999999999998</v>
      </c>
      <c r="S17">
        <v>2.738</v>
      </c>
      <c r="T17">
        <v>-103385</v>
      </c>
      <c r="U17" t="s">
        <v>209</v>
      </c>
    </row>
    <row r="18" spans="1:21" ht="11.25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109">
        <v>37112</v>
      </c>
      <c r="G18" t="s">
        <v>205</v>
      </c>
      <c r="H18" t="s">
        <v>206</v>
      </c>
      <c r="I18" t="s">
        <v>210</v>
      </c>
      <c r="J18" s="10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3.415</v>
      </c>
      <c r="S18">
        <v>2.766</v>
      </c>
      <c r="T18">
        <v>-90860</v>
      </c>
      <c r="U18" t="s">
        <v>209</v>
      </c>
    </row>
    <row r="19" spans="1:21" ht="11.25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109">
        <v>37112</v>
      </c>
      <c r="G19" t="s">
        <v>205</v>
      </c>
      <c r="H19" t="s">
        <v>206</v>
      </c>
      <c r="I19" t="s">
        <v>210</v>
      </c>
      <c r="J19" s="10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3.375</v>
      </c>
      <c r="S19">
        <v>2.9260000000000002</v>
      </c>
      <c r="T19">
        <v>-69595</v>
      </c>
      <c r="U19" t="s">
        <v>209</v>
      </c>
    </row>
    <row r="20" spans="1:21" ht="11.25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109">
        <v>37174</v>
      </c>
      <c r="G20" t="s">
        <v>205</v>
      </c>
      <c r="H20" t="s">
        <v>211</v>
      </c>
      <c r="I20" t="s">
        <v>212</v>
      </c>
      <c r="J20" s="10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2.621</v>
      </c>
      <c r="S20">
        <v>2.7149999999999999</v>
      </c>
      <c r="T20">
        <v>14570</v>
      </c>
      <c r="U20" t="s">
        <v>209</v>
      </c>
    </row>
    <row r="21" spans="1:21" ht="11.25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109">
        <v>37174</v>
      </c>
      <c r="G21" t="s">
        <v>205</v>
      </c>
      <c r="H21" t="s">
        <v>211</v>
      </c>
      <c r="I21" t="s">
        <v>212</v>
      </c>
      <c r="J21" s="10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2.766</v>
      </c>
      <c r="S21">
        <v>2.9649999999999999</v>
      </c>
      <c r="T21">
        <v>27860</v>
      </c>
      <c r="U21" t="s">
        <v>209</v>
      </c>
    </row>
    <row r="22" spans="1:21" ht="11.25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109">
        <v>37174</v>
      </c>
      <c r="G22" t="s">
        <v>205</v>
      </c>
      <c r="H22" t="s">
        <v>211</v>
      </c>
      <c r="I22" t="s">
        <v>212</v>
      </c>
      <c r="J22" s="10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2.738</v>
      </c>
      <c r="S22">
        <v>2.9550000000000001</v>
      </c>
      <c r="T22">
        <v>33635</v>
      </c>
      <c r="U22" t="s">
        <v>209</v>
      </c>
    </row>
    <row r="23" spans="1:21" ht="11.25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109">
        <v>37174</v>
      </c>
      <c r="G23" t="s">
        <v>205</v>
      </c>
      <c r="H23" t="s">
        <v>211</v>
      </c>
      <c r="I23" t="s">
        <v>212</v>
      </c>
      <c r="J23" s="10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2.9260000000000002</v>
      </c>
      <c r="S23">
        <v>2.9249999999999998</v>
      </c>
      <c r="T23">
        <v>-155</v>
      </c>
      <c r="U23" t="s">
        <v>209</v>
      </c>
    </row>
    <row r="24" spans="1:21" ht="11.25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109">
        <v>37062</v>
      </c>
      <c r="G24" t="s">
        <v>205</v>
      </c>
      <c r="H24" t="s">
        <v>206</v>
      </c>
      <c r="I24" t="s">
        <v>213</v>
      </c>
      <c r="J24" s="10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2.625</v>
      </c>
      <c r="S24">
        <v>2.7250000000000001</v>
      </c>
      <c r="T24">
        <v>15000</v>
      </c>
      <c r="U24" t="s">
        <v>209</v>
      </c>
    </row>
    <row r="25" spans="1:21" ht="11.25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109">
        <v>37062</v>
      </c>
      <c r="G25" t="s">
        <v>205</v>
      </c>
      <c r="H25" t="s">
        <v>206</v>
      </c>
      <c r="I25" t="s">
        <v>213</v>
      </c>
      <c r="J25" s="10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2.6680000000000001</v>
      </c>
      <c r="S25">
        <v>2.7650000000000001</v>
      </c>
      <c r="T25">
        <v>15035</v>
      </c>
      <c r="U25" t="s">
        <v>209</v>
      </c>
    </row>
    <row r="26" spans="1:21" ht="11.25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109">
        <v>37062</v>
      </c>
      <c r="G26" t="s">
        <v>205</v>
      </c>
      <c r="H26" t="s">
        <v>206</v>
      </c>
      <c r="I26" t="s">
        <v>213</v>
      </c>
      <c r="J26" s="10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2.71</v>
      </c>
      <c r="S26">
        <v>2.8149999999999999</v>
      </c>
      <c r="T26">
        <v>15750</v>
      </c>
      <c r="U26" t="s">
        <v>209</v>
      </c>
    </row>
    <row r="27" spans="1:21" ht="11.25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109">
        <v>37062</v>
      </c>
      <c r="G27" t="s">
        <v>205</v>
      </c>
      <c r="H27" t="s">
        <v>206</v>
      </c>
      <c r="I27" t="s">
        <v>213</v>
      </c>
      <c r="J27" s="10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2.75</v>
      </c>
      <c r="S27">
        <v>2.855</v>
      </c>
      <c r="T27">
        <v>16275</v>
      </c>
      <c r="U27" t="s">
        <v>209</v>
      </c>
    </row>
    <row r="28" spans="1:21" ht="11.25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109">
        <v>37062</v>
      </c>
      <c r="G28" t="s">
        <v>205</v>
      </c>
      <c r="H28" t="s">
        <v>206</v>
      </c>
      <c r="I28" t="s">
        <v>213</v>
      </c>
      <c r="J28" s="10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2.79</v>
      </c>
      <c r="S28">
        <v>2.895</v>
      </c>
      <c r="T28">
        <v>16275</v>
      </c>
      <c r="U28" t="s">
        <v>209</v>
      </c>
    </row>
    <row r="29" spans="1:21" ht="11.25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109">
        <v>37062</v>
      </c>
      <c r="G29" t="s">
        <v>205</v>
      </c>
      <c r="H29" t="s">
        <v>206</v>
      </c>
      <c r="I29" t="s">
        <v>213</v>
      </c>
      <c r="J29" s="10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2.802</v>
      </c>
      <c r="S29">
        <v>2.9049999999999998</v>
      </c>
      <c r="T29">
        <v>15450</v>
      </c>
      <c r="U29" t="s">
        <v>209</v>
      </c>
    </row>
    <row r="30" spans="1:21" ht="11.25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109">
        <v>37062</v>
      </c>
      <c r="G30" t="s">
        <v>205</v>
      </c>
      <c r="H30" t="s">
        <v>206</v>
      </c>
      <c r="I30" t="s">
        <v>213</v>
      </c>
      <c r="J30" s="10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2.8420000000000001</v>
      </c>
      <c r="S30">
        <v>2.9449999999999998</v>
      </c>
      <c r="T30">
        <v>15965</v>
      </c>
      <c r="U30" t="s">
        <v>209</v>
      </c>
    </row>
    <row r="31" spans="1:21" ht="11.25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109">
        <v>37124</v>
      </c>
      <c r="G31" t="s">
        <v>205</v>
      </c>
      <c r="H31" t="s">
        <v>206</v>
      </c>
      <c r="I31" t="s">
        <v>213</v>
      </c>
      <c r="J31" s="10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2.621</v>
      </c>
      <c r="S31">
        <v>3.21</v>
      </c>
      <c r="T31">
        <v>91295</v>
      </c>
      <c r="U31" t="s">
        <v>209</v>
      </c>
    </row>
    <row r="32" spans="1:21" ht="11.25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109">
        <v>37124</v>
      </c>
      <c r="G32" t="s">
        <v>205</v>
      </c>
      <c r="H32" t="s">
        <v>206</v>
      </c>
      <c r="I32" t="s">
        <v>213</v>
      </c>
      <c r="J32" s="10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2.9260000000000002</v>
      </c>
      <c r="S32">
        <v>3.42</v>
      </c>
      <c r="T32">
        <v>76570</v>
      </c>
      <c r="U32" t="s">
        <v>209</v>
      </c>
    </row>
    <row r="33" spans="1:21" ht="11.25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109">
        <v>37124</v>
      </c>
      <c r="G33" t="s">
        <v>205</v>
      </c>
      <c r="H33" t="s">
        <v>206</v>
      </c>
      <c r="I33" t="s">
        <v>213</v>
      </c>
      <c r="J33" s="10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2.766</v>
      </c>
      <c r="S33">
        <v>3.46</v>
      </c>
      <c r="T33">
        <v>97160</v>
      </c>
      <c r="U33" t="s">
        <v>209</v>
      </c>
    </row>
    <row r="34" spans="1:21" ht="11.25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109">
        <v>37124</v>
      </c>
      <c r="G34" t="s">
        <v>205</v>
      </c>
      <c r="H34" t="s">
        <v>206</v>
      </c>
      <c r="I34" t="s">
        <v>213</v>
      </c>
      <c r="J34" s="10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2.738</v>
      </c>
      <c r="S34">
        <v>3.45</v>
      </c>
      <c r="T34">
        <v>110360</v>
      </c>
      <c r="U34" t="s">
        <v>209</v>
      </c>
    </row>
    <row r="35" spans="1:21" ht="11.25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109">
        <v>37188</v>
      </c>
      <c r="G35" t="s">
        <v>205</v>
      </c>
      <c r="H35" t="s">
        <v>206</v>
      </c>
      <c r="I35" t="s">
        <v>213</v>
      </c>
      <c r="J35" s="10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3.1</v>
      </c>
      <c r="S35">
        <v>2.738</v>
      </c>
      <c r="T35">
        <v>-56110</v>
      </c>
      <c r="U35" t="s">
        <v>209</v>
      </c>
    </row>
    <row r="36" spans="1:21" ht="11.25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109">
        <v>37188</v>
      </c>
      <c r="G36" t="s">
        <v>205</v>
      </c>
      <c r="H36" t="s">
        <v>206</v>
      </c>
      <c r="I36" t="s">
        <v>213</v>
      </c>
      <c r="J36" s="10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3.11</v>
      </c>
      <c r="S36">
        <v>2.766</v>
      </c>
      <c r="T36">
        <v>-48160</v>
      </c>
      <c r="U36" t="s">
        <v>209</v>
      </c>
    </row>
    <row r="37" spans="1:21" ht="11.25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109">
        <v>37188</v>
      </c>
      <c r="G37" t="s">
        <v>205</v>
      </c>
      <c r="H37" t="s">
        <v>206</v>
      </c>
      <c r="I37" t="s">
        <v>213</v>
      </c>
      <c r="J37" s="10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3.07</v>
      </c>
      <c r="S37">
        <v>2.9260000000000002</v>
      </c>
      <c r="T37">
        <v>-22320</v>
      </c>
      <c r="U37" t="s">
        <v>209</v>
      </c>
    </row>
    <row r="38" spans="1:21" ht="11.25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109">
        <v>37188</v>
      </c>
      <c r="G38" t="s">
        <v>205</v>
      </c>
      <c r="H38" t="s">
        <v>206</v>
      </c>
      <c r="I38" t="s">
        <v>213</v>
      </c>
      <c r="J38" s="10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2.86</v>
      </c>
      <c r="S38">
        <v>2.621</v>
      </c>
      <c r="T38">
        <v>-37045</v>
      </c>
      <c r="U38" t="s">
        <v>209</v>
      </c>
    </row>
    <row r="39" spans="1:21" ht="11.25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109"/>
    </row>
    <row r="44" spans="1:21" ht="11.25" x14ac:dyDescent="0.2">
      <c r="J44" s="109"/>
    </row>
    <row r="45" spans="1:21" ht="11.25" x14ac:dyDescent="0.2">
      <c r="J45" s="109"/>
    </row>
    <row r="46" spans="1:21" ht="11.25" x14ac:dyDescent="0.2">
      <c r="J46" s="109"/>
    </row>
    <row r="47" spans="1:21" ht="11.25" x14ac:dyDescent="0.2">
      <c r="J47" s="109"/>
    </row>
    <row r="48" spans="1:21" ht="11.25" x14ac:dyDescent="0.2">
      <c r="J48" s="109"/>
    </row>
    <row r="49" spans="10:10" ht="11.25" x14ac:dyDescent="0.2">
      <c r="J49" s="109"/>
    </row>
    <row r="50" spans="10:10" ht="11.25" x14ac:dyDescent="0.2">
      <c r="J50" s="109"/>
    </row>
    <row r="51" spans="10:10" ht="11.25" x14ac:dyDescent="0.2">
      <c r="J51" s="109"/>
    </row>
    <row r="52" spans="10:10" ht="11.25" x14ac:dyDescent="0.2">
      <c r="J52" s="109"/>
    </row>
    <row r="53" spans="10:10" ht="11.25" x14ac:dyDescent="0.2">
      <c r="J53" s="109"/>
    </row>
    <row r="54" spans="10:10" ht="11.25" x14ac:dyDescent="0.2">
      <c r="J54" s="109"/>
    </row>
    <row r="55" spans="10:10" ht="11.25" x14ac:dyDescent="0.2">
      <c r="J55" s="109"/>
    </row>
    <row r="56" spans="10:10" ht="11.25" x14ac:dyDescent="0.2">
      <c r="J56" s="109"/>
    </row>
    <row r="57" spans="10:10" ht="11.25" x14ac:dyDescent="0.2">
      <c r="J57" s="109"/>
    </row>
    <row r="58" spans="10:10" ht="11.25" x14ac:dyDescent="0.2">
      <c r="J58" s="109"/>
    </row>
    <row r="59" spans="10:10" ht="11.25" x14ac:dyDescent="0.2">
      <c r="J59" s="109"/>
    </row>
    <row r="60" spans="10:10" ht="11.25" x14ac:dyDescent="0.2">
      <c r="J60" s="109"/>
    </row>
    <row r="61" spans="10:10" ht="11.25" x14ac:dyDescent="0.2">
      <c r="J61" s="109"/>
    </row>
    <row r="62" spans="10:10" ht="11.25" x14ac:dyDescent="0.2">
      <c r="J62" s="109"/>
    </row>
    <row r="63" spans="10:10" ht="11.25" x14ac:dyDescent="0.2">
      <c r="J63" s="109"/>
    </row>
    <row r="64" spans="10:10" ht="11.25" x14ac:dyDescent="0.2">
      <c r="J64" s="109"/>
    </row>
    <row r="65" spans="10:10" ht="11.25" x14ac:dyDescent="0.2">
      <c r="J65" s="109"/>
    </row>
    <row r="66" spans="10:10" ht="11.25" x14ac:dyDescent="0.2">
      <c r="J66" s="109"/>
    </row>
    <row r="67" spans="10:10" ht="11.25" x14ac:dyDescent="0.2">
      <c r="J67" s="109"/>
    </row>
    <row r="68" spans="10:10" ht="11.25" x14ac:dyDescent="0.2">
      <c r="J68" s="109"/>
    </row>
    <row r="69" spans="10:10" ht="11.25" x14ac:dyDescent="0.2">
      <c r="J69" s="109"/>
    </row>
    <row r="70" spans="10:10" ht="11.25" x14ac:dyDescent="0.2">
      <c r="J70" s="109"/>
    </row>
    <row r="71" spans="10:10" ht="11.25" x14ac:dyDescent="0.2">
      <c r="J71" s="109"/>
    </row>
    <row r="72" spans="10:10" ht="11.25" x14ac:dyDescent="0.2">
      <c r="J72" s="109"/>
    </row>
    <row r="73" spans="10:10" ht="11.25" x14ac:dyDescent="0.2">
      <c r="J73" s="109"/>
    </row>
    <row r="74" spans="10:10" ht="11.25" x14ac:dyDescent="0.2">
      <c r="J74" s="109"/>
    </row>
    <row r="75" spans="10:10" ht="11.25" x14ac:dyDescent="0.2">
      <c r="J75" s="109"/>
    </row>
    <row r="76" spans="10:10" ht="11.25" x14ac:dyDescent="0.2">
      <c r="J76" s="109"/>
    </row>
    <row r="77" spans="10:10" ht="11.25" x14ac:dyDescent="0.2">
      <c r="J77" s="109"/>
    </row>
    <row r="78" spans="10:10" ht="11.25" x14ac:dyDescent="0.2">
      <c r="J78" s="109"/>
    </row>
    <row r="79" spans="10:10" ht="11.25" x14ac:dyDescent="0.2">
      <c r="J79" s="109"/>
    </row>
    <row r="80" spans="10:10" ht="11.25" x14ac:dyDescent="0.2">
      <c r="J80" s="109"/>
    </row>
    <row r="81" spans="10:10" ht="11.25" x14ac:dyDescent="0.2">
      <c r="J81" s="109"/>
    </row>
    <row r="82" spans="10:10" ht="11.25" x14ac:dyDescent="0.2">
      <c r="J82" s="109"/>
    </row>
    <row r="83" spans="10:10" ht="11.25" x14ac:dyDescent="0.2">
      <c r="J83" s="109"/>
    </row>
    <row r="84" spans="10:10" ht="11.25" x14ac:dyDescent="0.2">
      <c r="J84" s="109"/>
    </row>
    <row r="85" spans="10:10" ht="11.25" x14ac:dyDescent="0.2">
      <c r="J85" s="109"/>
    </row>
    <row r="86" spans="10:10" ht="11.25" x14ac:dyDescent="0.2">
      <c r="J86" s="109"/>
    </row>
    <row r="87" spans="10:10" ht="11.25" x14ac:dyDescent="0.2">
      <c r="J87" s="109"/>
    </row>
    <row r="88" spans="10:10" ht="11.25" x14ac:dyDescent="0.2">
      <c r="J88" s="109"/>
    </row>
    <row r="89" spans="10:10" ht="11.25" x14ac:dyDescent="0.2">
      <c r="J89" s="109"/>
    </row>
    <row r="90" spans="10:10" ht="11.25" x14ac:dyDescent="0.2">
      <c r="J90" s="109"/>
    </row>
    <row r="91" spans="10:10" ht="11.25" x14ac:dyDescent="0.2">
      <c r="J91" s="109"/>
    </row>
    <row r="92" spans="10:10" ht="11.25" x14ac:dyDescent="0.2">
      <c r="J92" s="109"/>
    </row>
    <row r="93" spans="10:10" ht="11.25" x14ac:dyDescent="0.2">
      <c r="J93" s="109"/>
    </row>
    <row r="94" spans="10:10" ht="11.25" x14ac:dyDescent="0.2">
      <c r="J94" s="109"/>
    </row>
    <row r="95" spans="10:10" ht="11.25" x14ac:dyDescent="0.2">
      <c r="J95" s="109"/>
    </row>
    <row r="96" spans="10:10" ht="11.25" x14ac:dyDescent="0.2">
      <c r="J96" s="109"/>
    </row>
    <row r="97" spans="10:10" ht="11.25" x14ac:dyDescent="0.2">
      <c r="J97" s="109"/>
    </row>
    <row r="98" spans="10:10" ht="11.25" x14ac:dyDescent="0.2">
      <c r="J98" s="109"/>
    </row>
    <row r="99" spans="10:10" ht="11.25" x14ac:dyDescent="0.2">
      <c r="J99" s="109"/>
    </row>
    <row r="100" spans="10:10" ht="11.25" x14ac:dyDescent="0.2">
      <c r="J100" s="109"/>
    </row>
    <row r="101" spans="10:10" ht="11.25" x14ac:dyDescent="0.2">
      <c r="J101" s="109"/>
    </row>
    <row r="102" spans="10:10" ht="11.25" x14ac:dyDescent="0.2">
      <c r="J102" s="109"/>
    </row>
    <row r="103" spans="10:10" ht="11.25" x14ac:dyDescent="0.2">
      <c r="J103" s="109"/>
    </row>
    <row r="104" spans="10:10" ht="11.25" x14ac:dyDescent="0.2">
      <c r="J104" s="109"/>
    </row>
    <row r="105" spans="10:10" ht="11.25" x14ac:dyDescent="0.2">
      <c r="J105" s="109"/>
    </row>
    <row r="106" spans="10:10" ht="11.25" x14ac:dyDescent="0.2">
      <c r="J106" s="109"/>
    </row>
    <row r="107" spans="10:10" ht="11.25" x14ac:dyDescent="0.2">
      <c r="J107" s="109"/>
    </row>
    <row r="108" spans="10:10" ht="11.25" x14ac:dyDescent="0.2">
      <c r="J108" s="109"/>
    </row>
    <row r="109" spans="10:10" ht="11.25" x14ac:dyDescent="0.2">
      <c r="J109" s="109"/>
    </row>
    <row r="110" spans="10:10" ht="11.25" x14ac:dyDescent="0.2">
      <c r="J110" s="109"/>
    </row>
    <row r="111" spans="10:10" ht="11.25" x14ac:dyDescent="0.2">
      <c r="J111" s="109"/>
    </row>
    <row r="112" spans="10:10" ht="11.25" x14ac:dyDescent="0.2">
      <c r="J112" s="109"/>
    </row>
    <row r="113" spans="10:10" ht="11.25" x14ac:dyDescent="0.2">
      <c r="J113" s="109"/>
    </row>
    <row r="114" spans="10:10" ht="11.25" x14ac:dyDescent="0.2">
      <c r="J114" s="109"/>
    </row>
    <row r="115" spans="10:10" ht="11.25" x14ac:dyDescent="0.2">
      <c r="J115" s="109"/>
    </row>
    <row r="116" spans="10:10" ht="11.25" x14ac:dyDescent="0.2">
      <c r="J116" s="109"/>
    </row>
    <row r="117" spans="10:10" ht="11.25" x14ac:dyDescent="0.2">
      <c r="J117" s="109"/>
    </row>
    <row r="118" spans="10:10" ht="11.25" x14ac:dyDescent="0.2">
      <c r="J118" s="109"/>
    </row>
    <row r="119" spans="10:10" ht="11.25" x14ac:dyDescent="0.2">
      <c r="J119" s="109"/>
    </row>
    <row r="120" spans="10:10" ht="11.25" x14ac:dyDescent="0.2">
      <c r="J120" s="109"/>
    </row>
    <row r="121" spans="10:10" ht="11.25" x14ac:dyDescent="0.2">
      <c r="J121" s="109"/>
    </row>
    <row r="122" spans="10:10" ht="11.25" x14ac:dyDescent="0.2">
      <c r="J122" s="109"/>
    </row>
    <row r="123" spans="10:10" ht="11.25" x14ac:dyDescent="0.2">
      <c r="J123" s="109"/>
    </row>
    <row r="124" spans="10:10" ht="11.25" x14ac:dyDescent="0.2">
      <c r="J124" s="109"/>
    </row>
    <row r="125" spans="10:10" ht="11.25" x14ac:dyDescent="0.2">
      <c r="J125" s="109"/>
    </row>
    <row r="126" spans="10:10" ht="11.25" x14ac:dyDescent="0.2">
      <c r="J126" s="109"/>
    </row>
    <row r="127" spans="10:10" ht="11.25" x14ac:dyDescent="0.2">
      <c r="J127" s="109"/>
    </row>
    <row r="128" spans="10:10" ht="11.25" x14ac:dyDescent="0.2">
      <c r="J128" s="109"/>
    </row>
    <row r="129" spans="10:10" ht="11.25" x14ac:dyDescent="0.2">
      <c r="J129" s="109"/>
    </row>
    <row r="130" spans="10:10" ht="11.25" x14ac:dyDescent="0.2">
      <c r="J130" s="109"/>
    </row>
    <row r="131" spans="10:10" ht="11.25" x14ac:dyDescent="0.2">
      <c r="J131" s="109"/>
    </row>
    <row r="132" spans="10:10" ht="11.25" x14ac:dyDescent="0.2">
      <c r="J132" s="109"/>
    </row>
    <row r="133" spans="10:10" ht="11.25" x14ac:dyDescent="0.2">
      <c r="J133" s="109"/>
    </row>
    <row r="134" spans="10:10" ht="11.25" x14ac:dyDescent="0.2">
      <c r="J134" s="109"/>
    </row>
    <row r="135" spans="10:10" ht="11.25" x14ac:dyDescent="0.2">
      <c r="J135" s="109"/>
    </row>
    <row r="136" spans="10:10" ht="11.25" x14ac:dyDescent="0.2">
      <c r="J136" s="109"/>
    </row>
    <row r="137" spans="10:10" ht="11.25" x14ac:dyDescent="0.2">
      <c r="J137" s="109"/>
    </row>
    <row r="138" spans="10:10" ht="11.25" x14ac:dyDescent="0.2">
      <c r="J138" s="109"/>
    </row>
    <row r="139" spans="10:10" ht="11.25" x14ac:dyDescent="0.2">
      <c r="J139" s="109"/>
    </row>
    <row r="140" spans="10:10" ht="11.25" x14ac:dyDescent="0.2">
      <c r="J140" s="109"/>
    </row>
    <row r="141" spans="10:10" ht="11.25" x14ac:dyDescent="0.2">
      <c r="J141" s="109"/>
    </row>
    <row r="142" spans="10:10" ht="11.25" x14ac:dyDescent="0.2">
      <c r="J142" s="109"/>
    </row>
    <row r="143" spans="10:10" ht="11.25" x14ac:dyDescent="0.2">
      <c r="J143" s="109"/>
    </row>
    <row r="144" spans="10:10" ht="11.25" x14ac:dyDescent="0.2">
      <c r="J144" s="109"/>
    </row>
    <row r="145" spans="10:10" ht="11.25" x14ac:dyDescent="0.2">
      <c r="J145" s="109"/>
    </row>
    <row r="146" spans="10:10" ht="11.25" x14ac:dyDescent="0.2">
      <c r="J146" s="109"/>
    </row>
    <row r="147" spans="10:10" ht="11.25" x14ac:dyDescent="0.2">
      <c r="J147" s="109"/>
    </row>
    <row r="148" spans="10:10" ht="11.25" x14ac:dyDescent="0.2">
      <c r="J148" s="109"/>
    </row>
    <row r="149" spans="10:10" ht="11.25" x14ac:dyDescent="0.2">
      <c r="J149" s="109"/>
    </row>
    <row r="150" spans="10:10" ht="11.25" x14ac:dyDescent="0.2">
      <c r="J150" s="109"/>
    </row>
    <row r="151" spans="10:10" ht="11.25" x14ac:dyDescent="0.2">
      <c r="J151" s="109"/>
    </row>
    <row r="152" spans="10:10" ht="11.25" x14ac:dyDescent="0.2">
      <c r="J152" s="109"/>
    </row>
    <row r="153" spans="10:10" ht="11.25" x14ac:dyDescent="0.2">
      <c r="J153" s="109"/>
    </row>
    <row r="154" spans="10:10" ht="11.25" x14ac:dyDescent="0.2">
      <c r="J154" s="109"/>
    </row>
    <row r="155" spans="10:10" ht="11.25" x14ac:dyDescent="0.2">
      <c r="J155" s="109"/>
    </row>
    <row r="156" spans="10:10" ht="11.25" x14ac:dyDescent="0.2">
      <c r="J156" s="109"/>
    </row>
    <row r="157" spans="10:10" ht="11.25" x14ac:dyDescent="0.2">
      <c r="J157" s="109"/>
    </row>
    <row r="158" spans="10:10" ht="11.25" x14ac:dyDescent="0.2">
      <c r="J158" s="109"/>
    </row>
    <row r="159" spans="10:10" ht="11.25" x14ac:dyDescent="0.2">
      <c r="J159" s="109"/>
    </row>
    <row r="160" spans="10:10" ht="11.25" x14ac:dyDescent="0.2">
      <c r="J160" s="109"/>
    </row>
    <row r="161" spans="10:10" ht="11.25" x14ac:dyDescent="0.2">
      <c r="J161" s="109"/>
    </row>
    <row r="162" spans="10:10" ht="11.25" x14ac:dyDescent="0.2">
      <c r="J162" s="109"/>
    </row>
    <row r="163" spans="10:10" ht="11.25" x14ac:dyDescent="0.2">
      <c r="J163" s="109"/>
    </row>
    <row r="164" spans="10:10" ht="11.25" x14ac:dyDescent="0.2">
      <c r="J164" s="109"/>
    </row>
    <row r="165" spans="10:10" ht="11.25" x14ac:dyDescent="0.2">
      <c r="J165" s="109"/>
    </row>
    <row r="166" spans="10:10" ht="11.25" x14ac:dyDescent="0.2">
      <c r="J166" s="109"/>
    </row>
    <row r="167" spans="10:10" ht="11.25" x14ac:dyDescent="0.2">
      <c r="J167" s="109"/>
    </row>
    <row r="168" spans="10:10" ht="11.25" x14ac:dyDescent="0.2">
      <c r="J168" s="109"/>
    </row>
    <row r="169" spans="10:10" ht="11.25" x14ac:dyDescent="0.2">
      <c r="J169" s="109"/>
    </row>
    <row r="170" spans="10:10" ht="11.25" x14ac:dyDescent="0.2">
      <c r="J170" s="109"/>
    </row>
    <row r="171" spans="10:10" ht="11.25" x14ac:dyDescent="0.2">
      <c r="J171" s="109"/>
    </row>
    <row r="172" spans="10:10" ht="11.25" x14ac:dyDescent="0.2">
      <c r="J172" s="109"/>
    </row>
    <row r="173" spans="10:10" ht="11.25" x14ac:dyDescent="0.2">
      <c r="J173" s="109"/>
    </row>
    <row r="174" spans="10:10" ht="11.25" x14ac:dyDescent="0.2">
      <c r="J174" s="109"/>
    </row>
    <row r="175" spans="10:10" ht="11.25" x14ac:dyDescent="0.2">
      <c r="J175" s="109"/>
    </row>
    <row r="176" spans="10:10" ht="11.25" x14ac:dyDescent="0.2">
      <c r="J176" s="109"/>
    </row>
    <row r="177" spans="10:10" ht="11.25" x14ac:dyDescent="0.2">
      <c r="J177" s="109"/>
    </row>
    <row r="178" spans="10:10" ht="11.25" x14ac:dyDescent="0.2">
      <c r="J178" s="109"/>
    </row>
    <row r="179" spans="10:10" ht="11.25" x14ac:dyDescent="0.2">
      <c r="J179" s="109"/>
    </row>
    <row r="180" spans="10:10" ht="11.25" x14ac:dyDescent="0.2">
      <c r="J180" s="109"/>
    </row>
    <row r="181" spans="10:10" ht="11.25" x14ac:dyDescent="0.2">
      <c r="J181" s="109"/>
    </row>
    <row r="182" spans="10:10" ht="11.25" x14ac:dyDescent="0.2">
      <c r="J182" s="109"/>
    </row>
    <row r="183" spans="10:10" ht="11.25" x14ac:dyDescent="0.2">
      <c r="J183" s="109"/>
    </row>
    <row r="184" spans="10:10" ht="11.25" x14ac:dyDescent="0.2">
      <c r="J184" s="109"/>
    </row>
    <row r="185" spans="10:10" ht="11.25" x14ac:dyDescent="0.2">
      <c r="J185" s="109"/>
    </row>
    <row r="186" spans="10:10" ht="11.25" x14ac:dyDescent="0.2">
      <c r="J186" s="109"/>
    </row>
    <row r="187" spans="10:10" ht="11.25" x14ac:dyDescent="0.2">
      <c r="J187" s="109"/>
    </row>
    <row r="188" spans="10:10" ht="11.25" x14ac:dyDescent="0.2">
      <c r="J188" s="109"/>
    </row>
    <row r="189" spans="10:10" ht="11.25" x14ac:dyDescent="0.2">
      <c r="J189" s="109"/>
    </row>
    <row r="190" spans="10:10" ht="11.25" x14ac:dyDescent="0.2">
      <c r="J190" s="109"/>
    </row>
    <row r="191" spans="10:10" ht="11.25" x14ac:dyDescent="0.2">
      <c r="J191" s="109"/>
    </row>
    <row r="192" spans="10:10" ht="11.25" x14ac:dyDescent="0.2">
      <c r="J192" s="109"/>
    </row>
    <row r="193" spans="10:10" ht="11.25" x14ac:dyDescent="0.2">
      <c r="J193" s="109"/>
    </row>
    <row r="194" spans="10:10" ht="11.25" x14ac:dyDescent="0.2">
      <c r="J194" s="109"/>
    </row>
    <row r="195" spans="10:10" ht="11.25" x14ac:dyDescent="0.2">
      <c r="J195" s="109"/>
    </row>
    <row r="196" spans="10:10" ht="11.25" x14ac:dyDescent="0.2">
      <c r="J196" s="109"/>
    </row>
    <row r="197" spans="10:10" ht="11.25" x14ac:dyDescent="0.2">
      <c r="J197" s="109"/>
    </row>
    <row r="198" spans="10:10" ht="11.25" x14ac:dyDescent="0.2">
      <c r="J198" s="109"/>
    </row>
    <row r="199" spans="10:10" ht="11.25" x14ac:dyDescent="0.2">
      <c r="J199" s="109"/>
    </row>
    <row r="200" spans="10:10" ht="11.25" x14ac:dyDescent="0.2">
      <c r="J200" s="109"/>
    </row>
    <row r="201" spans="10:10" ht="11.25" x14ac:dyDescent="0.2">
      <c r="J201" s="109"/>
    </row>
    <row r="202" spans="10:10" ht="11.25" x14ac:dyDescent="0.2">
      <c r="J202" s="109"/>
    </row>
    <row r="203" spans="10:10" ht="11.25" x14ac:dyDescent="0.2">
      <c r="J203" s="109"/>
    </row>
    <row r="204" spans="10:10" ht="11.25" x14ac:dyDescent="0.2">
      <c r="J204" s="109"/>
    </row>
    <row r="205" spans="10:10" ht="11.25" x14ac:dyDescent="0.2">
      <c r="J205" s="109"/>
    </row>
    <row r="206" spans="10:10" ht="11.25" x14ac:dyDescent="0.2">
      <c r="J206" s="109"/>
    </row>
    <row r="207" spans="10:10" ht="11.25" x14ac:dyDescent="0.2">
      <c r="J207" s="109"/>
    </row>
    <row r="208" spans="10:10" ht="11.25" x14ac:dyDescent="0.2">
      <c r="J208" s="109"/>
    </row>
    <row r="209" spans="10:10" ht="11.25" x14ac:dyDescent="0.2">
      <c r="J209" s="109"/>
    </row>
    <row r="210" spans="10:10" ht="11.25" x14ac:dyDescent="0.2">
      <c r="J210" s="109"/>
    </row>
    <row r="211" spans="10:10" ht="11.25" x14ac:dyDescent="0.2">
      <c r="J211" s="109"/>
    </row>
    <row r="212" spans="10:10" ht="11.25" x14ac:dyDescent="0.2">
      <c r="J212" s="109"/>
    </row>
    <row r="213" spans="10:10" ht="11.25" x14ac:dyDescent="0.2">
      <c r="J213" s="109"/>
    </row>
    <row r="214" spans="10:10" ht="11.25" x14ac:dyDescent="0.2">
      <c r="J214" s="109"/>
    </row>
    <row r="215" spans="10:10" ht="11.25" x14ac:dyDescent="0.2">
      <c r="J215" s="109"/>
    </row>
    <row r="216" spans="10:10" ht="11.25" x14ac:dyDescent="0.2">
      <c r="J216" s="109"/>
    </row>
    <row r="217" spans="10:10" ht="11.25" x14ac:dyDescent="0.2">
      <c r="J217" s="109"/>
    </row>
    <row r="218" spans="10:10" ht="11.25" x14ac:dyDescent="0.2">
      <c r="J218" s="109"/>
    </row>
    <row r="219" spans="10:10" ht="11.25" x14ac:dyDescent="0.2">
      <c r="J219" s="109"/>
    </row>
    <row r="220" spans="10:10" ht="11.25" x14ac:dyDescent="0.2">
      <c r="J220" s="109"/>
    </row>
    <row r="221" spans="10:10" ht="11.25" x14ac:dyDescent="0.2">
      <c r="J221" s="109"/>
    </row>
    <row r="222" spans="10:10" ht="11.25" x14ac:dyDescent="0.2">
      <c r="J222" s="109"/>
    </row>
    <row r="223" spans="10:10" ht="11.25" x14ac:dyDescent="0.2">
      <c r="J223" s="109"/>
    </row>
    <row r="224" spans="10:10" ht="11.25" x14ac:dyDescent="0.2">
      <c r="J224" s="109"/>
    </row>
    <row r="225" spans="10:10" ht="11.25" x14ac:dyDescent="0.2">
      <c r="J225" s="109"/>
    </row>
    <row r="226" spans="10:10" ht="11.25" x14ac:dyDescent="0.2">
      <c r="J226" s="109"/>
    </row>
    <row r="227" spans="10:10" ht="11.25" x14ac:dyDescent="0.2">
      <c r="J227" s="109"/>
    </row>
    <row r="228" spans="10:10" ht="11.25" x14ac:dyDescent="0.2">
      <c r="J228" s="109"/>
    </row>
    <row r="229" spans="10:10" ht="11.25" x14ac:dyDescent="0.2">
      <c r="J229" s="109"/>
    </row>
    <row r="230" spans="10:10" ht="11.25" x14ac:dyDescent="0.2">
      <c r="J230" s="109"/>
    </row>
    <row r="231" spans="10:10" ht="11.25" x14ac:dyDescent="0.2">
      <c r="J231" s="109"/>
    </row>
    <row r="232" spans="10:10" ht="11.25" x14ac:dyDescent="0.2">
      <c r="J232" s="109"/>
    </row>
    <row r="233" spans="10:10" ht="11.25" x14ac:dyDescent="0.2">
      <c r="J233" s="109"/>
    </row>
    <row r="234" spans="10:10" ht="11.25" x14ac:dyDescent="0.2">
      <c r="J234" s="109"/>
    </row>
    <row r="235" spans="10:10" ht="11.25" x14ac:dyDescent="0.2">
      <c r="J235" s="109"/>
    </row>
    <row r="236" spans="10:10" ht="11.25" x14ac:dyDescent="0.2">
      <c r="J236" s="109"/>
    </row>
    <row r="237" spans="10:10" ht="11.25" x14ac:dyDescent="0.2">
      <c r="J237" s="109"/>
    </row>
    <row r="238" spans="10:10" ht="11.25" x14ac:dyDescent="0.2">
      <c r="J238" s="109"/>
    </row>
    <row r="239" spans="10:10" ht="11.25" x14ac:dyDescent="0.2">
      <c r="J239" s="109"/>
    </row>
    <row r="240" spans="10:10" ht="11.25" x14ac:dyDescent="0.2">
      <c r="J240" s="109"/>
    </row>
    <row r="241" spans="10:10" ht="11.25" x14ac:dyDescent="0.2">
      <c r="J241" s="109"/>
    </row>
    <row r="242" spans="10:10" ht="11.25" x14ac:dyDescent="0.2">
      <c r="J242" s="109"/>
    </row>
    <row r="243" spans="10:10" ht="11.25" x14ac:dyDescent="0.2">
      <c r="J243" s="109"/>
    </row>
    <row r="244" spans="10:10" ht="11.25" x14ac:dyDescent="0.2">
      <c r="J244" s="109"/>
    </row>
    <row r="245" spans="10:10" ht="11.25" x14ac:dyDescent="0.2">
      <c r="J245" s="109"/>
    </row>
    <row r="246" spans="10:10" ht="11.25" x14ac:dyDescent="0.2">
      <c r="J246" s="109"/>
    </row>
    <row r="247" spans="10:10" ht="11.25" x14ac:dyDescent="0.2">
      <c r="J247" s="109"/>
    </row>
    <row r="248" spans="10:10" ht="11.25" x14ac:dyDescent="0.2">
      <c r="J248" s="109"/>
    </row>
    <row r="249" spans="10:10" ht="11.25" x14ac:dyDescent="0.2">
      <c r="J249" s="109"/>
    </row>
    <row r="250" spans="10:10" ht="11.25" x14ac:dyDescent="0.2">
      <c r="J250" s="109"/>
    </row>
    <row r="251" spans="10:10" ht="11.25" x14ac:dyDescent="0.2">
      <c r="J251" s="109"/>
    </row>
    <row r="252" spans="10:10" ht="11.25" x14ac:dyDescent="0.2">
      <c r="J252" s="109"/>
    </row>
    <row r="253" spans="10:10" ht="11.25" x14ac:dyDescent="0.2">
      <c r="J253" s="109"/>
    </row>
    <row r="254" spans="10:10" ht="11.25" x14ac:dyDescent="0.2">
      <c r="J254" s="109"/>
    </row>
    <row r="255" spans="10:10" ht="11.25" x14ac:dyDescent="0.2">
      <c r="J255" s="109"/>
    </row>
    <row r="256" spans="10:10" ht="11.25" x14ac:dyDescent="0.2">
      <c r="J256" s="109"/>
    </row>
    <row r="257" spans="10:10" ht="11.25" x14ac:dyDescent="0.2">
      <c r="J257" s="109"/>
    </row>
    <row r="258" spans="10:10" ht="11.25" x14ac:dyDescent="0.2">
      <c r="J258" s="109"/>
    </row>
    <row r="259" spans="10:10" ht="11.25" x14ac:dyDescent="0.2">
      <c r="J259" s="109"/>
    </row>
    <row r="260" spans="10:10" ht="11.25" x14ac:dyDescent="0.2">
      <c r="J260" s="109"/>
    </row>
    <row r="261" spans="10:10" ht="11.25" x14ac:dyDescent="0.2">
      <c r="J261" s="109"/>
    </row>
    <row r="262" spans="10:10" ht="11.25" x14ac:dyDescent="0.2">
      <c r="J262" s="109"/>
    </row>
    <row r="263" spans="10:10" ht="11.25" x14ac:dyDescent="0.2">
      <c r="J263" s="109"/>
    </row>
    <row r="264" spans="10:10" ht="11.25" x14ac:dyDescent="0.2">
      <c r="J264" s="109"/>
    </row>
    <row r="265" spans="10:10" ht="11.25" x14ac:dyDescent="0.2">
      <c r="J265" s="109"/>
    </row>
    <row r="266" spans="10:10" ht="11.25" x14ac:dyDescent="0.2">
      <c r="J266" s="109"/>
    </row>
    <row r="267" spans="10:10" ht="11.25" x14ac:dyDescent="0.2">
      <c r="J267" s="109"/>
    </row>
    <row r="268" spans="10:10" ht="11.25" x14ac:dyDescent="0.2">
      <c r="J268" s="109"/>
    </row>
    <row r="269" spans="10:10" ht="11.25" x14ac:dyDescent="0.2">
      <c r="J269" s="109"/>
    </row>
    <row r="270" spans="10:10" ht="11.25" x14ac:dyDescent="0.2">
      <c r="J270" s="109"/>
    </row>
    <row r="271" spans="10:10" ht="11.25" x14ac:dyDescent="0.2">
      <c r="J271" s="109"/>
    </row>
    <row r="272" spans="10:10" ht="11.25" x14ac:dyDescent="0.2">
      <c r="J272" s="109"/>
    </row>
    <row r="273" spans="10:10" ht="11.25" x14ac:dyDescent="0.2">
      <c r="J273" s="109"/>
    </row>
    <row r="274" spans="10:10" ht="11.25" x14ac:dyDescent="0.2">
      <c r="J274" s="109"/>
    </row>
    <row r="275" spans="10:10" ht="11.25" x14ac:dyDescent="0.2">
      <c r="J275" s="109"/>
    </row>
    <row r="276" spans="10:10" ht="11.25" x14ac:dyDescent="0.2">
      <c r="J276" s="109"/>
    </row>
    <row r="277" spans="10:10" ht="11.25" x14ac:dyDescent="0.2">
      <c r="J277" s="109"/>
    </row>
    <row r="278" spans="10:10" ht="11.25" x14ac:dyDescent="0.2">
      <c r="J278" s="109"/>
    </row>
    <row r="279" spans="10:10" ht="11.25" x14ac:dyDescent="0.2">
      <c r="J279" s="109"/>
    </row>
    <row r="280" spans="10:10" ht="11.25" x14ac:dyDescent="0.2">
      <c r="J280" s="109"/>
    </row>
    <row r="281" spans="10:10" ht="11.25" x14ac:dyDescent="0.2">
      <c r="J281" s="109"/>
    </row>
    <row r="282" spans="10:10" ht="11.25" x14ac:dyDescent="0.2">
      <c r="J282" s="109"/>
    </row>
    <row r="283" spans="10:10" ht="11.25" x14ac:dyDescent="0.2">
      <c r="J283" s="109"/>
    </row>
    <row r="284" spans="10:10" ht="11.25" x14ac:dyDescent="0.2">
      <c r="J284" s="109"/>
    </row>
    <row r="285" spans="10:10" ht="11.25" x14ac:dyDescent="0.2">
      <c r="J285" s="109"/>
    </row>
    <row r="286" spans="10:10" ht="11.25" x14ac:dyDescent="0.2">
      <c r="J286" s="109"/>
    </row>
    <row r="287" spans="10:10" ht="11.25" x14ac:dyDescent="0.2">
      <c r="J287" s="109"/>
    </row>
    <row r="288" spans="10:10" ht="11.25" x14ac:dyDescent="0.2">
      <c r="J288" s="109"/>
    </row>
    <row r="289" spans="10:10" ht="11.25" x14ac:dyDescent="0.2">
      <c r="J289" s="109"/>
    </row>
    <row r="290" spans="10:10" ht="11.25" x14ac:dyDescent="0.2">
      <c r="J290" s="109"/>
    </row>
    <row r="291" spans="10:10" ht="11.25" x14ac:dyDescent="0.2">
      <c r="J291" s="109"/>
    </row>
    <row r="292" spans="10:10" ht="11.25" x14ac:dyDescent="0.2">
      <c r="J292" s="109"/>
    </row>
    <row r="293" spans="10:10" ht="11.25" x14ac:dyDescent="0.2">
      <c r="J293" s="109"/>
    </row>
    <row r="294" spans="10:10" ht="11.25" x14ac:dyDescent="0.2">
      <c r="J294" s="109"/>
    </row>
    <row r="295" spans="10:10" ht="11.25" x14ac:dyDescent="0.2">
      <c r="J295" s="109"/>
    </row>
    <row r="296" spans="10:10" ht="11.25" x14ac:dyDescent="0.2">
      <c r="J296" s="109"/>
    </row>
    <row r="297" spans="10:10" ht="11.25" x14ac:dyDescent="0.2">
      <c r="J297" s="109"/>
    </row>
    <row r="298" spans="10:10" ht="11.25" x14ac:dyDescent="0.2">
      <c r="J298" s="109"/>
    </row>
    <row r="299" spans="10:10" ht="11.25" x14ac:dyDescent="0.2">
      <c r="J299" s="109"/>
    </row>
    <row r="300" spans="10:10" ht="11.25" x14ac:dyDescent="0.2">
      <c r="J300" s="109"/>
    </row>
    <row r="301" spans="10:10" ht="11.25" x14ac:dyDescent="0.2">
      <c r="J301" s="109"/>
    </row>
    <row r="302" spans="10:10" ht="11.25" x14ac:dyDescent="0.2">
      <c r="J302" s="109"/>
    </row>
    <row r="303" spans="10:10" ht="11.25" x14ac:dyDescent="0.2">
      <c r="J303" s="109"/>
    </row>
    <row r="304" spans="10:10" ht="11.25" x14ac:dyDescent="0.2">
      <c r="J304" s="109"/>
    </row>
    <row r="305" spans="10:10" ht="11.25" x14ac:dyDescent="0.2">
      <c r="J305" s="109"/>
    </row>
    <row r="306" spans="10:10" ht="11.25" x14ac:dyDescent="0.2">
      <c r="J306" s="109"/>
    </row>
    <row r="307" spans="10:10" ht="11.25" x14ac:dyDescent="0.2">
      <c r="J307" s="109"/>
    </row>
    <row r="308" spans="10:10" ht="11.25" x14ac:dyDescent="0.2">
      <c r="J308" s="109"/>
    </row>
    <row r="309" spans="10:10" ht="11.25" x14ac:dyDescent="0.2">
      <c r="J309" s="109"/>
    </row>
    <row r="310" spans="10:10" ht="11.25" x14ac:dyDescent="0.2">
      <c r="J310" s="109"/>
    </row>
    <row r="311" spans="10:10" ht="11.25" x14ac:dyDescent="0.2">
      <c r="J311" s="109"/>
    </row>
    <row r="312" spans="10:10" ht="11.25" x14ac:dyDescent="0.2">
      <c r="J312" s="109"/>
    </row>
    <row r="313" spans="10:10" ht="11.25" x14ac:dyDescent="0.2">
      <c r="J313" s="109"/>
    </row>
    <row r="314" spans="10:10" ht="11.25" x14ac:dyDescent="0.2">
      <c r="J314" s="109"/>
    </row>
    <row r="315" spans="10:10" ht="11.25" x14ac:dyDescent="0.2">
      <c r="J315" s="109"/>
    </row>
    <row r="316" spans="10:10" ht="11.25" x14ac:dyDescent="0.2">
      <c r="J316" s="109"/>
    </row>
    <row r="317" spans="10:10" ht="11.25" x14ac:dyDescent="0.2">
      <c r="J317" s="109"/>
    </row>
    <row r="318" spans="10:10" ht="11.25" x14ac:dyDescent="0.2">
      <c r="J318" s="109"/>
    </row>
    <row r="319" spans="10:10" ht="11.25" x14ac:dyDescent="0.2">
      <c r="J319" s="109"/>
    </row>
    <row r="320" spans="10:10" ht="11.25" x14ac:dyDescent="0.2">
      <c r="J320" s="109"/>
    </row>
    <row r="321" spans="10:10" ht="11.25" x14ac:dyDescent="0.2">
      <c r="J321" s="109"/>
    </row>
    <row r="322" spans="10:10" ht="11.25" x14ac:dyDescent="0.2">
      <c r="J322" s="109"/>
    </row>
    <row r="323" spans="10:10" ht="11.25" x14ac:dyDescent="0.2">
      <c r="J323" s="109"/>
    </row>
    <row r="324" spans="10:10" ht="11.25" x14ac:dyDescent="0.2">
      <c r="J324" s="109"/>
    </row>
    <row r="325" spans="10:10" ht="11.25" x14ac:dyDescent="0.2">
      <c r="J325" s="109"/>
    </row>
    <row r="326" spans="10:10" ht="11.25" x14ac:dyDescent="0.2">
      <c r="J326" s="109"/>
    </row>
    <row r="327" spans="10:10" ht="11.25" x14ac:dyDescent="0.2">
      <c r="J327" s="109"/>
    </row>
    <row r="328" spans="10:10" ht="11.25" x14ac:dyDescent="0.2">
      <c r="J328" s="109"/>
    </row>
    <row r="329" spans="10:10" ht="11.25" x14ac:dyDescent="0.2">
      <c r="J329" s="109"/>
    </row>
    <row r="330" spans="10:10" ht="11.25" x14ac:dyDescent="0.2">
      <c r="J330" s="109"/>
    </row>
    <row r="331" spans="10:10" ht="11.25" x14ac:dyDescent="0.2">
      <c r="J331" s="109"/>
    </row>
    <row r="332" spans="10:10" ht="11.25" x14ac:dyDescent="0.2">
      <c r="J332" s="109"/>
    </row>
    <row r="333" spans="10:10" ht="11.25" x14ac:dyDescent="0.2">
      <c r="J333" s="109"/>
    </row>
    <row r="334" spans="10:10" ht="11.25" x14ac:dyDescent="0.2">
      <c r="J334" s="109"/>
    </row>
    <row r="335" spans="10:10" ht="11.25" x14ac:dyDescent="0.2">
      <c r="J335" s="109"/>
    </row>
    <row r="336" spans="10:10" ht="11.25" x14ac:dyDescent="0.2">
      <c r="J336" s="109"/>
    </row>
    <row r="337" spans="10:10" ht="11.25" x14ac:dyDescent="0.2">
      <c r="J337" s="109"/>
    </row>
    <row r="338" spans="10:10" ht="11.25" x14ac:dyDescent="0.2">
      <c r="J338" s="109"/>
    </row>
    <row r="339" spans="10:10" ht="11.25" x14ac:dyDescent="0.2">
      <c r="J339" s="109"/>
    </row>
    <row r="340" spans="10:10" ht="11.25" x14ac:dyDescent="0.2">
      <c r="J340" s="109"/>
    </row>
    <row r="341" spans="10:10" ht="11.25" x14ac:dyDescent="0.2">
      <c r="J341" s="109"/>
    </row>
    <row r="342" spans="10:10" ht="11.25" x14ac:dyDescent="0.2">
      <c r="J342" s="109"/>
    </row>
    <row r="343" spans="10:10" ht="11.25" x14ac:dyDescent="0.2">
      <c r="J343" s="109"/>
    </row>
    <row r="344" spans="10:10" ht="11.25" x14ac:dyDescent="0.2">
      <c r="J344" s="109"/>
    </row>
    <row r="345" spans="10:10" ht="11.25" x14ac:dyDescent="0.2">
      <c r="J345" s="109"/>
    </row>
    <row r="346" spans="10:10" ht="11.25" x14ac:dyDescent="0.2">
      <c r="J346" s="109"/>
    </row>
    <row r="347" spans="10:10" ht="11.25" x14ac:dyDescent="0.2">
      <c r="J347" s="109"/>
    </row>
    <row r="348" spans="10:10" ht="11.25" x14ac:dyDescent="0.2">
      <c r="J348" s="109"/>
    </row>
    <row r="349" spans="10:10" ht="11.25" x14ac:dyDescent="0.2">
      <c r="J349" s="109"/>
    </row>
    <row r="350" spans="10:10" ht="11.25" x14ac:dyDescent="0.2">
      <c r="J350" s="109"/>
    </row>
    <row r="351" spans="10:10" ht="11.25" x14ac:dyDescent="0.2">
      <c r="J351" s="109"/>
    </row>
    <row r="352" spans="10:10" ht="11.25" x14ac:dyDescent="0.2">
      <c r="J352" s="109"/>
    </row>
    <row r="353" spans="10:10" ht="11.25" x14ac:dyDescent="0.2">
      <c r="J353" s="109"/>
    </row>
    <row r="354" spans="10:10" ht="11.25" x14ac:dyDescent="0.2">
      <c r="J354" s="109"/>
    </row>
    <row r="355" spans="10:10" ht="11.25" x14ac:dyDescent="0.2">
      <c r="J355" s="109"/>
    </row>
    <row r="356" spans="10:10" ht="11.25" x14ac:dyDescent="0.2">
      <c r="J356" s="109"/>
    </row>
    <row r="357" spans="10:10" ht="11.25" x14ac:dyDescent="0.2">
      <c r="J357" s="109"/>
    </row>
    <row r="358" spans="10:10" ht="11.25" x14ac:dyDescent="0.2">
      <c r="J358" s="109"/>
    </row>
    <row r="359" spans="10:10" ht="11.25" x14ac:dyDescent="0.2">
      <c r="J359" s="109"/>
    </row>
    <row r="360" spans="10:10" ht="11.25" x14ac:dyDescent="0.2">
      <c r="J360" s="109"/>
    </row>
    <row r="361" spans="10:10" ht="11.25" x14ac:dyDescent="0.2">
      <c r="J361" s="109"/>
    </row>
    <row r="362" spans="10:10" ht="11.25" x14ac:dyDescent="0.2">
      <c r="J362" s="109"/>
    </row>
    <row r="363" spans="10:10" ht="11.25" x14ac:dyDescent="0.2">
      <c r="J363" s="109"/>
    </row>
    <row r="364" spans="10:10" ht="11.25" x14ac:dyDescent="0.2">
      <c r="J364" s="109"/>
    </row>
    <row r="365" spans="10:10" ht="11.25" x14ac:dyDescent="0.2">
      <c r="J365" s="109"/>
    </row>
    <row r="366" spans="10:10" ht="11.25" x14ac:dyDescent="0.2">
      <c r="J366" s="109"/>
    </row>
    <row r="367" spans="10:10" ht="11.25" x14ac:dyDescent="0.2">
      <c r="J367" s="109"/>
    </row>
    <row r="368" spans="10:10" ht="11.25" x14ac:dyDescent="0.2">
      <c r="J368" s="109"/>
    </row>
    <row r="369" spans="10:10" ht="11.25" x14ac:dyDescent="0.2">
      <c r="J369" s="109"/>
    </row>
    <row r="370" spans="10:10" ht="11.25" x14ac:dyDescent="0.2">
      <c r="J370" s="109"/>
    </row>
    <row r="371" spans="10:10" ht="11.25" x14ac:dyDescent="0.2">
      <c r="J371" s="109"/>
    </row>
    <row r="372" spans="10:10" ht="11.25" x14ac:dyDescent="0.2">
      <c r="J372" s="109"/>
    </row>
    <row r="373" spans="10:10" ht="11.25" x14ac:dyDescent="0.2">
      <c r="J373" s="109"/>
    </row>
    <row r="374" spans="10:10" ht="11.25" x14ac:dyDescent="0.2">
      <c r="J374" s="109"/>
    </row>
    <row r="375" spans="10:10" ht="11.25" x14ac:dyDescent="0.2">
      <c r="J375" s="109"/>
    </row>
    <row r="376" spans="10:10" ht="11.25" x14ac:dyDescent="0.2">
      <c r="J376" s="109"/>
    </row>
    <row r="377" spans="10:10" ht="11.25" x14ac:dyDescent="0.2">
      <c r="J377" s="109"/>
    </row>
    <row r="378" spans="10:10" ht="11.25" x14ac:dyDescent="0.2">
      <c r="J378" s="109"/>
    </row>
    <row r="379" spans="10:10" ht="11.25" x14ac:dyDescent="0.2">
      <c r="J379" s="109"/>
    </row>
    <row r="380" spans="10:10" ht="11.25" x14ac:dyDescent="0.2">
      <c r="J380" s="109"/>
    </row>
    <row r="381" spans="10:10" ht="11.25" x14ac:dyDescent="0.2">
      <c r="J381" s="109"/>
    </row>
    <row r="382" spans="10:10" ht="11.25" x14ac:dyDescent="0.2">
      <c r="J382" s="109"/>
    </row>
    <row r="383" spans="10:10" ht="11.25" x14ac:dyDescent="0.2">
      <c r="J383" s="109"/>
    </row>
    <row r="384" spans="10:10" ht="11.25" x14ac:dyDescent="0.2">
      <c r="J384" s="109"/>
    </row>
    <row r="385" spans="10:10" ht="11.25" x14ac:dyDescent="0.2">
      <c r="J385" s="109"/>
    </row>
    <row r="386" spans="10:10" ht="11.25" x14ac:dyDescent="0.2">
      <c r="J386" s="109"/>
    </row>
    <row r="387" spans="10:10" ht="11.25" x14ac:dyDescent="0.2">
      <c r="J387" s="109"/>
    </row>
    <row r="388" spans="10:10" ht="11.25" x14ac:dyDescent="0.2">
      <c r="J388" s="109"/>
    </row>
    <row r="389" spans="10:10" ht="11.25" x14ac:dyDescent="0.2">
      <c r="J389" s="109"/>
    </row>
    <row r="390" spans="10:10" ht="11.25" x14ac:dyDescent="0.2">
      <c r="J390" s="109"/>
    </row>
    <row r="391" spans="10:10" ht="11.25" x14ac:dyDescent="0.2">
      <c r="J391" s="109"/>
    </row>
    <row r="392" spans="10:10" ht="11.25" x14ac:dyDescent="0.2">
      <c r="J392" s="109"/>
    </row>
    <row r="393" spans="10:10" ht="11.25" x14ac:dyDescent="0.2">
      <c r="J393" s="109"/>
    </row>
    <row r="394" spans="10:10" ht="11.25" x14ac:dyDescent="0.2">
      <c r="J394" s="109"/>
    </row>
    <row r="395" spans="10:10" ht="11.25" x14ac:dyDescent="0.2">
      <c r="J395" s="109"/>
    </row>
    <row r="396" spans="10:10" ht="11.25" x14ac:dyDescent="0.2">
      <c r="J396" s="109"/>
    </row>
    <row r="397" spans="10:10" ht="11.25" x14ac:dyDescent="0.2">
      <c r="J397" s="109"/>
    </row>
    <row r="398" spans="10:10" ht="11.25" x14ac:dyDescent="0.2">
      <c r="J398" s="109"/>
    </row>
    <row r="399" spans="10:10" ht="11.25" x14ac:dyDescent="0.2">
      <c r="J399" s="109"/>
    </row>
    <row r="400" spans="10:10" ht="11.25" x14ac:dyDescent="0.2">
      <c r="J400" s="109"/>
    </row>
    <row r="401" spans="10:10" ht="11.25" x14ac:dyDescent="0.2">
      <c r="J401" s="109"/>
    </row>
    <row r="402" spans="10:10" ht="11.25" x14ac:dyDescent="0.2">
      <c r="J402" s="109"/>
    </row>
    <row r="403" spans="10:10" ht="11.25" x14ac:dyDescent="0.2">
      <c r="J403" s="109"/>
    </row>
    <row r="404" spans="10:10" ht="11.25" x14ac:dyDescent="0.2">
      <c r="J404" s="109"/>
    </row>
    <row r="405" spans="10:10" ht="11.25" x14ac:dyDescent="0.2">
      <c r="J405" s="109"/>
    </row>
    <row r="406" spans="10:10" ht="11.25" x14ac:dyDescent="0.2">
      <c r="J406" s="109"/>
    </row>
    <row r="407" spans="10:10" ht="11.25" x14ac:dyDescent="0.2">
      <c r="J407" s="109"/>
    </row>
    <row r="408" spans="10:10" ht="11.25" x14ac:dyDescent="0.2">
      <c r="J408" s="109"/>
    </row>
    <row r="409" spans="10:10" ht="11.25" x14ac:dyDescent="0.2">
      <c r="J409" s="109"/>
    </row>
    <row r="410" spans="10:10" ht="11.25" x14ac:dyDescent="0.2">
      <c r="J410" s="109"/>
    </row>
    <row r="411" spans="10:10" ht="11.25" x14ac:dyDescent="0.2">
      <c r="J411" s="109"/>
    </row>
    <row r="412" spans="10:10" ht="11.25" x14ac:dyDescent="0.2">
      <c r="J412" s="109"/>
    </row>
    <row r="413" spans="10:10" ht="11.25" x14ac:dyDescent="0.2">
      <c r="J413" s="109"/>
    </row>
    <row r="414" spans="10:10" ht="11.25" x14ac:dyDescent="0.2">
      <c r="J414" s="109"/>
    </row>
    <row r="415" spans="10:10" ht="11.25" x14ac:dyDescent="0.2">
      <c r="J415" s="109"/>
    </row>
    <row r="416" spans="10:10" ht="11.25" x14ac:dyDescent="0.2">
      <c r="J416" s="109"/>
    </row>
    <row r="417" spans="10:10" ht="11.25" x14ac:dyDescent="0.2">
      <c r="J417" s="109"/>
    </row>
    <row r="418" spans="10:10" ht="11.25" x14ac:dyDescent="0.2">
      <c r="J418" s="109"/>
    </row>
    <row r="419" spans="10:10" ht="11.25" x14ac:dyDescent="0.2">
      <c r="J419" s="109"/>
    </row>
    <row r="420" spans="10:10" ht="11.25" x14ac:dyDescent="0.2">
      <c r="J420" s="109"/>
    </row>
    <row r="421" spans="10:10" ht="11.25" x14ac:dyDescent="0.2">
      <c r="J421" s="109"/>
    </row>
    <row r="422" spans="10:10" ht="11.25" x14ac:dyDescent="0.2">
      <c r="J422" s="109"/>
    </row>
    <row r="423" spans="10:10" ht="11.25" x14ac:dyDescent="0.2">
      <c r="J423" s="109"/>
    </row>
    <row r="424" spans="10:10" ht="11.25" x14ac:dyDescent="0.2">
      <c r="J424" s="109"/>
    </row>
    <row r="425" spans="10:10" ht="11.25" x14ac:dyDescent="0.2">
      <c r="J425" s="109"/>
    </row>
    <row r="426" spans="10:10" ht="11.25" x14ac:dyDescent="0.2">
      <c r="J426" s="109"/>
    </row>
    <row r="427" spans="10:10" ht="11.25" x14ac:dyDescent="0.2">
      <c r="J427" s="109"/>
    </row>
    <row r="428" spans="10:10" ht="11.25" x14ac:dyDescent="0.2">
      <c r="J428" s="109"/>
    </row>
    <row r="429" spans="10:10" ht="11.25" x14ac:dyDescent="0.2">
      <c r="J429" s="109"/>
    </row>
    <row r="430" spans="10:10" ht="11.25" x14ac:dyDescent="0.2">
      <c r="J430" s="109"/>
    </row>
    <row r="431" spans="10:10" ht="11.25" x14ac:dyDescent="0.2">
      <c r="J431" s="109"/>
    </row>
    <row r="432" spans="10:10" ht="11.25" x14ac:dyDescent="0.2">
      <c r="J432" s="109"/>
    </row>
    <row r="433" spans="10:10" ht="11.25" x14ac:dyDescent="0.2">
      <c r="J433" s="109"/>
    </row>
    <row r="434" spans="10:10" ht="11.25" x14ac:dyDescent="0.2">
      <c r="J434" s="109"/>
    </row>
    <row r="435" spans="10:10" ht="11.25" x14ac:dyDescent="0.2">
      <c r="J435" s="109"/>
    </row>
    <row r="436" spans="10:10" ht="11.25" x14ac:dyDescent="0.2">
      <c r="J436" s="109"/>
    </row>
    <row r="437" spans="10:10" ht="11.25" x14ac:dyDescent="0.2">
      <c r="J437" s="109"/>
    </row>
    <row r="438" spans="10:10" ht="11.25" x14ac:dyDescent="0.2">
      <c r="J438" s="109"/>
    </row>
    <row r="439" spans="10:10" ht="11.25" x14ac:dyDescent="0.2">
      <c r="J439" s="109"/>
    </row>
    <row r="440" spans="10:10" ht="11.25" x14ac:dyDescent="0.2">
      <c r="J440" s="109"/>
    </row>
    <row r="441" spans="10:10" ht="11.25" x14ac:dyDescent="0.2">
      <c r="J441" s="109"/>
    </row>
    <row r="442" spans="10:10" ht="11.25" x14ac:dyDescent="0.2">
      <c r="J442" s="109"/>
    </row>
    <row r="443" spans="10:10" ht="11.25" x14ac:dyDescent="0.2">
      <c r="J443" s="109"/>
    </row>
    <row r="444" spans="10:10" ht="11.25" x14ac:dyDescent="0.2">
      <c r="J444" s="109"/>
    </row>
    <row r="445" spans="10:10" ht="11.25" x14ac:dyDescent="0.2">
      <c r="J445" s="109"/>
    </row>
    <row r="446" spans="10:10" ht="11.25" x14ac:dyDescent="0.2">
      <c r="J446" s="109"/>
    </row>
    <row r="447" spans="10:10" ht="11.25" x14ac:dyDescent="0.2">
      <c r="J447" s="109"/>
    </row>
    <row r="448" spans="10:10" ht="11.25" x14ac:dyDescent="0.2">
      <c r="J448" s="109"/>
    </row>
    <row r="449" spans="10:10" ht="11.25" x14ac:dyDescent="0.2">
      <c r="J449" s="109"/>
    </row>
    <row r="450" spans="10:10" ht="11.25" x14ac:dyDescent="0.2">
      <c r="J450" s="109"/>
    </row>
    <row r="451" spans="10:10" ht="11.25" x14ac:dyDescent="0.2">
      <c r="J451" s="109"/>
    </row>
    <row r="452" spans="10:10" ht="11.25" x14ac:dyDescent="0.2">
      <c r="J452" s="109"/>
    </row>
    <row r="453" spans="10:10" ht="11.25" x14ac:dyDescent="0.2">
      <c r="J453" s="109"/>
    </row>
    <row r="454" spans="10:10" ht="11.25" x14ac:dyDescent="0.2">
      <c r="J454" s="109"/>
    </row>
    <row r="455" spans="10:10" ht="11.25" x14ac:dyDescent="0.2">
      <c r="J455" s="109"/>
    </row>
    <row r="456" spans="10:10" ht="11.25" x14ac:dyDescent="0.2">
      <c r="J456" s="109"/>
    </row>
    <row r="457" spans="10:10" ht="11.25" x14ac:dyDescent="0.2">
      <c r="J457" s="109"/>
    </row>
    <row r="458" spans="10:10" ht="11.25" x14ac:dyDescent="0.2">
      <c r="J458" s="109"/>
    </row>
    <row r="459" spans="10:10" ht="11.25" x14ac:dyDescent="0.2">
      <c r="J459" s="109"/>
    </row>
    <row r="460" spans="10:10" ht="11.25" x14ac:dyDescent="0.2">
      <c r="J460" s="109"/>
    </row>
    <row r="461" spans="10:10" ht="11.25" x14ac:dyDescent="0.2">
      <c r="J461" s="109"/>
    </row>
    <row r="462" spans="10:10" ht="11.25" x14ac:dyDescent="0.2">
      <c r="J462" s="109"/>
    </row>
    <row r="463" spans="10:10" ht="11.25" x14ac:dyDescent="0.2">
      <c r="J463" s="109"/>
    </row>
    <row r="464" spans="10:10" ht="11.25" x14ac:dyDescent="0.2">
      <c r="J464" s="109"/>
    </row>
    <row r="465" spans="10:10" ht="11.25" x14ac:dyDescent="0.2">
      <c r="J465" s="109"/>
    </row>
    <row r="466" spans="10:10" ht="11.25" x14ac:dyDescent="0.2">
      <c r="J466" s="109"/>
    </row>
    <row r="467" spans="10:10" ht="11.25" x14ac:dyDescent="0.2">
      <c r="J467" s="109"/>
    </row>
    <row r="468" spans="10:10" ht="11.25" x14ac:dyDescent="0.2">
      <c r="J468" s="109"/>
    </row>
    <row r="469" spans="10:10" ht="11.25" x14ac:dyDescent="0.2">
      <c r="J469" s="109"/>
    </row>
    <row r="470" spans="10:10" ht="11.25" x14ac:dyDescent="0.2">
      <c r="J470" s="109"/>
    </row>
    <row r="471" spans="10:10" ht="11.25" x14ac:dyDescent="0.2">
      <c r="J471" s="109"/>
    </row>
    <row r="472" spans="10:10" ht="11.25" x14ac:dyDescent="0.2">
      <c r="J472" s="109"/>
    </row>
    <row r="473" spans="10:10" ht="11.25" x14ac:dyDescent="0.2">
      <c r="J473" s="109"/>
    </row>
    <row r="474" spans="10:10" ht="11.25" x14ac:dyDescent="0.2">
      <c r="J474" s="109"/>
    </row>
    <row r="475" spans="10:10" ht="11.25" x14ac:dyDescent="0.2">
      <c r="J475" s="109"/>
    </row>
    <row r="476" spans="10:10" ht="11.25" x14ac:dyDescent="0.2">
      <c r="J476" s="109"/>
    </row>
    <row r="477" spans="10:10" ht="11.25" x14ac:dyDescent="0.2">
      <c r="J477" s="109"/>
    </row>
    <row r="478" spans="10:10" ht="11.25" x14ac:dyDescent="0.2">
      <c r="J478" s="109"/>
    </row>
    <row r="479" spans="10:10" ht="11.25" x14ac:dyDescent="0.2">
      <c r="J479" s="109"/>
    </row>
    <row r="480" spans="10:10" ht="11.25" x14ac:dyDescent="0.2">
      <c r="J480" s="109"/>
    </row>
    <row r="481" spans="10:10" ht="11.25" x14ac:dyDescent="0.2">
      <c r="J481" s="109"/>
    </row>
    <row r="482" spans="10:10" ht="11.25" x14ac:dyDescent="0.2">
      <c r="J482" s="109"/>
    </row>
    <row r="483" spans="10:10" ht="11.25" x14ac:dyDescent="0.2">
      <c r="J483" s="109"/>
    </row>
    <row r="484" spans="10:10" ht="11.25" x14ac:dyDescent="0.2">
      <c r="J484" s="109"/>
    </row>
    <row r="485" spans="10:10" ht="11.25" x14ac:dyDescent="0.2">
      <c r="J485" s="109"/>
    </row>
    <row r="486" spans="10:10" ht="11.25" x14ac:dyDescent="0.2">
      <c r="J486" s="109"/>
    </row>
    <row r="487" spans="10:10" ht="11.25" x14ac:dyDescent="0.2">
      <c r="J487" s="109"/>
    </row>
    <row r="488" spans="10:10" ht="11.25" x14ac:dyDescent="0.2">
      <c r="J488" s="109"/>
    </row>
    <row r="489" spans="10:10" ht="11.25" x14ac:dyDescent="0.2">
      <c r="J489" s="109"/>
    </row>
    <row r="490" spans="10:10" ht="11.25" x14ac:dyDescent="0.2">
      <c r="J490" s="109"/>
    </row>
    <row r="491" spans="10:10" ht="11.25" x14ac:dyDescent="0.2">
      <c r="J491" s="109"/>
    </row>
    <row r="492" spans="10:10" ht="11.25" x14ac:dyDescent="0.2">
      <c r="J492" s="109"/>
    </row>
    <row r="493" spans="10:10" ht="11.25" x14ac:dyDescent="0.2">
      <c r="J493" s="109"/>
    </row>
    <row r="494" spans="10:10" ht="11.25" x14ac:dyDescent="0.2">
      <c r="J494" s="109"/>
    </row>
    <row r="495" spans="10:10" ht="11.25" x14ac:dyDescent="0.2">
      <c r="J495" s="109"/>
    </row>
    <row r="496" spans="10:10" ht="11.25" x14ac:dyDescent="0.2">
      <c r="J496" s="109"/>
    </row>
    <row r="497" spans="10:10" ht="11.25" x14ac:dyDescent="0.2">
      <c r="J497" s="109"/>
    </row>
    <row r="498" spans="10:10" ht="11.25" x14ac:dyDescent="0.2">
      <c r="J498" s="109"/>
    </row>
    <row r="499" spans="10:10" ht="11.25" x14ac:dyDescent="0.2">
      <c r="J499" s="109"/>
    </row>
    <row r="500" spans="10:10" ht="11.25" x14ac:dyDescent="0.2">
      <c r="J500" s="109"/>
    </row>
    <row r="501" spans="10:10" ht="11.25" x14ac:dyDescent="0.2">
      <c r="J501" s="109"/>
    </row>
    <row r="502" spans="10:10" ht="11.25" x14ac:dyDescent="0.2">
      <c r="J502" s="109"/>
    </row>
    <row r="503" spans="10:10" ht="11.25" x14ac:dyDescent="0.2">
      <c r="J503" s="109"/>
    </row>
    <row r="504" spans="10:10" ht="11.25" x14ac:dyDescent="0.2">
      <c r="J504" s="109"/>
    </row>
    <row r="505" spans="10:10" ht="11.25" x14ac:dyDescent="0.2">
      <c r="J505" s="109"/>
    </row>
    <row r="506" spans="10:10" ht="11.25" x14ac:dyDescent="0.2">
      <c r="J506" s="109"/>
    </row>
    <row r="507" spans="10:10" ht="11.25" x14ac:dyDescent="0.2">
      <c r="J507" s="109"/>
    </row>
    <row r="508" spans="10:10" ht="11.25" x14ac:dyDescent="0.2">
      <c r="J508" s="109"/>
    </row>
    <row r="509" spans="10:10" ht="11.25" x14ac:dyDescent="0.2">
      <c r="J509" s="109"/>
    </row>
    <row r="510" spans="10:10" ht="11.25" x14ac:dyDescent="0.2">
      <c r="J510" s="109"/>
    </row>
    <row r="511" spans="10:10" ht="11.25" x14ac:dyDescent="0.2">
      <c r="J511" s="109"/>
    </row>
    <row r="512" spans="10:10" ht="11.25" x14ac:dyDescent="0.2">
      <c r="J512" s="109"/>
    </row>
    <row r="513" spans="10:10" ht="11.25" x14ac:dyDescent="0.2">
      <c r="J513" s="109"/>
    </row>
    <row r="514" spans="10:10" ht="11.25" x14ac:dyDescent="0.2">
      <c r="J514" s="109"/>
    </row>
    <row r="515" spans="10:10" ht="11.25" x14ac:dyDescent="0.2">
      <c r="J515" s="109"/>
    </row>
    <row r="516" spans="10:10" ht="11.25" x14ac:dyDescent="0.2">
      <c r="J516" s="109"/>
    </row>
    <row r="517" spans="10:10" ht="11.25" x14ac:dyDescent="0.2">
      <c r="J517" s="109"/>
    </row>
    <row r="518" spans="10:10" ht="11.25" x14ac:dyDescent="0.2">
      <c r="J518" s="109"/>
    </row>
    <row r="519" spans="10:10" ht="11.25" x14ac:dyDescent="0.2">
      <c r="J519" s="109"/>
    </row>
    <row r="520" spans="10:10" ht="11.25" x14ac:dyDescent="0.2">
      <c r="J520" s="109"/>
    </row>
    <row r="521" spans="10:10" ht="11.25" x14ac:dyDescent="0.2">
      <c r="J521" s="109"/>
    </row>
    <row r="522" spans="10:10" ht="11.25" x14ac:dyDescent="0.2">
      <c r="J522" s="109"/>
    </row>
    <row r="523" spans="10:10" ht="11.25" x14ac:dyDescent="0.2">
      <c r="J523" s="109"/>
    </row>
    <row r="524" spans="10:10" ht="11.25" x14ac:dyDescent="0.2">
      <c r="J524" s="109"/>
    </row>
    <row r="525" spans="10:10" ht="11.25" x14ac:dyDescent="0.2">
      <c r="J525" s="109"/>
    </row>
    <row r="526" spans="10:10" ht="11.25" x14ac:dyDescent="0.2">
      <c r="J526" s="109"/>
    </row>
    <row r="527" spans="10:10" ht="11.25" x14ac:dyDescent="0.2">
      <c r="J527" s="109"/>
    </row>
    <row r="528" spans="10:10" ht="11.25" x14ac:dyDescent="0.2">
      <c r="J528" s="109"/>
    </row>
    <row r="529" spans="10:10" ht="11.25" x14ac:dyDescent="0.2">
      <c r="J529" s="109"/>
    </row>
    <row r="530" spans="10:10" ht="11.25" x14ac:dyDescent="0.2">
      <c r="J530" s="109"/>
    </row>
    <row r="531" spans="10:10" ht="11.25" x14ac:dyDescent="0.2">
      <c r="J531" s="109"/>
    </row>
    <row r="532" spans="10:10" ht="11.25" x14ac:dyDescent="0.2">
      <c r="J532" s="109"/>
    </row>
    <row r="533" spans="10:10" ht="11.25" x14ac:dyDescent="0.2">
      <c r="J533" s="109"/>
    </row>
    <row r="534" spans="10:10" ht="11.25" x14ac:dyDescent="0.2">
      <c r="J534" s="109"/>
    </row>
    <row r="535" spans="10:10" ht="11.25" x14ac:dyDescent="0.2">
      <c r="J535" s="109"/>
    </row>
    <row r="536" spans="10:10" ht="11.25" x14ac:dyDescent="0.2">
      <c r="J536" s="109"/>
    </row>
    <row r="537" spans="10:10" ht="11.25" x14ac:dyDescent="0.2">
      <c r="J537" s="109"/>
    </row>
    <row r="538" spans="10:10" ht="11.25" x14ac:dyDescent="0.2">
      <c r="J538" s="109"/>
    </row>
    <row r="539" spans="10:10" ht="11.25" x14ac:dyDescent="0.2">
      <c r="J539" s="109"/>
    </row>
    <row r="540" spans="10:10" ht="11.25" x14ac:dyDescent="0.2">
      <c r="J540" s="109"/>
    </row>
    <row r="541" spans="10:10" ht="11.25" x14ac:dyDescent="0.2">
      <c r="J541" s="109"/>
    </row>
    <row r="542" spans="10:10" ht="11.25" x14ac:dyDescent="0.2">
      <c r="J542" s="109"/>
    </row>
    <row r="543" spans="10:10" ht="11.25" x14ac:dyDescent="0.2">
      <c r="J543" s="109"/>
    </row>
    <row r="544" spans="10:10" ht="11.25" x14ac:dyDescent="0.2">
      <c r="J544" s="109"/>
    </row>
    <row r="545" spans="10:10" ht="11.25" x14ac:dyDescent="0.2">
      <c r="J545" s="109"/>
    </row>
    <row r="546" spans="10:10" ht="11.25" x14ac:dyDescent="0.2">
      <c r="J546" s="109"/>
    </row>
    <row r="547" spans="10:10" ht="11.25" x14ac:dyDescent="0.2">
      <c r="J547" s="109"/>
    </row>
    <row r="548" spans="10:10" ht="11.25" x14ac:dyDescent="0.2">
      <c r="J548" s="109"/>
    </row>
    <row r="549" spans="10:10" ht="11.25" x14ac:dyDescent="0.2">
      <c r="J549" s="109"/>
    </row>
    <row r="550" spans="10:10" ht="11.25" x14ac:dyDescent="0.2">
      <c r="J550" s="109"/>
    </row>
    <row r="551" spans="10:10" ht="11.25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2001-11-20T15:21:54Z</cp:lastPrinted>
  <dcterms:created xsi:type="dcterms:W3CDTF">2001-06-07T23:53:28Z</dcterms:created>
  <dcterms:modified xsi:type="dcterms:W3CDTF">2023-09-14T18:37:15Z</dcterms:modified>
</cp:coreProperties>
</file>