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0DFE86-08B3-466E-AE77-7E79AE8ED23F}" xr6:coauthVersionLast="47" xr6:coauthVersionMax="47" xr10:uidLastSave="{00000000-0000-0000-0000-000000000000}"/>
  <bookViews>
    <workbookView xWindow="-120" yWindow="-120" windowWidth="38640" windowHeight="15720"/>
  </bookViews>
  <sheets>
    <sheet name="With Rev Aug After Adj" sheetId="8" r:id="rId1"/>
    <sheet name="With Rev Aug Before Adj" sheetId="7" r:id="rId2"/>
    <sheet name="123.81 avg market w Slice" sheetId="5" r:id="rId3"/>
    <sheet name="91.8 avg market w Slice" sheetId="4" r:id="rId4"/>
    <sheet name="70.5 avg market w Slice" sheetId="2" r:id="rId5"/>
  </sheets>
  <definedNames>
    <definedName name="SliceType">#REF!</definedName>
  </definedNames>
  <calcPr calcId="0"/>
</workbook>
</file>

<file path=xl/calcChain.xml><?xml version="1.0" encoding="utf-8"?>
<calcChain xmlns="http://schemas.openxmlformats.org/spreadsheetml/2006/main">
  <c r="I3" i="5" l="1"/>
  <c r="K3" i="5"/>
  <c r="K4" i="5"/>
  <c r="K5" i="5"/>
  <c r="K6" i="5"/>
  <c r="I7" i="5"/>
  <c r="K7" i="5"/>
  <c r="K8" i="5"/>
  <c r="K9" i="5"/>
  <c r="K10" i="5"/>
  <c r="K11" i="5"/>
  <c r="H22" i="5"/>
  <c r="I22" i="5"/>
  <c r="J22" i="5"/>
  <c r="K22" i="5"/>
  <c r="L22" i="5"/>
  <c r="O22" i="5"/>
  <c r="P22" i="5"/>
  <c r="Q22" i="5"/>
  <c r="H23" i="5"/>
  <c r="I23" i="5"/>
  <c r="J23" i="5"/>
  <c r="K23" i="5"/>
  <c r="L23" i="5"/>
  <c r="O23" i="5"/>
  <c r="P23" i="5"/>
  <c r="Q23" i="5"/>
  <c r="H24" i="5"/>
  <c r="I24" i="5"/>
  <c r="J24" i="5"/>
  <c r="K24" i="5"/>
  <c r="L24" i="5"/>
  <c r="O24" i="5"/>
  <c r="P24" i="5"/>
  <c r="Q24" i="5"/>
  <c r="H25" i="5"/>
  <c r="I25" i="5"/>
  <c r="J25" i="5"/>
  <c r="K25" i="5"/>
  <c r="L25" i="5"/>
  <c r="O25" i="5"/>
  <c r="P25" i="5"/>
  <c r="Q25" i="5"/>
  <c r="H26" i="5"/>
  <c r="I26" i="5"/>
  <c r="J26" i="5"/>
  <c r="K26" i="5"/>
  <c r="L26" i="5"/>
  <c r="B27" i="5"/>
  <c r="C27" i="5"/>
  <c r="D27" i="5"/>
  <c r="E27" i="5"/>
  <c r="G27" i="5"/>
  <c r="H27" i="5"/>
  <c r="I27" i="5"/>
  <c r="J27" i="5"/>
  <c r="K27" i="5"/>
  <c r="L27" i="5"/>
  <c r="H34" i="5"/>
  <c r="I34" i="5"/>
  <c r="J34" i="5"/>
  <c r="K34" i="5"/>
  <c r="L34" i="5"/>
  <c r="O34" i="5"/>
  <c r="P34" i="5"/>
  <c r="Q34" i="5"/>
  <c r="H35" i="5"/>
  <c r="I35" i="5"/>
  <c r="J35" i="5"/>
  <c r="K35" i="5"/>
  <c r="L35" i="5"/>
  <c r="O35" i="5"/>
  <c r="P35" i="5"/>
  <c r="Q35" i="5"/>
  <c r="H36" i="5"/>
  <c r="I36" i="5"/>
  <c r="J36" i="5"/>
  <c r="K36" i="5"/>
  <c r="L36" i="5"/>
  <c r="O36" i="5"/>
  <c r="P36" i="5"/>
  <c r="Q36" i="5"/>
  <c r="H37" i="5"/>
  <c r="I37" i="5"/>
  <c r="J37" i="5"/>
  <c r="K37" i="5"/>
  <c r="L37" i="5"/>
  <c r="O37" i="5"/>
  <c r="P37" i="5"/>
  <c r="Q37" i="5"/>
  <c r="H38" i="5"/>
  <c r="I38" i="5"/>
  <c r="J38" i="5"/>
  <c r="K38" i="5"/>
  <c r="L38" i="5"/>
  <c r="B39" i="5"/>
  <c r="C39" i="5"/>
  <c r="D39" i="5"/>
  <c r="E39" i="5"/>
  <c r="G39" i="5"/>
  <c r="H39" i="5"/>
  <c r="I39" i="5"/>
  <c r="J39" i="5"/>
  <c r="K39" i="5"/>
  <c r="L39" i="5"/>
  <c r="C45" i="5"/>
  <c r="E45" i="5"/>
  <c r="D46" i="5"/>
  <c r="E46" i="5"/>
  <c r="G46" i="5"/>
  <c r="E47" i="5"/>
  <c r="E48" i="5"/>
  <c r="C49" i="5"/>
  <c r="E49" i="5"/>
  <c r="E50" i="5"/>
  <c r="E51" i="5"/>
  <c r="E52" i="5"/>
  <c r="E53" i="5"/>
  <c r="D59" i="5"/>
  <c r="E59" i="5"/>
  <c r="H59" i="5"/>
  <c r="I59" i="5"/>
  <c r="J59" i="5"/>
  <c r="K59" i="5"/>
  <c r="L59" i="5"/>
  <c r="O59" i="5"/>
  <c r="P59" i="5"/>
  <c r="Q59" i="5"/>
  <c r="D60" i="5"/>
  <c r="E60" i="5"/>
  <c r="H60" i="5"/>
  <c r="I60" i="5"/>
  <c r="J60" i="5"/>
  <c r="K60" i="5"/>
  <c r="L60" i="5"/>
  <c r="O60" i="5"/>
  <c r="P60" i="5"/>
  <c r="Q60" i="5"/>
  <c r="D61" i="5"/>
  <c r="E61" i="5"/>
  <c r="H61" i="5"/>
  <c r="I61" i="5"/>
  <c r="J61" i="5"/>
  <c r="K61" i="5"/>
  <c r="L61" i="5"/>
  <c r="O61" i="5"/>
  <c r="P61" i="5"/>
  <c r="Q61" i="5"/>
  <c r="D62" i="5"/>
  <c r="E62" i="5"/>
  <c r="H62" i="5"/>
  <c r="I62" i="5"/>
  <c r="J62" i="5"/>
  <c r="K62" i="5"/>
  <c r="L62" i="5"/>
  <c r="O62" i="5"/>
  <c r="P62" i="5"/>
  <c r="Q62" i="5"/>
  <c r="D63" i="5"/>
  <c r="E63" i="5"/>
  <c r="H63" i="5"/>
  <c r="I63" i="5"/>
  <c r="J63" i="5"/>
  <c r="K63" i="5"/>
  <c r="L63" i="5"/>
  <c r="B64" i="5"/>
  <c r="C64" i="5"/>
  <c r="D64" i="5"/>
  <c r="E64" i="5"/>
  <c r="G64" i="5"/>
  <c r="H64" i="5"/>
  <c r="I64" i="5"/>
  <c r="J64" i="5"/>
  <c r="K64" i="5"/>
  <c r="L64" i="5"/>
  <c r="I3" i="2"/>
  <c r="K3" i="2"/>
  <c r="K4" i="2"/>
  <c r="K5" i="2"/>
  <c r="K6" i="2"/>
  <c r="I7" i="2"/>
  <c r="K7" i="2"/>
  <c r="K8" i="2"/>
  <c r="K9" i="2"/>
  <c r="K10" i="2"/>
  <c r="K11" i="2"/>
  <c r="H22" i="2"/>
  <c r="I22" i="2"/>
  <c r="J22" i="2"/>
  <c r="K22" i="2"/>
  <c r="L22" i="2"/>
  <c r="O22" i="2"/>
  <c r="P22" i="2"/>
  <c r="Q22" i="2"/>
  <c r="H23" i="2"/>
  <c r="I23" i="2"/>
  <c r="J23" i="2"/>
  <c r="K23" i="2"/>
  <c r="L23" i="2"/>
  <c r="O23" i="2"/>
  <c r="P23" i="2"/>
  <c r="Q23" i="2"/>
  <c r="H24" i="2"/>
  <c r="I24" i="2"/>
  <c r="J24" i="2"/>
  <c r="K24" i="2"/>
  <c r="L24" i="2"/>
  <c r="O24" i="2"/>
  <c r="P24" i="2"/>
  <c r="Q24" i="2"/>
  <c r="H25" i="2"/>
  <c r="I25" i="2"/>
  <c r="J25" i="2"/>
  <c r="K25" i="2"/>
  <c r="L25" i="2"/>
  <c r="O25" i="2"/>
  <c r="P25" i="2"/>
  <c r="Q25" i="2"/>
  <c r="H26" i="2"/>
  <c r="I26" i="2"/>
  <c r="J26" i="2"/>
  <c r="K26" i="2"/>
  <c r="L26" i="2"/>
  <c r="B27" i="2"/>
  <c r="C27" i="2"/>
  <c r="D27" i="2"/>
  <c r="E27" i="2"/>
  <c r="G27" i="2"/>
  <c r="H27" i="2"/>
  <c r="I27" i="2"/>
  <c r="J27" i="2"/>
  <c r="K27" i="2"/>
  <c r="L27" i="2"/>
  <c r="H34" i="2"/>
  <c r="I34" i="2"/>
  <c r="J34" i="2"/>
  <c r="K34" i="2"/>
  <c r="L34" i="2"/>
  <c r="O34" i="2"/>
  <c r="P34" i="2"/>
  <c r="Q34" i="2"/>
  <c r="H35" i="2"/>
  <c r="I35" i="2"/>
  <c r="J35" i="2"/>
  <c r="K35" i="2"/>
  <c r="L35" i="2"/>
  <c r="O35" i="2"/>
  <c r="P35" i="2"/>
  <c r="Q35" i="2"/>
  <c r="H36" i="2"/>
  <c r="I36" i="2"/>
  <c r="J36" i="2"/>
  <c r="K36" i="2"/>
  <c r="L36" i="2"/>
  <c r="O36" i="2"/>
  <c r="P36" i="2"/>
  <c r="Q36" i="2"/>
  <c r="H37" i="2"/>
  <c r="I37" i="2"/>
  <c r="J37" i="2"/>
  <c r="K37" i="2"/>
  <c r="L37" i="2"/>
  <c r="O37" i="2"/>
  <c r="P37" i="2"/>
  <c r="Q37" i="2"/>
  <c r="H38" i="2"/>
  <c r="I38" i="2"/>
  <c r="J38" i="2"/>
  <c r="K38" i="2"/>
  <c r="L38" i="2"/>
  <c r="B39" i="2"/>
  <c r="C39" i="2"/>
  <c r="D39" i="2"/>
  <c r="E39" i="2"/>
  <c r="G39" i="2"/>
  <c r="H39" i="2"/>
  <c r="I39" i="2"/>
  <c r="J39" i="2"/>
  <c r="K39" i="2"/>
  <c r="L39" i="2"/>
  <c r="C45" i="2"/>
  <c r="E45" i="2"/>
  <c r="D46" i="2"/>
  <c r="E46" i="2"/>
  <c r="G46" i="2"/>
  <c r="E47" i="2"/>
  <c r="E48" i="2"/>
  <c r="C49" i="2"/>
  <c r="E49" i="2"/>
  <c r="E50" i="2"/>
  <c r="E51" i="2"/>
  <c r="E52" i="2"/>
  <c r="E53" i="2"/>
  <c r="D59" i="2"/>
  <c r="E59" i="2"/>
  <c r="H59" i="2"/>
  <c r="I59" i="2"/>
  <c r="J59" i="2"/>
  <c r="K59" i="2"/>
  <c r="L59" i="2"/>
  <c r="O59" i="2"/>
  <c r="P59" i="2"/>
  <c r="Q59" i="2"/>
  <c r="D60" i="2"/>
  <c r="E60" i="2"/>
  <c r="H60" i="2"/>
  <c r="I60" i="2"/>
  <c r="J60" i="2"/>
  <c r="K60" i="2"/>
  <c r="L60" i="2"/>
  <c r="O60" i="2"/>
  <c r="P60" i="2"/>
  <c r="Q60" i="2"/>
  <c r="D61" i="2"/>
  <c r="E61" i="2"/>
  <c r="H61" i="2"/>
  <c r="I61" i="2"/>
  <c r="J61" i="2"/>
  <c r="K61" i="2"/>
  <c r="L61" i="2"/>
  <c r="O61" i="2"/>
  <c r="P61" i="2"/>
  <c r="Q61" i="2"/>
  <c r="D62" i="2"/>
  <c r="E62" i="2"/>
  <c r="H62" i="2"/>
  <c r="I62" i="2"/>
  <c r="J62" i="2"/>
  <c r="K62" i="2"/>
  <c r="L62" i="2"/>
  <c r="O62" i="2"/>
  <c r="P62" i="2"/>
  <c r="Q62" i="2"/>
  <c r="D63" i="2"/>
  <c r="E63" i="2"/>
  <c r="H63" i="2"/>
  <c r="I63" i="2"/>
  <c r="J63" i="2"/>
  <c r="K63" i="2"/>
  <c r="L63" i="2"/>
  <c r="B64" i="2"/>
  <c r="C64" i="2"/>
  <c r="D64" i="2"/>
  <c r="E64" i="2"/>
  <c r="G64" i="2"/>
  <c r="H64" i="2"/>
  <c r="I64" i="2"/>
  <c r="J64" i="2"/>
  <c r="K64" i="2"/>
  <c r="L64" i="2"/>
  <c r="I3" i="4"/>
  <c r="K3" i="4"/>
  <c r="K4" i="4"/>
  <c r="K5" i="4"/>
  <c r="K6" i="4"/>
  <c r="I7" i="4"/>
  <c r="K7" i="4"/>
  <c r="K8" i="4"/>
  <c r="K9" i="4"/>
  <c r="K10" i="4"/>
  <c r="K11" i="4"/>
  <c r="H22" i="4"/>
  <c r="I22" i="4"/>
  <c r="J22" i="4"/>
  <c r="K22" i="4"/>
  <c r="L22" i="4"/>
  <c r="O22" i="4"/>
  <c r="P22" i="4"/>
  <c r="Q22" i="4"/>
  <c r="H23" i="4"/>
  <c r="I23" i="4"/>
  <c r="J23" i="4"/>
  <c r="K23" i="4"/>
  <c r="L23" i="4"/>
  <c r="O23" i="4"/>
  <c r="P23" i="4"/>
  <c r="Q23" i="4"/>
  <c r="H24" i="4"/>
  <c r="I24" i="4"/>
  <c r="J24" i="4"/>
  <c r="K24" i="4"/>
  <c r="L24" i="4"/>
  <c r="O24" i="4"/>
  <c r="P24" i="4"/>
  <c r="Q24" i="4"/>
  <c r="H25" i="4"/>
  <c r="I25" i="4"/>
  <c r="J25" i="4"/>
  <c r="K25" i="4"/>
  <c r="L25" i="4"/>
  <c r="O25" i="4"/>
  <c r="P25" i="4"/>
  <c r="Q25" i="4"/>
  <c r="H26" i="4"/>
  <c r="I26" i="4"/>
  <c r="J26" i="4"/>
  <c r="K26" i="4"/>
  <c r="L26" i="4"/>
  <c r="B27" i="4"/>
  <c r="C27" i="4"/>
  <c r="D27" i="4"/>
  <c r="E27" i="4"/>
  <c r="G27" i="4"/>
  <c r="H27" i="4"/>
  <c r="I27" i="4"/>
  <c r="J27" i="4"/>
  <c r="K27" i="4"/>
  <c r="L27" i="4"/>
  <c r="H34" i="4"/>
  <c r="I34" i="4"/>
  <c r="J34" i="4"/>
  <c r="K34" i="4"/>
  <c r="L34" i="4"/>
  <c r="O34" i="4"/>
  <c r="P34" i="4"/>
  <c r="Q34" i="4"/>
  <c r="H35" i="4"/>
  <c r="I35" i="4"/>
  <c r="J35" i="4"/>
  <c r="K35" i="4"/>
  <c r="L35" i="4"/>
  <c r="O35" i="4"/>
  <c r="P35" i="4"/>
  <c r="Q35" i="4"/>
  <c r="H36" i="4"/>
  <c r="I36" i="4"/>
  <c r="J36" i="4"/>
  <c r="K36" i="4"/>
  <c r="L36" i="4"/>
  <c r="O36" i="4"/>
  <c r="P36" i="4"/>
  <c r="Q36" i="4"/>
  <c r="H37" i="4"/>
  <c r="I37" i="4"/>
  <c r="J37" i="4"/>
  <c r="K37" i="4"/>
  <c r="L37" i="4"/>
  <c r="O37" i="4"/>
  <c r="P37" i="4"/>
  <c r="Q37" i="4"/>
  <c r="H38" i="4"/>
  <c r="I38" i="4"/>
  <c r="J38" i="4"/>
  <c r="K38" i="4"/>
  <c r="L38" i="4"/>
  <c r="B39" i="4"/>
  <c r="C39" i="4"/>
  <c r="D39" i="4"/>
  <c r="E39" i="4"/>
  <c r="G39" i="4"/>
  <c r="H39" i="4"/>
  <c r="I39" i="4"/>
  <c r="J39" i="4"/>
  <c r="K39" i="4"/>
  <c r="L39" i="4"/>
  <c r="C45" i="4"/>
  <c r="E45" i="4"/>
  <c r="D46" i="4"/>
  <c r="E46" i="4"/>
  <c r="G46" i="4"/>
  <c r="E47" i="4"/>
  <c r="E48" i="4"/>
  <c r="C49" i="4"/>
  <c r="E49" i="4"/>
  <c r="E50" i="4"/>
  <c r="E51" i="4"/>
  <c r="E52" i="4"/>
  <c r="E53" i="4"/>
  <c r="D59" i="4"/>
  <c r="E59" i="4"/>
  <c r="H59" i="4"/>
  <c r="I59" i="4"/>
  <c r="J59" i="4"/>
  <c r="K59" i="4"/>
  <c r="L59" i="4"/>
  <c r="O59" i="4"/>
  <c r="P59" i="4"/>
  <c r="Q59" i="4"/>
  <c r="D60" i="4"/>
  <c r="E60" i="4"/>
  <c r="H60" i="4"/>
  <c r="I60" i="4"/>
  <c r="J60" i="4"/>
  <c r="K60" i="4"/>
  <c r="L60" i="4"/>
  <c r="O60" i="4"/>
  <c r="P60" i="4"/>
  <c r="Q60" i="4"/>
  <c r="D61" i="4"/>
  <c r="E61" i="4"/>
  <c r="H61" i="4"/>
  <c r="I61" i="4"/>
  <c r="J61" i="4"/>
  <c r="K61" i="4"/>
  <c r="L61" i="4"/>
  <c r="O61" i="4"/>
  <c r="P61" i="4"/>
  <c r="Q61" i="4"/>
  <c r="D62" i="4"/>
  <c r="E62" i="4"/>
  <c r="H62" i="4"/>
  <c r="I62" i="4"/>
  <c r="J62" i="4"/>
  <c r="K62" i="4"/>
  <c r="L62" i="4"/>
  <c r="O62" i="4"/>
  <c r="P62" i="4"/>
  <c r="Q62" i="4"/>
  <c r="D63" i="4"/>
  <c r="E63" i="4"/>
  <c r="H63" i="4"/>
  <c r="I63" i="4"/>
  <c r="J63" i="4"/>
  <c r="K63" i="4"/>
  <c r="L63" i="4"/>
  <c r="B64" i="4"/>
  <c r="C64" i="4"/>
  <c r="D64" i="4"/>
  <c r="E64" i="4"/>
  <c r="G64" i="4"/>
  <c r="H64" i="4"/>
  <c r="I64" i="4"/>
  <c r="J64" i="4"/>
  <c r="K64" i="4"/>
  <c r="L64" i="4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4" i="8"/>
  <c r="C14" i="8"/>
  <c r="D14" i="8"/>
  <c r="E14" i="8"/>
  <c r="F14" i="8"/>
  <c r="G14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4" i="7"/>
  <c r="C14" i="7"/>
  <c r="D14" i="7"/>
  <c r="E14" i="7"/>
  <c r="F14" i="7"/>
  <c r="G14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</calcChain>
</file>

<file path=xl/sharedStrings.xml><?xml version="1.0" encoding="utf-8"?>
<sst xmlns="http://schemas.openxmlformats.org/spreadsheetml/2006/main" count="589" uniqueCount="81">
  <si>
    <t>PF</t>
  </si>
  <si>
    <t>DSI</t>
  </si>
  <si>
    <t>IOU</t>
  </si>
  <si>
    <t>Slice</t>
  </si>
  <si>
    <t>Total</t>
  </si>
  <si>
    <t>LB CRAC Rev Basis</t>
  </si>
  <si>
    <t>FB CRAC Rev Basis</t>
  </si>
  <si>
    <t>Avg CRACable Rate</t>
  </si>
  <si>
    <t>With Slice</t>
  </si>
  <si>
    <t>Rem Aug</t>
  </si>
  <si>
    <t>Net Augm</t>
  </si>
  <si>
    <t>LB CRAC</t>
  </si>
  <si>
    <t>FB  CRAC</t>
  </si>
  <si>
    <t>Q (aMW)</t>
  </si>
  <si>
    <t>Cost</t>
  </si>
  <si>
    <t>Rev Basis</t>
  </si>
  <si>
    <t xml:space="preserve">Market </t>
  </si>
  <si>
    <t>Price</t>
  </si>
  <si>
    <t xml:space="preserve">LB Rate </t>
  </si>
  <si>
    <t>Increase</t>
  </si>
  <si>
    <t>Year 1</t>
  </si>
  <si>
    <t>5yr Avg</t>
  </si>
  <si>
    <t>No DSI Load</t>
  </si>
  <si>
    <t>FB/LB</t>
  </si>
  <si>
    <t>Regional Cost to Serve DSI Load</t>
  </si>
  <si>
    <t>Market Price</t>
  </si>
  <si>
    <t>Difference</t>
  </si>
  <si>
    <t># of DSI Jobs</t>
  </si>
  <si>
    <t>$91.8/MWh</t>
  </si>
  <si>
    <t>FY2002</t>
  </si>
  <si>
    <t>5 yr Avg</t>
  </si>
  <si>
    <t>Subsidy per DSI Job per year</t>
  </si>
  <si>
    <t>Cost to 70 aMW Utility (70 aMW of BPA Subscription Purchases)</t>
  </si>
  <si>
    <t>With DSIs</t>
  </si>
  <si>
    <t>With DSI Load</t>
  </si>
  <si>
    <t>$70.5/MWh</t>
  </si>
  <si>
    <t>Table 2: Cost per SUB customer to subsidize DSI Sales</t>
  </si>
  <si>
    <r>
      <t xml:space="preserve">DSI Subsidy paid by </t>
    </r>
    <r>
      <rPr>
        <b/>
        <sz val="10"/>
        <rFont val="Arial"/>
        <family val="2"/>
      </rPr>
      <t>each</t>
    </r>
    <r>
      <rPr>
        <sz val="10"/>
        <rFont val="Arial"/>
      </rPr>
      <t xml:space="preserve"> utility customer per year</t>
    </r>
  </si>
  <si>
    <t>BPA Figures with 1500 aMW load loss</t>
  </si>
  <si>
    <t>BPA Figures with no load loss</t>
  </si>
  <si>
    <t>Cost by Customer                  (Utility Cost / 28,233)</t>
  </si>
  <si>
    <t>Rates</t>
  </si>
  <si>
    <t>Rate</t>
  </si>
  <si>
    <t>Schedule</t>
  </si>
  <si>
    <t>Year</t>
  </si>
  <si>
    <t>Average</t>
  </si>
  <si>
    <t>Without DSI Load</t>
  </si>
  <si>
    <t>Table 1: Regional Augmentation Costs With and Without DSI Load</t>
  </si>
  <si>
    <t>Table 3: Cost per SUB customer to subsidize DSI Sales - with IP TAC CRAC</t>
  </si>
  <si>
    <t>See BPA Toolkit File "TK_145_S2000_210Mkt_LR1500_021001"</t>
  </si>
  <si>
    <t>See BPA Toolkit File "TK_145_S2000_210Mkt_LR0_021001"</t>
  </si>
  <si>
    <t>See BPA Toolkit File "TK_145_S2000_315Mkt_LR0_021001"</t>
  </si>
  <si>
    <t>See BPA Toolkit File "TK_145_S2000_315Mkt_LR1500_021001"</t>
  </si>
  <si>
    <t>See BPA Toolkit File "TK_145_S2000_140Mkt_LR0_021001"</t>
  </si>
  <si>
    <t>See BPA Toolkit File "TK_145_S2000_140Mkt_LR1500_021001"</t>
  </si>
  <si>
    <t>Attachment 1A</t>
  </si>
  <si>
    <t>$ Millions</t>
  </si>
  <si>
    <t>$/MWh</t>
  </si>
  <si>
    <t>aMW</t>
  </si>
  <si>
    <t>Augmentation Costs with $70.5/MWh Average Augmentation Price</t>
  </si>
  <si>
    <t>Attachment 1B</t>
  </si>
  <si>
    <t>Augmentation Costs with $91.8/MWh Average Augmentation Price</t>
  </si>
  <si>
    <t>Attachment 1C</t>
  </si>
  <si>
    <t>Augmentation Costs with $123.8/MWh Average Augmentation Price</t>
  </si>
  <si>
    <t>$123.8/MWh</t>
  </si>
  <si>
    <t>Augmentation Calculation with IP TAC CRAC</t>
  </si>
  <si>
    <t>Sales (aMW)</t>
  </si>
  <si>
    <t>Application of IP TAC CRAC</t>
  </si>
  <si>
    <t>No LB CRAC</t>
  </si>
  <si>
    <t>Rates with LB CRAC</t>
  </si>
  <si>
    <t>LB CRAC Rates ($/MWh)</t>
  </si>
  <si>
    <t>Revenue   ($ millions)</t>
  </si>
  <si>
    <t>FB CRAC Rev Basis = LB CRAC Rev Basis minus Slice Revenues</t>
  </si>
  <si>
    <t>------&gt;</t>
  </si>
  <si>
    <t>Cost Calculations:</t>
  </si>
  <si>
    <t>PF rates after the application of the LB CRAC are multiplied by (70 aMW x 8760 hours per year) to calculate utility costs</t>
  </si>
  <si>
    <t>$89.58 x 70 x 8760 = $54,930,456</t>
  </si>
  <si>
    <t xml:space="preserve">Avg 5 Year Augmentation Price </t>
  </si>
  <si>
    <t>$108.35 x 70 x 8760 = $66,440,220</t>
  </si>
  <si>
    <t>Under the $123.8/MWh scenario, the FY2002 PF Rate after the LB CRAC is $89.58/MWh (see Attachment 1C "Augmentation Calculation with IP TAC CRAC" Tables)</t>
  </si>
  <si>
    <t>Under the $123.8/MWh scenario with no load loss, the FY2002 PF Rate after the LB CRAC is $108.35/MWh (see Attachment 1C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</si>
</sst>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#,##0.0"/>
    <numFmt numFmtId="170" formatCode="0.0"/>
    <numFmt numFmtId="173" formatCode="0.0%"/>
    <numFmt numFmtId="174" formatCode="_(* #,##0.0_);_(* \(#,##0.0\);_(* &quot;-&quot;??_);_(@_)"/>
    <numFmt numFmtId="17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6" fontId="0" fillId="0" borderId="0" xfId="2" applyNumberFormat="1" applyFont="1"/>
    <xf numFmtId="168" fontId="0" fillId="0" borderId="0" xfId="2" applyNumberFormat="1" applyFont="1"/>
    <xf numFmtId="0" fontId="0" fillId="2" borderId="1" xfId="0" applyFill="1" applyBorder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right"/>
      <protection locked="0"/>
    </xf>
    <xf numFmtId="169" fontId="0" fillId="3" borderId="2" xfId="0" applyNumberFormat="1" applyFill="1" applyBorder="1" applyProtection="1">
      <protection locked="0"/>
    </xf>
    <xf numFmtId="169" fontId="0" fillId="3" borderId="3" xfId="0" applyNumberFormat="1" applyFill="1" applyBorder="1" applyProtection="1">
      <protection locked="0"/>
    </xf>
    <xf numFmtId="169" fontId="0" fillId="3" borderId="4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Protection="1">
      <protection locked="0"/>
    </xf>
    <xf numFmtId="170" fontId="0" fillId="3" borderId="6" xfId="0" applyNumberFormat="1" applyFill="1" applyBorder="1" applyProtection="1">
      <protection locked="0"/>
    </xf>
    <xf numFmtId="170" fontId="0" fillId="3" borderId="4" xfId="0" applyNumberFormat="1" applyFill="1" applyBorder="1" applyProtection="1">
      <protection locked="0"/>
    </xf>
    <xf numFmtId="43" fontId="0" fillId="0" borderId="0" xfId="2" applyNumberFormat="1" applyFont="1"/>
    <xf numFmtId="44" fontId="0" fillId="0" borderId="0" xfId="2" applyNumberFormat="1" applyFont="1"/>
    <xf numFmtId="43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5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9" fontId="0" fillId="3" borderId="6" xfId="3" applyFont="1" applyFill="1" applyBorder="1" applyProtection="1">
      <protection locked="0"/>
    </xf>
    <xf numFmtId="9" fontId="0" fillId="3" borderId="4" xfId="3" applyFont="1" applyFill="1" applyBorder="1" applyProtection="1">
      <protection locked="0"/>
    </xf>
    <xf numFmtId="9" fontId="0" fillId="3" borderId="6" xfId="3" applyNumberFormat="1" applyFont="1" applyFill="1" applyBorder="1" applyProtection="1">
      <protection locked="0"/>
    </xf>
    <xf numFmtId="173" fontId="0" fillId="0" borderId="0" xfId="3" applyNumberFormat="1" applyFont="1"/>
    <xf numFmtId="174" fontId="0" fillId="0" borderId="0" xfId="1" applyNumberFormat="1" applyFont="1"/>
    <xf numFmtId="175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7" xfId="2" applyNumberFormat="1" applyFont="1" applyBorder="1"/>
    <xf numFmtId="166" fontId="0" fillId="0" borderId="2" xfId="2" applyNumberFormat="1" applyFont="1" applyBorder="1"/>
    <xf numFmtId="166" fontId="0" fillId="0" borderId="8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4" xfId="0" applyBorder="1" applyAlignment="1">
      <alignment wrapText="1"/>
    </xf>
    <xf numFmtId="10" fontId="0" fillId="0" borderId="0" xfId="3" applyNumberFormat="1" applyFont="1"/>
    <xf numFmtId="44" fontId="0" fillId="0" borderId="7" xfId="2" applyFont="1" applyBorder="1"/>
    <xf numFmtId="44" fontId="0" fillId="0" borderId="2" xfId="2" applyFont="1" applyBorder="1"/>
    <xf numFmtId="44" fontId="2" fillId="0" borderId="8" xfId="2" applyFont="1" applyBorder="1"/>
    <xf numFmtId="44" fontId="2" fillId="0" borderId="3" xfId="2" applyFont="1" applyBorder="1"/>
    <xf numFmtId="0" fontId="2" fillId="0" borderId="0" xfId="0" applyFont="1"/>
    <xf numFmtId="169" fontId="0" fillId="0" borderId="0" xfId="0" applyNumberFormat="1"/>
    <xf numFmtId="44" fontId="0" fillId="0" borderId="0" xfId="0" applyNumberFormat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3" borderId="7" xfId="2" applyFont="1" applyFill="1" applyBorder="1"/>
    <xf numFmtId="44" fontId="0" fillId="3" borderId="2" xfId="2" applyFont="1" applyFill="1" applyBorder="1"/>
    <xf numFmtId="0" fontId="0" fillId="3" borderId="4" xfId="0" applyFill="1" applyBorder="1" applyProtection="1">
      <protection locked="0"/>
    </xf>
    <xf numFmtId="44" fontId="0" fillId="3" borderId="8" xfId="2" applyFont="1" applyFill="1" applyBorder="1"/>
    <xf numFmtId="44" fontId="0" fillId="3" borderId="3" xfId="2" applyFont="1" applyFill="1" applyBorder="1"/>
    <xf numFmtId="166" fontId="2" fillId="0" borderId="0" xfId="2" applyNumberFormat="1" applyFont="1"/>
    <xf numFmtId="0" fontId="0" fillId="2" borderId="6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9" fontId="0" fillId="0" borderId="11" xfId="0" applyNumberFormat="1" applyBorder="1"/>
    <xf numFmtId="169" fontId="0" fillId="0" borderId="12" xfId="0" applyNumberFormat="1" applyBorder="1"/>
    <xf numFmtId="43" fontId="0" fillId="0" borderId="11" xfId="0" applyNumberFormat="1" applyBorder="1"/>
    <xf numFmtId="43" fontId="0" fillId="0" borderId="10" xfId="0" applyNumberFormat="1" applyBorder="1"/>
    <xf numFmtId="174" fontId="0" fillId="0" borderId="11" xfId="1" applyNumberFormat="1" applyFont="1" applyBorder="1"/>
    <xf numFmtId="9" fontId="0" fillId="0" borderId="12" xfId="0" applyNumberFormat="1" applyBorder="1"/>
    <xf numFmtId="166" fontId="0" fillId="0" borderId="9" xfId="2" applyNumberFormat="1" applyFont="1" applyBorder="1"/>
    <xf numFmtId="166" fontId="0" fillId="0" borderId="1" xfId="2" applyNumberFormat="1" applyFont="1" applyBorder="1"/>
    <xf numFmtId="166" fontId="0" fillId="0" borderId="8" xfId="0" applyNumberFormat="1" applyBorder="1"/>
    <xf numFmtId="166" fontId="0" fillId="0" borderId="3" xfId="0" applyNumberFormat="1" applyBorder="1"/>
    <xf numFmtId="44" fontId="0" fillId="0" borderId="9" xfId="2" applyFont="1" applyBorder="1"/>
    <xf numFmtId="44" fontId="0" fillId="0" borderId="1" xfId="2" applyFont="1" applyBorder="1"/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43" fontId="0" fillId="0" borderId="0" xfId="0" applyNumberFormat="1" applyBorder="1"/>
    <xf numFmtId="174" fontId="0" fillId="0" borderId="0" xfId="1" applyNumberFormat="1" applyFont="1" applyBorder="1"/>
    <xf numFmtId="9" fontId="0" fillId="0" borderId="0" xfId="0" applyNumberFormat="1" applyBorder="1"/>
    <xf numFmtId="0" fontId="0" fillId="3" borderId="2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44" fontId="0" fillId="3" borderId="7" xfId="2" applyFont="1" applyFill="1" applyBorder="1" applyAlignment="1">
      <alignment horizontal="center"/>
    </xf>
    <xf numFmtId="44" fontId="0" fillId="3" borderId="2" xfId="2" applyFont="1" applyFill="1" applyBorder="1" applyAlignment="1">
      <alignment horizontal="center"/>
    </xf>
    <xf numFmtId="166" fontId="6" fillId="0" borderId="0" xfId="2" applyNumberFormat="1" applyFont="1" applyAlignment="1">
      <alignment horizontal="center"/>
    </xf>
    <xf numFmtId="166" fontId="4" fillId="0" borderId="0" xfId="2" applyNumberFormat="1" applyFont="1" applyAlignment="1">
      <alignment horizontal="left"/>
    </xf>
    <xf numFmtId="174" fontId="0" fillId="0" borderId="10" xfId="0" applyNumberFormat="1" applyBorder="1"/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Protection="1">
      <protection locked="0"/>
    </xf>
    <xf numFmtId="1" fontId="0" fillId="0" borderId="0" xfId="0" applyNumberFormat="1" applyBorder="1"/>
    <xf numFmtId="2" fontId="0" fillId="0" borderId="0" xfId="0" applyNumberFormat="1" applyBorder="1"/>
    <xf numFmtId="0" fontId="0" fillId="0" borderId="8" xfId="0" applyBorder="1" applyProtection="1">
      <protection locked="0"/>
    </xf>
    <xf numFmtId="0" fontId="0" fillId="0" borderId="14" xfId="0" applyBorder="1"/>
    <xf numFmtId="0" fontId="5" fillId="0" borderId="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166" fontId="0" fillId="0" borderId="0" xfId="2" applyNumberFormat="1" applyFont="1" applyBorder="1"/>
    <xf numFmtId="0" fontId="0" fillId="0" borderId="8" xfId="0" applyBorder="1" applyAlignment="1">
      <alignment horizontal="center"/>
    </xf>
    <xf numFmtId="3" fontId="0" fillId="3" borderId="6" xfId="0" applyNumberFormat="1" applyFill="1" applyBorder="1" applyAlignment="1" applyProtection="1">
      <alignment horizontal="center"/>
      <protection locked="0"/>
    </xf>
    <xf numFmtId="3" fontId="0" fillId="3" borderId="4" xfId="0" applyNumberFormat="1" applyFill="1" applyBorder="1" applyAlignment="1" applyProtection="1">
      <alignment horizontal="center"/>
      <protection locked="0"/>
    </xf>
    <xf numFmtId="169" fontId="0" fillId="3" borderId="6" xfId="0" applyNumberFormat="1" applyFill="1" applyBorder="1" applyProtection="1">
      <protection locked="0"/>
    </xf>
    <xf numFmtId="0" fontId="0" fillId="0" borderId="0" xfId="0" applyAlignment="1">
      <alignment wrapText="1"/>
    </xf>
    <xf numFmtId="0" fontId="3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6" fillId="0" borderId="0" xfId="2" applyNumberFormat="1" applyFont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32"/>
  <sheetViews>
    <sheetView tabSelected="1" topLeftCell="A6" workbookViewId="0">
      <selection activeCell="A13" sqref="A13"/>
    </sheetView>
  </sheetViews>
  <sheetFormatPr defaultRowHeight="12.75" x14ac:dyDescent="0.2"/>
  <cols>
    <col min="1" max="1" width="30" customWidth="1"/>
    <col min="2" max="2" width="15.85546875" customWidth="1"/>
    <col min="3" max="7" width="14.85546875" bestFit="1" customWidth="1"/>
  </cols>
  <sheetData>
    <row r="2" spans="1:7" x14ac:dyDescent="0.2">
      <c r="B2" t="s">
        <v>24</v>
      </c>
    </row>
    <row r="3" spans="1:7" x14ac:dyDescent="0.2">
      <c r="A3" t="s">
        <v>27</v>
      </c>
      <c r="B3" s="31">
        <v>7000</v>
      </c>
    </row>
    <row r="5" spans="1:7" x14ac:dyDescent="0.2">
      <c r="B5" t="s">
        <v>25</v>
      </c>
    </row>
    <row r="7" spans="1:7" ht="18" x14ac:dyDescent="0.25">
      <c r="A7" s="107" t="s">
        <v>47</v>
      </c>
      <c r="B7" s="107"/>
      <c r="C7" s="107"/>
      <c r="D7" s="107"/>
      <c r="E7" s="107"/>
      <c r="F7" s="107"/>
      <c r="G7" s="107"/>
    </row>
    <row r="8" spans="1:7" x14ac:dyDescent="0.2">
      <c r="A8" s="38" t="s">
        <v>77</v>
      </c>
      <c r="B8" s="108" t="s">
        <v>64</v>
      </c>
      <c r="C8" s="109"/>
      <c r="D8" s="108" t="s">
        <v>28</v>
      </c>
      <c r="E8" s="109"/>
      <c r="F8" s="108" t="s">
        <v>35</v>
      </c>
      <c r="G8" s="109"/>
    </row>
    <row r="9" spans="1:7" x14ac:dyDescent="0.2">
      <c r="A9" s="39"/>
      <c r="B9" s="32" t="s">
        <v>29</v>
      </c>
      <c r="C9" s="33" t="s">
        <v>30</v>
      </c>
      <c r="D9" s="32" t="s">
        <v>29</v>
      </c>
      <c r="E9" s="33" t="s">
        <v>30</v>
      </c>
      <c r="F9" s="32" t="s">
        <v>29</v>
      </c>
      <c r="G9" s="33" t="s">
        <v>30</v>
      </c>
    </row>
    <row r="10" spans="1:7" x14ac:dyDescent="0.2">
      <c r="A10" s="39" t="s">
        <v>34</v>
      </c>
      <c r="B10" s="34">
        <f>'With Rev Aug Before Adj'!B10</f>
        <v>6497136397.757534</v>
      </c>
      <c r="C10" s="35">
        <f>'With Rev Aug Before Adj'!C10</f>
        <v>2186649543.9752293</v>
      </c>
      <c r="D10" s="34">
        <f>'With Rev Aug Before Adj'!D10</f>
        <v>4179536397.7575345</v>
      </c>
      <c r="E10" s="35">
        <f>'With Rev Aug Before Adj'!E10</f>
        <v>1496909543.9752295</v>
      </c>
      <c r="F10" s="34">
        <f>'With Rev Aug Before Adj'!F10</f>
        <v>2634536397.7575336</v>
      </c>
      <c r="G10" s="35">
        <f>'With Rev Aug Before Adj'!G10</f>
        <v>1038829543.9752291</v>
      </c>
    </row>
    <row r="11" spans="1:7" x14ac:dyDescent="0.2">
      <c r="A11" s="39" t="s">
        <v>46</v>
      </c>
      <c r="B11" s="34">
        <f>'With Rev Aug Before Adj'!B11</f>
        <v>2521130397.757534</v>
      </c>
      <c r="C11" s="35">
        <f>'With Rev Aug Before Adj'!C11</f>
        <v>767762663.97522938</v>
      </c>
      <c r="D11" s="34">
        <f>'With Rev Aug Before Adj'!D11</f>
        <v>1626000000</v>
      </c>
      <c r="E11" s="35">
        <f>'With Rev Aug Before Adj'!E11</f>
        <v>518200000.00000006</v>
      </c>
      <c r="F11" s="34">
        <f>'With Rev Aug Before Adj'!F11</f>
        <v>1037150734.0286282</v>
      </c>
      <c r="G11" s="35">
        <f>'With Rev Aug Before Adj'!G11</f>
        <v>374888982.46229869</v>
      </c>
    </row>
    <row r="12" spans="1:7" x14ac:dyDescent="0.2">
      <c r="A12" s="40" t="s">
        <v>26</v>
      </c>
      <c r="B12" s="36">
        <f>'With Rev Aug Before Adj'!B12</f>
        <v>3976006000</v>
      </c>
      <c r="C12" s="37">
        <f>'With Rev Aug Before Adj'!C12</f>
        <v>1418886880</v>
      </c>
      <c r="D12" s="36">
        <f>'With Rev Aug Before Adj'!D12</f>
        <v>2553536397.7575345</v>
      </c>
      <c r="E12" s="37">
        <f>'With Rev Aug Before Adj'!E12</f>
        <v>978709543.9752295</v>
      </c>
      <c r="F12" s="36">
        <f>'With Rev Aug Before Adj'!F12</f>
        <v>1597385663.7289052</v>
      </c>
      <c r="G12" s="37">
        <f>'With Rev Aug Before Adj'!G12</f>
        <v>663940561.51293039</v>
      </c>
    </row>
    <row r="13" spans="1:7" x14ac:dyDescent="0.2">
      <c r="A13" s="39"/>
      <c r="B13" s="41"/>
      <c r="C13" s="42"/>
      <c r="D13" s="41"/>
      <c r="E13" s="42"/>
      <c r="F13" s="41"/>
      <c r="G13" s="42"/>
    </row>
    <row r="14" spans="1:7" x14ac:dyDescent="0.2">
      <c r="A14" s="40" t="s">
        <v>31</v>
      </c>
      <c r="B14" s="47">
        <f t="shared" ref="B14:G14" si="0">B12/$B$3</f>
        <v>568000.85714285716</v>
      </c>
      <c r="C14" s="48">
        <f t="shared" si="0"/>
        <v>202698.12571428571</v>
      </c>
      <c r="D14" s="47">
        <f t="shared" si="0"/>
        <v>364790.91396536207</v>
      </c>
      <c r="E14" s="48">
        <f t="shared" si="0"/>
        <v>139815.6491393185</v>
      </c>
      <c r="F14" s="47">
        <f t="shared" si="0"/>
        <v>228197.95196127216</v>
      </c>
      <c r="G14" s="48">
        <f t="shared" si="0"/>
        <v>94848.65164470434</v>
      </c>
    </row>
    <row r="17" spans="1:7" ht="18" x14ac:dyDescent="0.25">
      <c r="A17" s="110" t="s">
        <v>48</v>
      </c>
      <c r="B17" s="110"/>
      <c r="C17" s="110"/>
      <c r="D17" s="110"/>
      <c r="E17" s="110"/>
      <c r="F17" s="110"/>
      <c r="G17" s="110"/>
    </row>
    <row r="18" spans="1:7" x14ac:dyDescent="0.2">
      <c r="A18" s="38" t="s">
        <v>77</v>
      </c>
      <c r="B18" s="108" t="s">
        <v>64</v>
      </c>
      <c r="C18" s="109"/>
      <c r="D18" s="108" t="s">
        <v>28</v>
      </c>
      <c r="E18" s="109"/>
      <c r="F18" s="108" t="s">
        <v>35</v>
      </c>
      <c r="G18" s="109"/>
    </row>
    <row r="19" spans="1:7" x14ac:dyDescent="0.2">
      <c r="A19" s="39"/>
      <c r="B19" s="32" t="s">
        <v>29</v>
      </c>
      <c r="C19" s="33" t="s">
        <v>30</v>
      </c>
      <c r="D19" s="32" t="s">
        <v>29</v>
      </c>
      <c r="E19" s="33" t="s">
        <v>30</v>
      </c>
      <c r="F19" s="32" t="s">
        <v>29</v>
      </c>
      <c r="G19" s="33" t="s">
        <v>30</v>
      </c>
    </row>
    <row r="20" spans="1:7" ht="30.75" customHeight="1" x14ac:dyDescent="0.2">
      <c r="A20" s="78" t="s">
        <v>32</v>
      </c>
      <c r="B20" s="32"/>
      <c r="C20" s="33"/>
      <c r="D20" s="32"/>
      <c r="E20" s="33"/>
      <c r="F20" s="32"/>
      <c r="G20" s="33"/>
    </row>
    <row r="21" spans="1:7" x14ac:dyDescent="0.2">
      <c r="A21" s="38" t="s">
        <v>34</v>
      </c>
      <c r="B21" s="72">
        <f>'123.81 avg market w Slice'!$P$59*70*8760</f>
        <v>54930455.999999993</v>
      </c>
      <c r="C21" s="73">
        <f>'123.81 avg market w Slice'!$Q$59*70*8760</f>
        <v>27367116.000000004</v>
      </c>
      <c r="D21" s="72">
        <f>'91.8 avg market w Slice'!$P$59*70*8760</f>
        <v>42016464</v>
      </c>
      <c r="E21" s="73">
        <f>'91.8 avg market w Slice'!$Q$59*70*8760</f>
        <v>23638860</v>
      </c>
      <c r="F21" s="72">
        <f>'70.5 avg market w Slice'!$P$59*70*8760</f>
        <v>32327904</v>
      </c>
      <c r="G21" s="73">
        <f>'70.5 avg market w Slice'!$Q$59*70*8760</f>
        <v>20854932</v>
      </c>
    </row>
    <row r="22" spans="1:7" x14ac:dyDescent="0.2">
      <c r="A22" s="39" t="s">
        <v>46</v>
      </c>
      <c r="B22" s="34">
        <f>'With Rev Aug Before Adj'!B22</f>
        <v>38404716</v>
      </c>
      <c r="C22" s="101">
        <f>'With Rev Aug Before Adj'!C22</f>
        <v>20977572.000000004</v>
      </c>
      <c r="D22" s="34">
        <f>'With Rev Aug Before Adj'!D22</f>
        <v>29519448</v>
      </c>
      <c r="E22" s="101">
        <f>'With Rev Aug Before Adj'!E22</f>
        <v>18506376</v>
      </c>
      <c r="F22" s="34">
        <f>'With Rev Aug Before Adj'!F22</f>
        <v>24417624</v>
      </c>
      <c r="G22" s="35">
        <f>'With Rev Aug Before Adj'!G22</f>
        <v>17316768</v>
      </c>
    </row>
    <row r="23" spans="1:7" x14ac:dyDescent="0.2">
      <c r="A23" s="40" t="s">
        <v>26</v>
      </c>
      <c r="B23" s="74">
        <f t="shared" ref="B23:G23" si="1">B21-B22</f>
        <v>16525739.999999993</v>
      </c>
      <c r="C23" s="75">
        <f t="shared" si="1"/>
        <v>6389544</v>
      </c>
      <c r="D23" s="74">
        <f t="shared" si="1"/>
        <v>12497016</v>
      </c>
      <c r="E23" s="75">
        <f t="shared" si="1"/>
        <v>5132484</v>
      </c>
      <c r="F23" s="74">
        <f t="shared" si="1"/>
        <v>7910280</v>
      </c>
      <c r="G23" s="75">
        <f t="shared" si="1"/>
        <v>3538164</v>
      </c>
    </row>
    <row r="24" spans="1:7" ht="24.75" customHeight="1" x14ac:dyDescent="0.2">
      <c r="A24" s="78" t="s">
        <v>40</v>
      </c>
      <c r="B24" s="41"/>
      <c r="C24" s="42"/>
      <c r="D24" s="41"/>
      <c r="E24" s="42"/>
      <c r="F24" s="41"/>
      <c r="G24" s="42"/>
    </row>
    <row r="25" spans="1:7" x14ac:dyDescent="0.2">
      <c r="A25" s="38" t="s">
        <v>33</v>
      </c>
      <c r="B25" s="76">
        <f t="shared" ref="B25:G25" si="2">B21/28233</f>
        <v>1945.6117309531396</v>
      </c>
      <c r="C25" s="77">
        <f t="shared" si="2"/>
        <v>969.33078312612918</v>
      </c>
      <c r="D25" s="76">
        <f t="shared" si="2"/>
        <v>1488.2040165763469</v>
      </c>
      <c r="E25" s="77">
        <f t="shared" si="2"/>
        <v>837.27765380937205</v>
      </c>
      <c r="F25" s="76">
        <f t="shared" si="2"/>
        <v>1145.0396344703008</v>
      </c>
      <c r="G25" s="77">
        <f t="shared" si="2"/>
        <v>738.67219211560939</v>
      </c>
    </row>
    <row r="26" spans="1:7" x14ac:dyDescent="0.2">
      <c r="A26" s="39" t="s">
        <v>22</v>
      </c>
      <c r="B26" s="45">
        <f t="shared" ref="B26:G26" si="3">B22/28233</f>
        <v>1360.2775475507385</v>
      </c>
      <c r="C26" s="46">
        <f t="shared" si="3"/>
        <v>743.01604505366072</v>
      </c>
      <c r="D26" s="45">
        <f t="shared" si="3"/>
        <v>1045.5654021889279</v>
      </c>
      <c r="E26" s="46">
        <f t="shared" si="3"/>
        <v>655.48740835192859</v>
      </c>
      <c r="F26" s="45">
        <f t="shared" si="3"/>
        <v>864.8611199659972</v>
      </c>
      <c r="G26" s="46">
        <f t="shared" si="3"/>
        <v>613.35203485283182</v>
      </c>
    </row>
    <row r="27" spans="1:7" ht="37.5" customHeight="1" x14ac:dyDescent="0.2">
      <c r="A27" s="43" t="s">
        <v>37</v>
      </c>
      <c r="B27" s="47">
        <f t="shared" ref="B27:G27" si="4">B25-B26</f>
        <v>585.3341834024011</v>
      </c>
      <c r="C27" s="48">
        <f t="shared" si="4"/>
        <v>226.31473807246846</v>
      </c>
      <c r="D27" s="47">
        <f t="shared" si="4"/>
        <v>442.63861438741901</v>
      </c>
      <c r="E27" s="48">
        <f t="shared" si="4"/>
        <v>181.79024545744346</v>
      </c>
      <c r="F27" s="47">
        <f t="shared" si="4"/>
        <v>280.17851450430362</v>
      </c>
      <c r="G27" s="48">
        <f t="shared" si="4"/>
        <v>125.32015726277757</v>
      </c>
    </row>
    <row r="29" spans="1:7" x14ac:dyDescent="0.2">
      <c r="A29" s="49" t="s">
        <v>74</v>
      </c>
    </row>
    <row r="30" spans="1:7" x14ac:dyDescent="0.2">
      <c r="A30" t="s">
        <v>75</v>
      </c>
      <c r="B30" s="44"/>
      <c r="D30" s="44"/>
    </row>
    <row r="31" spans="1:7" ht="27" customHeight="1" x14ac:dyDescent="0.2">
      <c r="A31" s="106" t="s">
        <v>79</v>
      </c>
      <c r="B31" s="106"/>
      <c r="C31" s="106"/>
      <c r="D31" s="106"/>
      <c r="E31" s="106"/>
      <c r="F31" s="106"/>
      <c r="G31" s="106"/>
    </row>
    <row r="32" spans="1:7" x14ac:dyDescent="0.2">
      <c r="A32" t="s">
        <v>76</v>
      </c>
    </row>
  </sheetData>
  <mergeCells count="9">
    <mergeCell ref="A31:G31"/>
    <mergeCell ref="A7:G7"/>
    <mergeCell ref="B8:C8"/>
    <mergeCell ref="D8:E8"/>
    <mergeCell ref="F8:G8"/>
    <mergeCell ref="A17:G17"/>
    <mergeCell ref="B18:C18"/>
    <mergeCell ref="D18:E18"/>
    <mergeCell ref="F18:G1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9"/>
  <sheetViews>
    <sheetView topLeftCell="A24" workbookViewId="0">
      <selection activeCell="B31" sqref="B31"/>
    </sheetView>
  </sheetViews>
  <sheetFormatPr defaultRowHeight="12.75" x14ac:dyDescent="0.2"/>
  <cols>
    <col min="1" max="1" width="30.28515625" customWidth="1"/>
    <col min="2" max="2" width="16.28515625" customWidth="1"/>
    <col min="3" max="3" width="17.42578125" bestFit="1" customWidth="1"/>
    <col min="4" max="7" width="14.85546875" bestFit="1" customWidth="1"/>
  </cols>
  <sheetData>
    <row r="2" spans="1:7" x14ac:dyDescent="0.2">
      <c r="B2" t="s">
        <v>24</v>
      </c>
    </row>
    <row r="3" spans="1:7" x14ac:dyDescent="0.2">
      <c r="A3" t="s">
        <v>27</v>
      </c>
      <c r="B3" s="31">
        <v>7000</v>
      </c>
    </row>
    <row r="5" spans="1:7" x14ac:dyDescent="0.2">
      <c r="B5" t="s">
        <v>25</v>
      </c>
    </row>
    <row r="7" spans="1:7" ht="18" x14ac:dyDescent="0.25">
      <c r="A7" s="107" t="s">
        <v>47</v>
      </c>
      <c r="B7" s="107"/>
      <c r="C7" s="107"/>
      <c r="D7" s="107"/>
      <c r="E7" s="107"/>
      <c r="F7" s="107"/>
      <c r="G7" s="107"/>
    </row>
    <row r="8" spans="1:7" x14ac:dyDescent="0.2">
      <c r="A8" s="38" t="s">
        <v>77</v>
      </c>
      <c r="B8" s="108" t="s">
        <v>64</v>
      </c>
      <c r="C8" s="109"/>
      <c r="D8" s="108" t="s">
        <v>28</v>
      </c>
      <c r="E8" s="109"/>
      <c r="F8" s="108" t="s">
        <v>35</v>
      </c>
      <c r="G8" s="109"/>
    </row>
    <row r="9" spans="1:7" x14ac:dyDescent="0.2">
      <c r="A9" s="39"/>
      <c r="B9" s="32" t="s">
        <v>29</v>
      </c>
      <c r="C9" s="33" t="s">
        <v>30</v>
      </c>
      <c r="D9" s="32" t="s">
        <v>29</v>
      </c>
      <c r="E9" s="33" t="s">
        <v>30</v>
      </c>
      <c r="F9" s="32" t="s">
        <v>29</v>
      </c>
      <c r="G9" s="33" t="s">
        <v>30</v>
      </c>
    </row>
    <row r="10" spans="1:7" x14ac:dyDescent="0.2">
      <c r="A10" s="39" t="s">
        <v>34</v>
      </c>
      <c r="B10" s="34">
        <f>'123.81 avg market w Slice'!$I22*1000000</f>
        <v>6497136397.757534</v>
      </c>
      <c r="C10" s="35">
        <f>'123.81 avg market w Slice'!$I27*1000000</f>
        <v>2186649543.9752293</v>
      </c>
      <c r="D10" s="34">
        <f>'91.8 avg market w Slice'!$I22*1000000</f>
        <v>4179536397.7575345</v>
      </c>
      <c r="E10" s="35">
        <f>'91.8 avg market w Slice'!$I27*1000000</f>
        <v>1496909543.9752295</v>
      </c>
      <c r="F10" s="34">
        <f>'70.5 avg market w Slice'!$I22*1000000</f>
        <v>2634536397.7575336</v>
      </c>
      <c r="G10" s="35">
        <f>'70.5 avg market w Slice'!$I27*1000000</f>
        <v>1038829543.9752291</v>
      </c>
    </row>
    <row r="11" spans="1:7" x14ac:dyDescent="0.2">
      <c r="A11" s="39" t="s">
        <v>46</v>
      </c>
      <c r="B11" s="34">
        <f>'123.81 avg market w Slice'!$C34*1000000</f>
        <v>2521130397.757534</v>
      </c>
      <c r="C11" s="35">
        <f>'123.81 avg market w Slice'!$C$39*1000000</f>
        <v>767762663.97522938</v>
      </c>
      <c r="D11" s="34">
        <f>'91.8 avg market w Slice'!$C34*1000000</f>
        <v>1626000000</v>
      </c>
      <c r="E11" s="35">
        <f>'91.8 avg market w Slice'!$C$39*1000000</f>
        <v>518200000.00000006</v>
      </c>
      <c r="F11" s="34">
        <f>'70.5 avg market w Slice'!$C34*1000000</f>
        <v>1037150734.0286282</v>
      </c>
      <c r="G11" s="35">
        <f>'70.5 avg market w Slice'!$C$39*1000000</f>
        <v>374888982.46229869</v>
      </c>
    </row>
    <row r="12" spans="1:7" x14ac:dyDescent="0.2">
      <c r="A12" s="40" t="s">
        <v>26</v>
      </c>
      <c r="B12" s="36">
        <f t="shared" ref="B12:G12" si="0">B10-B11</f>
        <v>3976006000</v>
      </c>
      <c r="C12" s="37">
        <f t="shared" si="0"/>
        <v>1418886880</v>
      </c>
      <c r="D12" s="36">
        <f t="shared" si="0"/>
        <v>2553536397.7575345</v>
      </c>
      <c r="E12" s="37">
        <f t="shared" si="0"/>
        <v>978709543.9752295</v>
      </c>
      <c r="F12" s="36">
        <f t="shared" si="0"/>
        <v>1597385663.7289052</v>
      </c>
      <c r="G12" s="37">
        <f t="shared" si="0"/>
        <v>663940561.51293039</v>
      </c>
    </row>
    <row r="13" spans="1:7" x14ac:dyDescent="0.2">
      <c r="A13" s="39"/>
      <c r="B13" s="41"/>
      <c r="C13" s="42"/>
      <c r="D13" s="41"/>
      <c r="E13" s="42"/>
      <c r="F13" s="41"/>
      <c r="G13" s="42"/>
    </row>
    <row r="14" spans="1:7" x14ac:dyDescent="0.2">
      <c r="A14" s="40" t="s">
        <v>31</v>
      </c>
      <c r="B14" s="47">
        <f t="shared" ref="B14:G14" si="1">B12/$B$3</f>
        <v>568000.85714285716</v>
      </c>
      <c r="C14" s="48">
        <f t="shared" si="1"/>
        <v>202698.12571428571</v>
      </c>
      <c r="D14" s="47">
        <f t="shared" si="1"/>
        <v>364790.91396536207</v>
      </c>
      <c r="E14" s="48">
        <f t="shared" si="1"/>
        <v>139815.6491393185</v>
      </c>
      <c r="F14" s="47">
        <f t="shared" si="1"/>
        <v>228197.95196127216</v>
      </c>
      <c r="G14" s="48">
        <f t="shared" si="1"/>
        <v>94848.65164470434</v>
      </c>
    </row>
    <row r="17" spans="1:7" ht="18" x14ac:dyDescent="0.25">
      <c r="A17" s="110" t="s">
        <v>36</v>
      </c>
      <c r="B17" s="110"/>
      <c r="C17" s="110"/>
      <c r="D17" s="110"/>
      <c r="E17" s="110"/>
      <c r="F17" s="110"/>
      <c r="G17" s="110"/>
    </row>
    <row r="18" spans="1:7" x14ac:dyDescent="0.2">
      <c r="A18" s="38" t="s">
        <v>77</v>
      </c>
      <c r="B18" s="108" t="s">
        <v>64</v>
      </c>
      <c r="C18" s="109"/>
      <c r="D18" s="108" t="s">
        <v>28</v>
      </c>
      <c r="E18" s="109"/>
      <c r="F18" s="108" t="s">
        <v>35</v>
      </c>
      <c r="G18" s="109"/>
    </row>
    <row r="19" spans="1:7" x14ac:dyDescent="0.2">
      <c r="A19" s="39"/>
      <c r="B19" s="32" t="s">
        <v>29</v>
      </c>
      <c r="C19" s="33" t="s">
        <v>30</v>
      </c>
      <c r="D19" s="32" t="s">
        <v>29</v>
      </c>
      <c r="E19" s="33" t="s">
        <v>30</v>
      </c>
      <c r="F19" s="32" t="s">
        <v>29</v>
      </c>
      <c r="G19" s="33" t="s">
        <v>30</v>
      </c>
    </row>
    <row r="20" spans="1:7" ht="25.5" customHeight="1" x14ac:dyDescent="0.2">
      <c r="A20" s="78" t="s">
        <v>32</v>
      </c>
      <c r="B20" s="32"/>
      <c r="C20" s="33"/>
      <c r="D20" s="32"/>
      <c r="E20" s="33"/>
      <c r="F20" s="32"/>
      <c r="G20" s="33"/>
    </row>
    <row r="21" spans="1:7" x14ac:dyDescent="0.2">
      <c r="A21" s="38" t="s">
        <v>34</v>
      </c>
      <c r="B21" s="72">
        <f>'123.81 avg market w Slice'!$P22*70*8760</f>
        <v>66440220</v>
      </c>
      <c r="C21" s="73">
        <f>'123.81 avg market w Slice'!$Q22*70*8760</f>
        <v>31175088</v>
      </c>
      <c r="D21" s="72">
        <f>'91.8 avg market w Slice'!$P22*70*8760</f>
        <v>47516867.999999993</v>
      </c>
      <c r="E21" s="73">
        <f>'91.8 avg market w Slice'!$Q22*70*8760</f>
        <v>25552044</v>
      </c>
      <c r="F21" s="72">
        <f>'70.5 avg market w Slice'!$P22*70*8760</f>
        <v>34897212</v>
      </c>
      <c r="G21" s="73">
        <f>'70.5 avg market w Slice'!$Q22*70*8760</f>
        <v>21817656</v>
      </c>
    </row>
    <row r="22" spans="1:7" x14ac:dyDescent="0.2">
      <c r="A22" s="39" t="s">
        <v>46</v>
      </c>
      <c r="B22" s="34">
        <f>'123.81 avg market w Slice'!$P$34*70*8760</f>
        <v>38404716</v>
      </c>
      <c r="C22" s="35">
        <f>'123.81 avg market w Slice'!$Q$34*70*8760</f>
        <v>20977572.000000004</v>
      </c>
      <c r="D22" s="34">
        <f>'91.8 avg market w Slice'!$P$34*70*8760</f>
        <v>29519448</v>
      </c>
      <c r="E22" s="35">
        <f>'91.8 avg market w Slice'!$Q$34*70*8760</f>
        <v>18506376</v>
      </c>
      <c r="F22" s="34">
        <f>'70.5 avg market w Slice'!$P$34*70*8760</f>
        <v>24417624</v>
      </c>
      <c r="G22" s="35">
        <f>'70.5 avg market w Slice'!$Q$34*70*8760</f>
        <v>17316768</v>
      </c>
    </row>
    <row r="23" spans="1:7" x14ac:dyDescent="0.2">
      <c r="A23" s="40" t="s">
        <v>26</v>
      </c>
      <c r="B23" s="74">
        <f t="shared" ref="B23:G23" si="2">B21-B22</f>
        <v>28035504</v>
      </c>
      <c r="C23" s="75">
        <f t="shared" si="2"/>
        <v>10197515.999999996</v>
      </c>
      <c r="D23" s="74">
        <f t="shared" si="2"/>
        <v>17997419.999999993</v>
      </c>
      <c r="E23" s="75">
        <f t="shared" si="2"/>
        <v>7045668</v>
      </c>
      <c r="F23" s="74">
        <f t="shared" si="2"/>
        <v>10479588</v>
      </c>
      <c r="G23" s="75">
        <f t="shared" si="2"/>
        <v>4500888</v>
      </c>
    </row>
    <row r="24" spans="1:7" x14ac:dyDescent="0.2">
      <c r="A24" s="78"/>
      <c r="B24" s="41"/>
      <c r="C24" s="42"/>
      <c r="D24" s="41"/>
      <c r="E24" s="42"/>
      <c r="F24" s="41"/>
      <c r="G24" s="42"/>
    </row>
    <row r="25" spans="1:7" ht="27" customHeight="1" x14ac:dyDescent="0.2">
      <c r="A25" s="79" t="s">
        <v>40</v>
      </c>
      <c r="B25" s="76"/>
      <c r="C25" s="77"/>
      <c r="D25" s="76"/>
      <c r="E25" s="77"/>
      <c r="F25" s="76"/>
      <c r="G25" s="77"/>
    </row>
    <row r="26" spans="1:7" x14ac:dyDescent="0.2">
      <c r="A26" s="38" t="s">
        <v>33</v>
      </c>
      <c r="B26" s="76">
        <f t="shared" ref="B26:G26" si="3">B21/28233</f>
        <v>2353.2823291892464</v>
      </c>
      <c r="C26" s="77">
        <f t="shared" si="3"/>
        <v>1104.2074168526192</v>
      </c>
      <c r="D26" s="76">
        <f t="shared" si="3"/>
        <v>1683.0258208479436</v>
      </c>
      <c r="E26" s="77">
        <f t="shared" si="3"/>
        <v>905.04175964297099</v>
      </c>
      <c r="F26" s="76">
        <f t="shared" si="3"/>
        <v>1236.0433535224738</v>
      </c>
      <c r="G26" s="77">
        <f t="shared" si="3"/>
        <v>772.77143767931148</v>
      </c>
    </row>
    <row r="27" spans="1:7" x14ac:dyDescent="0.2">
      <c r="A27" s="39" t="s">
        <v>22</v>
      </c>
      <c r="B27" s="45">
        <f t="shared" ref="B27:G27" si="4">B22/28233</f>
        <v>1360.2775475507385</v>
      </c>
      <c r="C27" s="46">
        <f t="shared" si="4"/>
        <v>743.01604505366072</v>
      </c>
      <c r="D27" s="45">
        <f t="shared" si="4"/>
        <v>1045.5654021889279</v>
      </c>
      <c r="E27" s="46">
        <f t="shared" si="4"/>
        <v>655.48740835192859</v>
      </c>
      <c r="F27" s="45">
        <f t="shared" si="4"/>
        <v>864.8611199659972</v>
      </c>
      <c r="G27" s="46">
        <f t="shared" si="4"/>
        <v>613.35203485283182</v>
      </c>
    </row>
    <row r="28" spans="1:7" ht="29.25" customHeight="1" x14ac:dyDescent="0.2">
      <c r="A28" s="43" t="s">
        <v>37</v>
      </c>
      <c r="B28" s="47">
        <f t="shared" ref="B28:G28" si="5">B26-B27</f>
        <v>993.00478163850789</v>
      </c>
      <c r="C28" s="48">
        <f t="shared" si="5"/>
        <v>361.19137179895847</v>
      </c>
      <c r="D28" s="47">
        <f t="shared" si="5"/>
        <v>637.46041865901566</v>
      </c>
      <c r="E28" s="48">
        <f t="shared" si="5"/>
        <v>249.55435129104239</v>
      </c>
      <c r="F28" s="47">
        <f t="shared" si="5"/>
        <v>371.1822335564766</v>
      </c>
      <c r="G28" s="48">
        <f t="shared" si="5"/>
        <v>159.41940282647965</v>
      </c>
    </row>
    <row r="30" spans="1:7" x14ac:dyDescent="0.2">
      <c r="A30" s="49" t="s">
        <v>74</v>
      </c>
    </row>
    <row r="31" spans="1:7" x14ac:dyDescent="0.2">
      <c r="A31" t="s">
        <v>75</v>
      </c>
      <c r="B31" s="44"/>
      <c r="D31" s="44"/>
    </row>
    <row r="32" spans="1:7" x14ac:dyDescent="0.2">
      <c r="A32" s="106" t="s">
        <v>80</v>
      </c>
      <c r="B32" s="106"/>
      <c r="C32" s="106"/>
      <c r="D32" s="106"/>
      <c r="E32" s="106"/>
      <c r="F32" s="106"/>
      <c r="G32" s="106"/>
    </row>
    <row r="33" spans="1:7" x14ac:dyDescent="0.2">
      <c r="A33" t="s">
        <v>78</v>
      </c>
    </row>
    <row r="35" spans="1:7" x14ac:dyDescent="0.2">
      <c r="A35" s="106"/>
      <c r="B35" s="106"/>
      <c r="C35" s="106"/>
      <c r="D35" s="106"/>
      <c r="E35" s="106"/>
      <c r="F35" s="106"/>
      <c r="G35" s="106"/>
    </row>
    <row r="36" spans="1:7" x14ac:dyDescent="0.2">
      <c r="B36" s="51"/>
      <c r="F36" s="51"/>
    </row>
    <row r="39" spans="1:7" x14ac:dyDescent="0.2">
      <c r="B39" s="29"/>
      <c r="D39" s="29"/>
    </row>
  </sheetData>
  <mergeCells count="10">
    <mergeCell ref="A35:G35"/>
    <mergeCell ref="B8:C8"/>
    <mergeCell ref="D8:E8"/>
    <mergeCell ref="F8:G8"/>
    <mergeCell ref="A7:G7"/>
    <mergeCell ref="A17:G17"/>
    <mergeCell ref="B18:C18"/>
    <mergeCell ref="D18:E18"/>
    <mergeCell ref="F18:G18"/>
    <mergeCell ref="A32:G3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Q64"/>
  <sheetViews>
    <sheetView topLeftCell="A2" workbookViewId="0">
      <selection activeCell="A20" sqref="A20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62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63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51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6497.1363977575338</v>
      </c>
      <c r="D22" s="9">
        <v>1639.3022846399999</v>
      </c>
      <c r="E22" s="9">
        <v>1166.26228464</v>
      </c>
      <c r="G22" s="16">
        <v>311.29169506261286</v>
      </c>
      <c r="H22" s="9">
        <f>MAX(0,$B22+(I$7-8327))</f>
        <v>2549.6575308641973</v>
      </c>
      <c r="I22" s="9">
        <f t="shared" ref="I22:K26" si="0">C22</f>
        <v>6497.1363977575338</v>
      </c>
      <c r="J22" s="9">
        <f t="shared" si="0"/>
        <v>1639.3022846399999</v>
      </c>
      <c r="K22" s="9">
        <f t="shared" si="0"/>
        <v>1166.26228464</v>
      </c>
      <c r="L22" s="28">
        <f>I22/J22</f>
        <v>3.9633546897571375</v>
      </c>
      <c r="N22" s="15" t="s">
        <v>0</v>
      </c>
      <c r="O22" s="58">
        <f>J3</f>
        <v>21.83</v>
      </c>
      <c r="P22" s="58">
        <f>ROUND(O22*(1+L$22),2)</f>
        <v>108.35</v>
      </c>
      <c r="Q22" s="59">
        <f>ROUND(O22*(1+L$27),2)</f>
        <v>50.84</v>
      </c>
    </row>
    <row r="23" spans="1:17" x14ac:dyDescent="0.2">
      <c r="A23" s="103">
        <v>2</v>
      </c>
      <c r="B23" s="105">
        <v>2287.3465062331256</v>
      </c>
      <c r="C23" s="9">
        <v>2970.0637737880784</v>
      </c>
      <c r="D23" s="9">
        <v>1648.4813630400001</v>
      </c>
      <c r="E23" s="9">
        <v>1175.4413630399999</v>
      </c>
      <c r="G23" s="16">
        <v>168.5668416241306</v>
      </c>
      <c r="H23" s="9">
        <f>MAX(0,$B23+(I$7-8327))</f>
        <v>2287.3465062331256</v>
      </c>
      <c r="I23" s="9">
        <f t="shared" si="0"/>
        <v>2970.0637737880784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1.8016969074560354</v>
      </c>
      <c r="N23" s="15" t="s">
        <v>1</v>
      </c>
      <c r="O23" s="58">
        <f>J4</f>
        <v>23</v>
      </c>
      <c r="P23" s="58">
        <f>ROUND(O23*(1+L$22),2)</f>
        <v>114.16</v>
      </c>
      <c r="Q23" s="59">
        <f>ROUND(O23*(1+L$27),2)</f>
        <v>53.56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95.59</v>
      </c>
      <c r="Q24" s="59">
        <f>ROUND(O24*(1+L$27),2)</f>
        <v>44.85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134.01</v>
      </c>
      <c r="Q25" s="62">
        <f>ROUND(O25*(1+L$27),2)</f>
        <v>62.88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0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2186.6495439752293</v>
      </c>
      <c r="D27" s="66">
        <f>AVERAGE(D22:D26)</f>
        <v>1657.8899184000002</v>
      </c>
      <c r="E27" s="67">
        <f>AVERAGE(E22:E26)</f>
        <v>1184.8499183999998</v>
      </c>
      <c r="G27" s="89">
        <f t="shared" ref="G27:L27" si="1">AVERAGE(G22:G26)</f>
        <v>123.81328888658049</v>
      </c>
      <c r="H27" s="70">
        <f t="shared" si="1"/>
        <v>2229.5298705287678</v>
      </c>
      <c r="I27" s="68">
        <f t="shared" si="1"/>
        <v>2186.6495439752293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1.3288381860450957</v>
      </c>
    </row>
    <row r="28" spans="1:17" x14ac:dyDescent="0.2">
      <c r="A28" s="54"/>
      <c r="B28" s="53"/>
      <c r="C28" s="53"/>
      <c r="D28" s="53"/>
      <c r="E28" s="53"/>
      <c r="G28" s="80"/>
      <c r="H28" s="81"/>
      <c r="I28" s="80"/>
      <c r="J28" s="80"/>
      <c r="K28" s="80"/>
      <c r="L28" s="82"/>
    </row>
    <row r="29" spans="1:17" x14ac:dyDescent="0.2">
      <c r="B29" s="49" t="s">
        <v>38</v>
      </c>
    </row>
    <row r="30" spans="1:17" x14ac:dyDescent="0.2">
      <c r="B30" s="49" t="s">
        <v>52</v>
      </c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1006.1300560751464</v>
      </c>
      <c r="C34" s="9">
        <v>2521.130397757534</v>
      </c>
      <c r="D34" s="9">
        <v>1348.9082846399999</v>
      </c>
      <c r="E34" s="9">
        <v>875.86828463999996</v>
      </c>
      <c r="G34" s="16">
        <v>311.29169506261286</v>
      </c>
      <c r="H34" s="9">
        <f>MAX(0,$B34+(I$7-8327))</f>
        <v>1006.1300560751464</v>
      </c>
      <c r="I34" s="9">
        <f t="shared" ref="I34:K38" si="2">C34</f>
        <v>2521.130397757534</v>
      </c>
      <c r="J34" s="9">
        <f t="shared" si="2"/>
        <v>1348.9082846399999</v>
      </c>
      <c r="K34" s="9">
        <f t="shared" si="2"/>
        <v>875.86828463999996</v>
      </c>
      <c r="L34" s="28">
        <f>I34/J34</f>
        <v>1.8690154300819493</v>
      </c>
      <c r="N34" s="15" t="s">
        <v>0</v>
      </c>
      <c r="O34" s="58">
        <f>J3</f>
        <v>21.83</v>
      </c>
      <c r="P34" s="58">
        <f>ROUND(O34*(1+L$34),2)</f>
        <v>62.63</v>
      </c>
      <c r="Q34" s="59">
        <f>ROUND(O34*(1+L$39),2)</f>
        <v>34.21</v>
      </c>
    </row>
    <row r="35" spans="1:17" x14ac:dyDescent="0.2">
      <c r="A35" s="103">
        <v>2</v>
      </c>
      <c r="B35" s="9">
        <v>743.81903144407499</v>
      </c>
      <c r="C35" s="9">
        <v>938.15777378807843</v>
      </c>
      <c r="D35" s="9">
        <v>1358.0873630400001</v>
      </c>
      <c r="E35" s="9">
        <v>885.04736303999994</v>
      </c>
      <c r="G35" s="16">
        <v>168.5668416241306</v>
      </c>
      <c r="H35" s="9">
        <f>MAX(0,$B35+(I$7-8327))</f>
        <v>743.81903144407499</v>
      </c>
      <c r="I35" s="9">
        <f t="shared" si="2"/>
        <v>938.15777378807843</v>
      </c>
      <c r="J35" s="9">
        <f t="shared" si="2"/>
        <v>1358.0873630400001</v>
      </c>
      <c r="K35" s="9">
        <f t="shared" si="2"/>
        <v>885.04736303999994</v>
      </c>
      <c r="L35" s="26">
        <f>I35/J35</f>
        <v>0.69079339026324971</v>
      </c>
      <c r="N35" s="15" t="s">
        <v>1</v>
      </c>
      <c r="O35" s="58">
        <f>J4</f>
        <v>23</v>
      </c>
      <c r="P35" s="58">
        <f>ROUND(O35*(1+L$34),2)</f>
        <v>65.989999999999995</v>
      </c>
      <c r="Q35" s="59">
        <f>ROUND(O35*(1+L$39),2)</f>
        <v>36.04</v>
      </c>
    </row>
    <row r="36" spans="1:17" x14ac:dyDescent="0.2">
      <c r="A36" s="103">
        <v>3</v>
      </c>
      <c r="B36" s="9">
        <v>616.3412769256264</v>
      </c>
      <c r="C36" s="9">
        <v>128.59187722696493</v>
      </c>
      <c r="D36" s="9">
        <v>1365.92782584</v>
      </c>
      <c r="E36" s="9">
        <v>892.88782584</v>
      </c>
      <c r="G36" s="16">
        <v>44.317271549854695</v>
      </c>
      <c r="H36" s="9">
        <f>MAX(0,$B36+(I$7-8327))</f>
        <v>616.3412769256264</v>
      </c>
      <c r="I36" s="9">
        <f t="shared" si="2"/>
        <v>128.59187722696493</v>
      </c>
      <c r="J36" s="9">
        <f t="shared" si="2"/>
        <v>1365.92782584</v>
      </c>
      <c r="K36" s="9">
        <f t="shared" si="2"/>
        <v>892.88782584</v>
      </c>
      <c r="L36" s="26">
        <f>I36/J36</f>
        <v>9.4142512359966915E-2</v>
      </c>
      <c r="N36" s="15" t="s">
        <v>2</v>
      </c>
      <c r="O36" s="58">
        <f>J5</f>
        <v>19.260000000000002</v>
      </c>
      <c r="P36" s="58">
        <f>ROUND(O36*(1+L$34),2)</f>
        <v>55.26</v>
      </c>
      <c r="Q36" s="59">
        <f>ROUND(O36*(1+L$39),2)</f>
        <v>30.18</v>
      </c>
    </row>
    <row r="37" spans="1:17" x14ac:dyDescent="0.2">
      <c r="A37" s="103">
        <v>4</v>
      </c>
      <c r="B37" s="9">
        <v>457.79312707323339</v>
      </c>
      <c r="C37" s="9">
        <v>105.14098146847584</v>
      </c>
      <c r="D37" s="9">
        <v>1377.4016738400001</v>
      </c>
      <c r="E37" s="9">
        <v>904.36167383999987</v>
      </c>
      <c r="G37" s="16">
        <v>47.253332074197957</v>
      </c>
      <c r="H37" s="9">
        <f>MAX(0,$B37+(I$7-8327))</f>
        <v>457.79312707323339</v>
      </c>
      <c r="I37" s="9">
        <f t="shared" si="2"/>
        <v>105.14098146847584</v>
      </c>
      <c r="J37" s="9">
        <f t="shared" si="2"/>
        <v>1377.4016738400001</v>
      </c>
      <c r="K37" s="9">
        <f t="shared" si="2"/>
        <v>904.36167383999987</v>
      </c>
      <c r="L37" s="26">
        <f>I37/J37</f>
        <v>7.63328399154313E-2</v>
      </c>
      <c r="N37" s="60" t="s">
        <v>3</v>
      </c>
      <c r="O37" s="61">
        <f>J6</f>
        <v>27</v>
      </c>
      <c r="P37" s="61">
        <f>ROUND(O37*(1+L$34),2)</f>
        <v>77.459999999999994</v>
      </c>
      <c r="Q37" s="62">
        <f>ROUND(O37*(1+L$39),2)</f>
        <v>42.31</v>
      </c>
    </row>
    <row r="38" spans="1:17" x14ac:dyDescent="0.2">
      <c r="A38" s="104">
        <v>5</v>
      </c>
      <c r="B38" s="10">
        <v>609.03339153894922</v>
      </c>
      <c r="C38" s="10">
        <v>145.79228963509354</v>
      </c>
      <c r="D38" s="10">
        <v>1387.1544446400001</v>
      </c>
      <c r="E38" s="10">
        <v>914.11444463999987</v>
      </c>
      <c r="G38" s="17">
        <v>47.637304122106308</v>
      </c>
      <c r="H38" s="10">
        <f>MAX(0,$B38+(I$7-8327))</f>
        <v>609.03339153894922</v>
      </c>
      <c r="I38" s="10">
        <f t="shared" si="2"/>
        <v>145.79228963509354</v>
      </c>
      <c r="J38" s="11">
        <f t="shared" si="2"/>
        <v>1387.1544446400001</v>
      </c>
      <c r="K38" s="10">
        <f t="shared" si="2"/>
        <v>914.11444463999987</v>
      </c>
      <c r="L38" s="27">
        <f>I38/J38</f>
        <v>0.10510169952483564</v>
      </c>
    </row>
    <row r="39" spans="1:17" x14ac:dyDescent="0.2">
      <c r="A39" s="65" t="s">
        <v>45</v>
      </c>
      <c r="B39" s="66">
        <f>AVERAGE(B34:B38)</f>
        <v>686.62337661140612</v>
      </c>
      <c r="C39" s="66">
        <f>AVERAGE(C34:C38)</f>
        <v>767.76266397522943</v>
      </c>
      <c r="D39" s="66">
        <f>AVERAGE(D34:D38)</f>
        <v>1367.4959183999999</v>
      </c>
      <c r="E39" s="67">
        <f>AVERAGE(E34:E38)</f>
        <v>894.45591839999975</v>
      </c>
      <c r="G39" s="69">
        <f t="shared" ref="G39:L39" si="3">AVERAGE(G34:G38)</f>
        <v>123.81328888658049</v>
      </c>
      <c r="H39" s="70">
        <f t="shared" si="3"/>
        <v>686.62337661140612</v>
      </c>
      <c r="I39" s="68">
        <f t="shared" si="3"/>
        <v>767.76266397522943</v>
      </c>
      <c r="J39" s="68">
        <f t="shared" si="3"/>
        <v>1367.4959183999999</v>
      </c>
      <c r="K39" s="68">
        <f t="shared" si="3"/>
        <v>894.45591839999975</v>
      </c>
      <c r="L39" s="71">
        <f t="shared" si="3"/>
        <v>0.56707717442908667</v>
      </c>
    </row>
    <row r="41" spans="1:17" x14ac:dyDescent="0.2">
      <c r="B41" s="49" t="s">
        <v>65</v>
      </c>
    </row>
    <row r="42" spans="1:17" x14ac:dyDescent="0.2">
      <c r="B42" s="49" t="s">
        <v>51</v>
      </c>
    </row>
    <row r="43" spans="1:17" x14ac:dyDescent="0.2">
      <c r="B43" s="49" t="s">
        <v>67</v>
      </c>
    </row>
    <row r="44" spans="1:17" ht="42" customHeight="1" x14ac:dyDescent="0.2">
      <c r="B44" s="52"/>
      <c r="C44" s="90" t="s">
        <v>66</v>
      </c>
      <c r="D44" s="90" t="s">
        <v>70</v>
      </c>
      <c r="E44" s="91" t="s">
        <v>71</v>
      </c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</row>
    <row r="46" spans="1:17" x14ac:dyDescent="0.2">
      <c r="B46" s="92" t="s">
        <v>1</v>
      </c>
      <c r="C46" s="93">
        <v>1486</v>
      </c>
      <c r="D46" s="94">
        <f>(AVERAGE(G22:G26)*496+990*20.68)/C46</f>
        <v>55.104031822169532</v>
      </c>
      <c r="E46" s="35">
        <f>C46*D46*8760/1000000</f>
        <v>717.30901968063677</v>
      </c>
      <c r="F46" s="99" t="s">
        <v>73</v>
      </c>
      <c r="G46" t="str">
        <f>"DSI LB CRAC Rate of $"&amp;TEXT(D46,"00.00")&amp;"/MWh = (496 aMW x $"&amp;TEXT(G64,"00.0")&amp;" + 990 aMW x $20.68)/1486 aMW"</f>
        <v>DSI LB CRAC Rate of $55.10/MWh = (496 aMW x $123.8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2093.5841224806368</v>
      </c>
    </row>
    <row r="50" spans="1:17" x14ac:dyDescent="0.2">
      <c r="B50" s="1"/>
      <c r="C50" s="3"/>
      <c r="D50" s="4" t="s">
        <v>5</v>
      </c>
      <c r="E50" s="5">
        <f>E49</f>
        <v>2093.5841224806368</v>
      </c>
    </row>
    <row r="51" spans="1:17" x14ac:dyDescent="0.2">
      <c r="D51" s="4" t="s">
        <v>6</v>
      </c>
      <c r="E51" s="5">
        <f>SUM(E45:E47)</f>
        <v>1620.5441224806368</v>
      </c>
      <c r="F51" s="99" t="s">
        <v>73</v>
      </c>
      <c r="G51" t="s">
        <v>72</v>
      </c>
    </row>
    <row r="52" spans="1:17" x14ac:dyDescent="0.2">
      <c r="D52" t="s">
        <v>23</v>
      </c>
      <c r="E52" s="29">
        <f>E51/E50</f>
        <v>0.77405254705528315</v>
      </c>
    </row>
    <row r="53" spans="1:17" x14ac:dyDescent="0.2">
      <c r="C53" t="s">
        <v>7</v>
      </c>
      <c r="E53" s="19">
        <f>E49/C49/0.00876</f>
        <v>28.701047350515665</v>
      </c>
    </row>
    <row r="54" spans="1:17" x14ac:dyDescent="0.2">
      <c r="B54" s="49"/>
    </row>
    <row r="55" spans="1:17" x14ac:dyDescent="0.2">
      <c r="B55" s="49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6497.1363977575338</v>
      </c>
      <c r="D59" s="9">
        <f>E50</f>
        <v>2093.5841224806368</v>
      </c>
      <c r="E59" s="9">
        <f>E51</f>
        <v>1620.5441224806368</v>
      </c>
      <c r="G59" s="16">
        <v>311.29169506261286</v>
      </c>
      <c r="H59" s="9">
        <f>MAX(0,$B59+(I$7-8327))</f>
        <v>2549.6575308641973</v>
      </c>
      <c r="I59" s="9">
        <f>C59</f>
        <v>6497.1363977575338</v>
      </c>
      <c r="J59" s="9">
        <f>E50</f>
        <v>2093.5841224806368</v>
      </c>
      <c r="K59" s="9">
        <f>E51</f>
        <v>1620.5441224806368</v>
      </c>
      <c r="L59" s="28">
        <f>I59/J59</f>
        <v>3.1033557849393869</v>
      </c>
      <c r="N59" s="15" t="s">
        <v>0</v>
      </c>
      <c r="O59" s="58">
        <f>J3</f>
        <v>21.83</v>
      </c>
      <c r="P59" s="58">
        <f>ROUND(O59*(1+L$59),2)</f>
        <v>89.58</v>
      </c>
      <c r="Q59" s="59">
        <f>ROUND(O59*(1+L$64),2)</f>
        <v>44.63</v>
      </c>
    </row>
    <row r="60" spans="1:17" x14ac:dyDescent="0.2">
      <c r="A60" s="103">
        <v>2</v>
      </c>
      <c r="B60" s="9">
        <v>2287.3465062331256</v>
      </c>
      <c r="C60" s="9">
        <v>2970.0637737880784</v>
      </c>
      <c r="D60" s="9">
        <f t="shared" ref="D60:E63" si="4">D59</f>
        <v>2093.5841224806368</v>
      </c>
      <c r="E60" s="9">
        <f t="shared" si="4"/>
        <v>1620.5441224806368</v>
      </c>
      <c r="G60" s="16">
        <v>168.5668416241306</v>
      </c>
      <c r="H60" s="9">
        <f>MAX(0,$B60+(I$7-8327))</f>
        <v>2287.3465062331256</v>
      </c>
      <c r="I60" s="9">
        <f>C60</f>
        <v>2970.0637737880784</v>
      </c>
      <c r="J60" s="9">
        <f t="shared" ref="J60:K63" si="5">J59</f>
        <v>2093.5841224806368</v>
      </c>
      <c r="K60" s="9">
        <f t="shared" si="5"/>
        <v>1620.5441224806368</v>
      </c>
      <c r="L60" s="26">
        <f>I60/J60</f>
        <v>1.4186503144993869</v>
      </c>
      <c r="N60" s="15" t="s">
        <v>1</v>
      </c>
      <c r="O60" s="58">
        <f>D46</f>
        <v>55.104031822169532</v>
      </c>
      <c r="P60" s="58">
        <f>ROUND(O60*(1+L$59),2)</f>
        <v>226.11</v>
      </c>
      <c r="Q60" s="59">
        <f>ROUND(O60*(1+L$64),2)</f>
        <v>112.66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2093.5841224806368</v>
      </c>
      <c r="E61" s="9">
        <f t="shared" si="4"/>
        <v>1620.5441224806368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2093.5841224806368</v>
      </c>
      <c r="K61" s="9">
        <f t="shared" si="5"/>
        <v>1620.5441224806368</v>
      </c>
      <c r="L61" s="26">
        <f>I61/J61</f>
        <v>0.22038869719754117</v>
      </c>
      <c r="N61" s="15" t="s">
        <v>2</v>
      </c>
      <c r="O61" s="58">
        <f>J5</f>
        <v>19.260000000000002</v>
      </c>
      <c r="P61" s="58">
        <f>ROUND(O61*(1+L$59),2)</f>
        <v>79.03</v>
      </c>
      <c r="Q61" s="59">
        <f>ROUND(O61*(1+L$64),2)</f>
        <v>39.380000000000003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2093.5841224806368</v>
      </c>
      <c r="E62" s="9">
        <f t="shared" si="4"/>
        <v>1620.5441224806368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2093.5841224806368</v>
      </c>
      <c r="K62" s="9">
        <f t="shared" si="5"/>
        <v>1620.5441224806368</v>
      </c>
      <c r="L62" s="26">
        <f>I62/J62</f>
        <v>0.23182587996196682</v>
      </c>
      <c r="N62" s="60" t="s">
        <v>3</v>
      </c>
      <c r="O62" s="61">
        <f>J6</f>
        <v>27</v>
      </c>
      <c r="P62" s="61">
        <f>ROUND(O62*(1+L$59),2)</f>
        <v>110.79</v>
      </c>
      <c r="Q62" s="62">
        <f>ROUND(O62*(1+L$64),2)</f>
        <v>55.2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2093.5841224806368</v>
      </c>
      <c r="E63" s="10">
        <f t="shared" si="4"/>
        <v>1620.5441224806368</v>
      </c>
      <c r="G63" s="17">
        <v>47.637304122106308</v>
      </c>
      <c r="H63" s="10">
        <f>MAX(0,$B63+(I$7-8327))</f>
        <v>2149.7580034459493</v>
      </c>
      <c r="I63" s="10">
        <f>C63</f>
        <v>519.29828963509351</v>
      </c>
      <c r="J63" s="9">
        <f t="shared" si="5"/>
        <v>2093.5841224806368</v>
      </c>
      <c r="K63" s="9">
        <f t="shared" si="5"/>
        <v>1620.5441224806368</v>
      </c>
      <c r="L63" s="27">
        <f>I63/J63</f>
        <v>0.24804271491120675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2186.6495439752293</v>
      </c>
      <c r="D64" s="66">
        <f>AVERAGE(D59:D63)</f>
        <v>2093.5841224806368</v>
      </c>
      <c r="E64" s="67">
        <f>AVERAGE(E59:E63)</f>
        <v>1620.5441224806368</v>
      </c>
      <c r="G64" s="89">
        <f t="shared" ref="G64:L64" si="6">AVERAGE(G59:G63)</f>
        <v>123.81328888658049</v>
      </c>
      <c r="H64" s="70">
        <f t="shared" si="6"/>
        <v>2229.5298705287678</v>
      </c>
      <c r="I64" s="68">
        <f t="shared" si="6"/>
        <v>2186.6495439752293</v>
      </c>
      <c r="J64" s="68">
        <f t="shared" si="6"/>
        <v>2093.5841224806368</v>
      </c>
      <c r="K64" s="68">
        <f t="shared" si="6"/>
        <v>1620.5441224806368</v>
      </c>
      <c r="L64" s="71">
        <f t="shared" si="6"/>
        <v>1.0444526783018977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scale="2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64"/>
  <sheetViews>
    <sheetView topLeftCell="A8" workbookViewId="0">
      <selection activeCell="D9" sqref="D9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60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61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50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4179.5363977575344</v>
      </c>
      <c r="D22" s="9">
        <v>1639.3022846399999</v>
      </c>
      <c r="E22" s="9">
        <v>1166.26228464</v>
      </c>
      <c r="G22" s="16">
        <v>207.52630428246823</v>
      </c>
      <c r="H22" s="9">
        <f>MAX(0,$B22+(I$7-8327))</f>
        <v>2549.6575308641973</v>
      </c>
      <c r="I22" s="9">
        <f t="shared" ref="I22:K26" si="0">C22</f>
        <v>4179.5363977575344</v>
      </c>
      <c r="J22" s="9">
        <f t="shared" si="0"/>
        <v>1639.3022846399999</v>
      </c>
      <c r="K22" s="9">
        <f t="shared" si="0"/>
        <v>1166.26228464</v>
      </c>
      <c r="L22" s="28">
        <f>I22/J22</f>
        <v>2.549582488183614</v>
      </c>
      <c r="N22" s="15" t="s">
        <v>0</v>
      </c>
      <c r="O22" s="58">
        <f>J3</f>
        <v>21.83</v>
      </c>
      <c r="P22" s="58">
        <f>ROUND(O22*(1+L$22),2)</f>
        <v>77.489999999999995</v>
      </c>
      <c r="Q22" s="59">
        <f>ROUND(O22*(1+L$27),2)</f>
        <v>41.67</v>
      </c>
    </row>
    <row r="23" spans="1:17" x14ac:dyDescent="0.2">
      <c r="A23" s="103">
        <v>2</v>
      </c>
      <c r="B23" s="105">
        <v>2287.3465062331256</v>
      </c>
      <c r="C23" s="9">
        <v>1838.9637737880785</v>
      </c>
      <c r="D23" s="9">
        <v>1648.4813630400001</v>
      </c>
      <c r="E23" s="9">
        <v>1175.4413630399999</v>
      </c>
      <c r="G23" s="16">
        <v>112.1167129644154</v>
      </c>
      <c r="H23" s="9">
        <f>MAX(0,$B23+(I$7-8327))</f>
        <v>2287.3465062331256</v>
      </c>
      <c r="I23" s="9">
        <f t="shared" si="0"/>
        <v>1838.9637737880785</v>
      </c>
      <c r="J23" s="9">
        <f t="shared" si="0"/>
        <v>1648.4813630400001</v>
      </c>
      <c r="K23" s="9">
        <f t="shared" si="0"/>
        <v>1175.4413630399999</v>
      </c>
      <c r="L23" s="26">
        <f>I23/J23</f>
        <v>1.1155502361256942</v>
      </c>
      <c r="N23" s="15" t="s">
        <v>1</v>
      </c>
      <c r="O23" s="58">
        <f>J4</f>
        <v>23</v>
      </c>
      <c r="P23" s="58">
        <f>ROUND(O23*(1+L$22),2)</f>
        <v>81.64</v>
      </c>
      <c r="Q23" s="59">
        <f>ROUND(O23*(1+L$27),2)</f>
        <v>43.9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68.36</v>
      </c>
      <c r="Q24" s="59">
        <f>ROUND(O24*(1+L$27),2)</f>
        <v>36.76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95.84</v>
      </c>
      <c r="Q25" s="62">
        <f>ROUND(O25*(1+L$27),2)</f>
        <v>51.54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1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1496.9095439752296</v>
      </c>
      <c r="D27" s="66">
        <f>AVERAGE(D22:D26)</f>
        <v>1657.8899184000002</v>
      </c>
      <c r="E27" s="67">
        <f>AVERAGE(E22:E26)</f>
        <v>1184.8499183999998</v>
      </c>
      <c r="G27" s="89">
        <f t="shared" ref="G27:L27" si="1">AVERAGE(G22:G26)</f>
        <v>91.770184998608514</v>
      </c>
      <c r="H27" s="70">
        <f t="shared" si="1"/>
        <v>2229.5298705287678</v>
      </c>
      <c r="I27" s="68">
        <f t="shared" si="1"/>
        <v>1496.9095439752296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0.90885441146432289</v>
      </c>
    </row>
    <row r="28" spans="1:17" x14ac:dyDescent="0.2">
      <c r="A28" s="54"/>
      <c r="B28" s="80"/>
      <c r="C28" s="53"/>
      <c r="D28" s="53"/>
      <c r="E28" s="53"/>
      <c r="G28" s="80"/>
      <c r="H28" s="81"/>
      <c r="I28" s="80"/>
      <c r="J28" s="80"/>
      <c r="K28" s="80"/>
      <c r="L28" s="82"/>
    </row>
    <row r="29" spans="1:17" x14ac:dyDescent="0.2">
      <c r="B29" s="49" t="s">
        <v>38</v>
      </c>
    </row>
    <row r="30" spans="1:17" x14ac:dyDescent="0.2">
      <c r="B30" s="49" t="s">
        <v>49</v>
      </c>
      <c r="F30" s="20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1006</v>
      </c>
      <c r="C34" s="9">
        <v>1626</v>
      </c>
      <c r="D34" s="9">
        <v>1348.9</v>
      </c>
      <c r="E34" s="9">
        <v>875.9</v>
      </c>
      <c r="G34" s="16">
        <v>207.52630428246823</v>
      </c>
      <c r="H34" s="9">
        <f>MAX(0,$B34+(I$7-8327))</f>
        <v>1006</v>
      </c>
      <c r="I34" s="9">
        <f t="shared" ref="I34:K38" si="2">C34</f>
        <v>1626</v>
      </c>
      <c r="J34" s="9">
        <f t="shared" si="2"/>
        <v>1348.9</v>
      </c>
      <c r="K34" s="9">
        <f t="shared" si="2"/>
        <v>875.9</v>
      </c>
      <c r="L34" s="28">
        <f>I34/J34</f>
        <v>1.2054266439320926</v>
      </c>
      <c r="N34" s="15" t="s">
        <v>0</v>
      </c>
      <c r="O34" s="58">
        <f>J3</f>
        <v>21.83</v>
      </c>
      <c r="P34" s="58">
        <f>ROUND(O34*(1+L$34),2)</f>
        <v>48.14</v>
      </c>
      <c r="Q34" s="59">
        <f>ROUND(O34*(1+L$39),2)</f>
        <v>30.18</v>
      </c>
    </row>
    <row r="35" spans="1:17" x14ac:dyDescent="0.2">
      <c r="A35" s="103">
        <v>2</v>
      </c>
      <c r="B35" s="9">
        <v>744</v>
      </c>
      <c r="C35" s="9">
        <v>585</v>
      </c>
      <c r="D35" s="9">
        <v>1358.1</v>
      </c>
      <c r="E35" s="9">
        <v>885</v>
      </c>
      <c r="G35" s="16">
        <v>112.1167129644154</v>
      </c>
      <c r="H35" s="9">
        <f>MAX(0,$B35+(I$7-8327))</f>
        <v>744</v>
      </c>
      <c r="I35" s="9">
        <f t="shared" si="2"/>
        <v>585</v>
      </c>
      <c r="J35" s="9">
        <f t="shared" si="2"/>
        <v>1358.1</v>
      </c>
      <c r="K35" s="9">
        <f t="shared" si="2"/>
        <v>885</v>
      </c>
      <c r="L35" s="26">
        <f>I35/J35</f>
        <v>0.43074884029158383</v>
      </c>
      <c r="N35" s="15" t="s">
        <v>1</v>
      </c>
      <c r="O35" s="58">
        <f>J4</f>
        <v>23</v>
      </c>
      <c r="P35" s="58">
        <f>ROUND(O35*(1+L$34),2)</f>
        <v>50.72</v>
      </c>
      <c r="Q35" s="59">
        <f>ROUND(O35*(1+L$39),2)</f>
        <v>31.8</v>
      </c>
    </row>
    <row r="36" spans="1:17" x14ac:dyDescent="0.2">
      <c r="A36" s="103">
        <v>3</v>
      </c>
      <c r="B36" s="9">
        <v>616</v>
      </c>
      <c r="C36" s="9">
        <v>129</v>
      </c>
      <c r="D36" s="9">
        <v>1365.9</v>
      </c>
      <c r="E36" s="9">
        <v>892.9</v>
      </c>
      <c r="G36" s="16">
        <v>44.317271549854695</v>
      </c>
      <c r="H36" s="9">
        <f>MAX(0,$B36+(I$7-8327))</f>
        <v>616</v>
      </c>
      <c r="I36" s="9">
        <f t="shared" si="2"/>
        <v>129</v>
      </c>
      <c r="J36" s="9">
        <f t="shared" si="2"/>
        <v>1365.9</v>
      </c>
      <c r="K36" s="9">
        <f t="shared" si="2"/>
        <v>892.9</v>
      </c>
      <c r="L36" s="26">
        <f>I36/J36</f>
        <v>9.444322424774873E-2</v>
      </c>
      <c r="N36" s="15" t="s">
        <v>2</v>
      </c>
      <c r="O36" s="58">
        <f>J5</f>
        <v>19.260000000000002</v>
      </c>
      <c r="P36" s="58">
        <f>ROUND(O36*(1+L$34),2)</f>
        <v>42.48</v>
      </c>
      <c r="Q36" s="59">
        <f>ROUND(O36*(1+L$39),2)</f>
        <v>26.63</v>
      </c>
    </row>
    <row r="37" spans="1:17" x14ac:dyDescent="0.2">
      <c r="A37" s="103">
        <v>4</v>
      </c>
      <c r="B37" s="9">
        <v>458</v>
      </c>
      <c r="C37" s="9">
        <v>105</v>
      </c>
      <c r="D37" s="9">
        <v>1377.4</v>
      </c>
      <c r="E37" s="9">
        <v>904.4</v>
      </c>
      <c r="G37" s="16">
        <v>47.253332074197957</v>
      </c>
      <c r="H37" s="9">
        <f>MAX(0,$B37+(I$7-8327))</f>
        <v>458</v>
      </c>
      <c r="I37" s="9">
        <f t="shared" si="2"/>
        <v>105</v>
      </c>
      <c r="J37" s="9">
        <f t="shared" si="2"/>
        <v>1377.4</v>
      </c>
      <c r="K37" s="9">
        <f t="shared" si="2"/>
        <v>904.4</v>
      </c>
      <c r="L37" s="26">
        <f>I37/J37</f>
        <v>7.6230579352403072E-2</v>
      </c>
      <c r="N37" s="60" t="s">
        <v>3</v>
      </c>
      <c r="O37" s="61">
        <f>J6</f>
        <v>27</v>
      </c>
      <c r="P37" s="61">
        <f>ROUND(O37*(1+L$34),2)</f>
        <v>59.55</v>
      </c>
      <c r="Q37" s="62">
        <f>ROUND(O37*(1+L$39),2)</f>
        <v>37.33</v>
      </c>
    </row>
    <row r="38" spans="1:17" x14ac:dyDescent="0.2">
      <c r="A38" s="104">
        <v>5</v>
      </c>
      <c r="B38" s="10">
        <v>609</v>
      </c>
      <c r="C38" s="10">
        <v>146</v>
      </c>
      <c r="D38" s="10">
        <v>1387.2</v>
      </c>
      <c r="E38" s="10">
        <v>914.1</v>
      </c>
      <c r="G38" s="17">
        <v>47.637304122106308</v>
      </c>
      <c r="H38" s="11">
        <f>MAX(0,$B38+(I$7-8327))</f>
        <v>609</v>
      </c>
      <c r="I38" s="11">
        <f t="shared" si="2"/>
        <v>146</v>
      </c>
      <c r="J38" s="11">
        <f t="shared" si="2"/>
        <v>1387.2</v>
      </c>
      <c r="K38" s="10">
        <f t="shared" si="2"/>
        <v>914.1</v>
      </c>
      <c r="L38" s="27">
        <f>I38/J38</f>
        <v>0.10524798154555939</v>
      </c>
    </row>
    <row r="39" spans="1:17" x14ac:dyDescent="0.2">
      <c r="A39" s="65" t="s">
        <v>45</v>
      </c>
      <c r="B39" s="66">
        <f>AVERAGE(B34:B38)</f>
        <v>686.6</v>
      </c>
      <c r="C39" s="66">
        <f>AVERAGE(C34:C38)</f>
        <v>518.20000000000005</v>
      </c>
      <c r="D39" s="66">
        <f>AVERAGE(D34:D38)</f>
        <v>1367.5</v>
      </c>
      <c r="E39" s="67">
        <f>AVERAGE(E34:E38)</f>
        <v>894.46</v>
      </c>
      <c r="G39" s="69">
        <f t="shared" ref="G39:L39" si="3">AVERAGE(G34:G38)</f>
        <v>91.770184998608514</v>
      </c>
      <c r="H39" s="70">
        <f t="shared" si="3"/>
        <v>686.6</v>
      </c>
      <c r="I39" s="68">
        <f t="shared" si="3"/>
        <v>518.20000000000005</v>
      </c>
      <c r="J39" s="68">
        <f t="shared" si="3"/>
        <v>1367.5</v>
      </c>
      <c r="K39" s="68">
        <f t="shared" si="3"/>
        <v>894.46</v>
      </c>
      <c r="L39" s="71">
        <f t="shared" si="3"/>
        <v>0.38241945387387749</v>
      </c>
    </row>
    <row r="41" spans="1:17" x14ac:dyDescent="0.2">
      <c r="B41" s="49" t="s">
        <v>65</v>
      </c>
    </row>
    <row r="42" spans="1:17" x14ac:dyDescent="0.2">
      <c r="B42" s="49" t="s">
        <v>50</v>
      </c>
    </row>
    <row r="43" spans="1:17" x14ac:dyDescent="0.2">
      <c r="B43" s="49" t="s">
        <v>67</v>
      </c>
    </row>
    <row r="44" spans="1:17" ht="42" customHeight="1" x14ac:dyDescent="0.2">
      <c r="B44" s="52"/>
      <c r="C44" s="90" t="s">
        <v>66</v>
      </c>
      <c r="D44" s="98" t="s">
        <v>70</v>
      </c>
      <c r="E44" s="97" t="s">
        <v>71</v>
      </c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</row>
    <row r="46" spans="1:17" x14ac:dyDescent="0.2">
      <c r="B46" s="92" t="s">
        <v>1</v>
      </c>
      <c r="C46" s="93">
        <v>1486</v>
      </c>
      <c r="D46" s="94">
        <f>(AVERAGE(G22:G26)*496+990*20.68)/C46</f>
        <v>44.408621641527475</v>
      </c>
      <c r="E46" s="35">
        <f>C46*D46*8760/1000000</f>
        <v>578.08301501155404</v>
      </c>
      <c r="F46" s="99" t="s">
        <v>73</v>
      </c>
      <c r="G46" t="str">
        <f>"DSI LB CRAC Rate of $"&amp;TEXT(D46,"00.00")&amp;"/MWh = (496 aMW x $"&amp;TEXT(G64,"00.0")&amp;" + 990 aMW x $20.68)/1486 aMW"</f>
        <v>DSI LB CRAC Rate of $44.41/MWh = (496 aMW x $91.8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1954.3581178115539</v>
      </c>
    </row>
    <row r="50" spans="1:17" x14ac:dyDescent="0.2">
      <c r="B50" s="1"/>
      <c r="C50" s="3"/>
      <c r="D50" s="4" t="s">
        <v>5</v>
      </c>
      <c r="E50" s="5">
        <f>E49</f>
        <v>1954.3581178115539</v>
      </c>
    </row>
    <row r="51" spans="1:17" x14ac:dyDescent="0.2">
      <c r="D51" s="4" t="s">
        <v>6</v>
      </c>
      <c r="E51" s="5">
        <f>SUM(E45:E47)</f>
        <v>1481.318117811554</v>
      </c>
      <c r="F51" s="99" t="s">
        <v>73</v>
      </c>
      <c r="G51" t="s">
        <v>72</v>
      </c>
    </row>
    <row r="52" spans="1:17" x14ac:dyDescent="0.2">
      <c r="D52" t="s">
        <v>23</v>
      </c>
      <c r="E52" s="29">
        <f>E51/E50</f>
        <v>0.75795633579699329</v>
      </c>
    </row>
    <row r="53" spans="1:17" x14ac:dyDescent="0.2">
      <c r="C53" t="s">
        <v>7</v>
      </c>
      <c r="E53" s="19">
        <f>E49/C49/0.00876</f>
        <v>26.7923912284508</v>
      </c>
    </row>
    <row r="54" spans="1:17" x14ac:dyDescent="0.2">
      <c r="B54" s="49"/>
    </row>
    <row r="55" spans="1:17" x14ac:dyDescent="0.2">
      <c r="B55" s="49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4179.5363977575344</v>
      </c>
      <c r="D59" s="9">
        <f>E50</f>
        <v>1954.3581178115539</v>
      </c>
      <c r="E59" s="9">
        <f>E51</f>
        <v>1481.318117811554</v>
      </c>
      <c r="G59" s="16">
        <v>207.52630428246823</v>
      </c>
      <c r="H59" s="9">
        <f>MAX(0,$B59+(I$7-8327))</f>
        <v>2549.6575308641973</v>
      </c>
      <c r="I59" s="9">
        <f>C59</f>
        <v>4179.5363977575344</v>
      </c>
      <c r="J59" s="9">
        <f>E50</f>
        <v>1954.3581178115539</v>
      </c>
      <c r="K59" s="9">
        <f>E51</f>
        <v>1481.318117811554</v>
      </c>
      <c r="L59" s="28">
        <f>I59/J59</f>
        <v>2.138572434430638</v>
      </c>
      <c r="N59" s="15" t="s">
        <v>0</v>
      </c>
      <c r="O59" s="58">
        <f>J3</f>
        <v>21.83</v>
      </c>
      <c r="P59" s="58">
        <f>ROUND(O59*(1+L$59),2)</f>
        <v>68.52</v>
      </c>
      <c r="Q59" s="59">
        <f>ROUND(O59*(1+L$64),2)</f>
        <v>38.549999999999997</v>
      </c>
    </row>
    <row r="60" spans="1:17" x14ac:dyDescent="0.2">
      <c r="A60" s="103">
        <v>2</v>
      </c>
      <c r="B60" s="9">
        <v>2287.3465062331256</v>
      </c>
      <c r="C60" s="9">
        <v>1838.9637737880785</v>
      </c>
      <c r="D60" s="9">
        <f t="shared" ref="D60:E63" si="4">D59</f>
        <v>1954.3581178115539</v>
      </c>
      <c r="E60" s="9">
        <f t="shared" si="4"/>
        <v>1481.318117811554</v>
      </c>
      <c r="G60" s="16">
        <v>112.1167129644154</v>
      </c>
      <c r="H60" s="9">
        <f>MAX(0,$B60+(I$7-8327))</f>
        <v>2287.3465062331256</v>
      </c>
      <c r="I60" s="9">
        <f>C60</f>
        <v>1838.9637737880785</v>
      </c>
      <c r="J60" s="9">
        <f t="shared" ref="J60:K63" si="5">J59</f>
        <v>1954.3581178115539</v>
      </c>
      <c r="K60" s="9">
        <f t="shared" si="5"/>
        <v>1481.318117811554</v>
      </c>
      <c r="L60" s="26">
        <f>I60/J60</f>
        <v>0.94095537405770269</v>
      </c>
      <c r="N60" s="15" t="s">
        <v>1</v>
      </c>
      <c r="O60" s="58">
        <f>D46</f>
        <v>44.408621641527475</v>
      </c>
      <c r="P60" s="58">
        <f>ROUND(O60*(1+L$59),2)</f>
        <v>139.38</v>
      </c>
      <c r="Q60" s="59">
        <f>ROUND(O60*(1+L$64),2)</f>
        <v>78.42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1954.3581178115539</v>
      </c>
      <c r="E61" s="9">
        <f t="shared" si="4"/>
        <v>1481.318117811554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1954.3581178115539</v>
      </c>
      <c r="K61" s="9">
        <f t="shared" si="5"/>
        <v>1481.318117811554</v>
      </c>
      <c r="L61" s="26">
        <f>I61/J61</f>
        <v>0.23608890971508992</v>
      </c>
      <c r="N61" s="15" t="s">
        <v>2</v>
      </c>
      <c r="O61" s="58">
        <f>J5</f>
        <v>19.260000000000002</v>
      </c>
      <c r="P61" s="58">
        <f>ROUND(O61*(1+L$59),2)</f>
        <v>60.45</v>
      </c>
      <c r="Q61" s="59">
        <f>ROUND(O61*(1+L$64),2)</f>
        <v>34.01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1954.3581178115539</v>
      </c>
      <c r="E62" s="9">
        <f t="shared" si="4"/>
        <v>1481.318117811554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1954.3581178115539</v>
      </c>
      <c r="K62" s="9">
        <f t="shared" si="5"/>
        <v>1481.318117811554</v>
      </c>
      <c r="L62" s="26">
        <f>I62/J62</f>
        <v>0.24834086293864929</v>
      </c>
      <c r="N62" s="60" t="s">
        <v>3</v>
      </c>
      <c r="O62" s="61">
        <f>J6</f>
        <v>27</v>
      </c>
      <c r="P62" s="61">
        <f>ROUND(O62*(1+L$59),2)</f>
        <v>84.74</v>
      </c>
      <c r="Q62" s="62">
        <f>ROUND(O62*(1+L$64),2)</f>
        <v>47.68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1954.3581178115539</v>
      </c>
      <c r="E63" s="10">
        <f t="shared" si="4"/>
        <v>1481.318117811554</v>
      </c>
      <c r="G63" s="17">
        <v>47.637304122106308</v>
      </c>
      <c r="H63" s="11">
        <f>MAX(0,$B63+(I$7-8327))</f>
        <v>2149.7580034459493</v>
      </c>
      <c r="I63" s="11">
        <f>C63</f>
        <v>519.29828963509351</v>
      </c>
      <c r="J63" s="9">
        <f t="shared" si="5"/>
        <v>1954.3581178115539</v>
      </c>
      <c r="K63" s="9">
        <f t="shared" si="5"/>
        <v>1481.318117811554</v>
      </c>
      <c r="L63" s="27">
        <f>I63/J63</f>
        <v>0.26571296473370604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1496.9095439752296</v>
      </c>
      <c r="D64" s="66">
        <f>AVERAGE(D59:D63)</f>
        <v>1954.3581178115539</v>
      </c>
      <c r="E64" s="67">
        <f>AVERAGE(E59:E63)</f>
        <v>1481.318117811554</v>
      </c>
      <c r="G64" s="89">
        <f t="shared" ref="G64:L64" si="6">AVERAGE(G59:G63)</f>
        <v>91.770184998608514</v>
      </c>
      <c r="H64" s="70">
        <f t="shared" si="6"/>
        <v>2229.5298705287678</v>
      </c>
      <c r="I64" s="68">
        <f t="shared" si="6"/>
        <v>1496.9095439752296</v>
      </c>
      <c r="J64" s="68">
        <f t="shared" si="6"/>
        <v>1954.3581178115539</v>
      </c>
      <c r="K64" s="68">
        <f t="shared" si="6"/>
        <v>1481.318117811554</v>
      </c>
      <c r="L64" s="71">
        <f t="shared" si="6"/>
        <v>0.76593410917515725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64"/>
  <sheetViews>
    <sheetView topLeftCell="A2" workbookViewId="0">
      <selection activeCell="C4" sqref="C4"/>
    </sheetView>
  </sheetViews>
  <sheetFormatPr defaultRowHeight="12.75" x14ac:dyDescent="0.2"/>
  <cols>
    <col min="5" max="5" width="9.7109375" bestFit="1" customWidth="1"/>
    <col min="15" max="15" width="11.85546875" customWidth="1"/>
  </cols>
  <sheetData>
    <row r="2" spans="1:17" x14ac:dyDescent="0.2">
      <c r="B2" s="12"/>
      <c r="C2" s="12"/>
      <c r="D2" s="12"/>
      <c r="E2" s="12"/>
      <c r="F2" s="12"/>
      <c r="H2" s="111" t="s">
        <v>8</v>
      </c>
      <c r="I2" s="111"/>
      <c r="J2" s="111"/>
      <c r="K2" s="111"/>
      <c r="L2" s="22"/>
      <c r="M2" s="22"/>
      <c r="N2" s="22"/>
      <c r="O2" s="22"/>
      <c r="P2" s="22"/>
      <c r="Q2" s="22"/>
    </row>
    <row r="3" spans="1:17" x14ac:dyDescent="0.2">
      <c r="B3" s="5"/>
      <c r="C3" s="5"/>
      <c r="D3" s="5"/>
      <c r="E3" s="5"/>
      <c r="F3" s="5"/>
      <c r="H3" s="1" t="s">
        <v>0</v>
      </c>
      <c r="I3">
        <f>4343+1611-46-67-2000</f>
        <v>3841</v>
      </c>
      <c r="J3">
        <v>21.83</v>
      </c>
      <c r="K3" s="5">
        <f>I3*J3*8760/1000000</f>
        <v>734.51750279999999</v>
      </c>
      <c r="L3" s="5"/>
      <c r="M3" s="5"/>
      <c r="N3" s="5"/>
      <c r="O3" s="5"/>
      <c r="P3" s="5"/>
      <c r="Q3" s="5"/>
    </row>
    <row r="4" spans="1:17" x14ac:dyDescent="0.2">
      <c r="B4" s="5"/>
      <c r="C4" s="5"/>
      <c r="D4" s="5"/>
      <c r="E4" s="19"/>
      <c r="F4" s="5"/>
      <c r="H4" s="1" t="s">
        <v>1</v>
      </c>
      <c r="I4" s="2">
        <v>1486</v>
      </c>
      <c r="J4">
        <v>23</v>
      </c>
      <c r="K4" s="5">
        <f>I4*J4*8760/1000000</f>
        <v>299.39927999999998</v>
      </c>
      <c r="L4" s="5"/>
      <c r="M4" s="5"/>
      <c r="N4" s="5"/>
      <c r="O4" s="5"/>
      <c r="P4" s="5"/>
      <c r="Q4" s="5"/>
    </row>
    <row r="5" spans="1:17" x14ac:dyDescent="0.2">
      <c r="B5" s="5"/>
      <c r="C5" s="5"/>
      <c r="D5" s="5"/>
      <c r="E5" s="5"/>
      <c r="F5" s="5"/>
      <c r="H5" s="1" t="s">
        <v>2</v>
      </c>
      <c r="I5">
        <v>1000</v>
      </c>
      <c r="J5">
        <v>19.260000000000002</v>
      </c>
      <c r="K5" s="5">
        <f>I5*J5*8760/1000000</f>
        <v>168.7176</v>
      </c>
      <c r="L5" s="5"/>
      <c r="M5" s="5"/>
      <c r="N5" s="5"/>
      <c r="O5" s="5"/>
      <c r="P5" s="5"/>
      <c r="Q5" s="5"/>
    </row>
    <row r="6" spans="1:17" x14ac:dyDescent="0.2">
      <c r="B6" s="5"/>
      <c r="C6" s="5"/>
      <c r="D6" s="5"/>
      <c r="E6" s="5"/>
      <c r="F6" s="5"/>
      <c r="H6" s="1" t="s">
        <v>3</v>
      </c>
      <c r="I6">
        <v>2000</v>
      </c>
      <c r="J6">
        <v>27</v>
      </c>
      <c r="K6" s="5">
        <f>I6*J6*8760/1000000</f>
        <v>473.04</v>
      </c>
      <c r="L6" s="5"/>
      <c r="M6" s="5"/>
      <c r="N6" s="5"/>
      <c r="O6" s="5"/>
      <c r="P6" s="5"/>
      <c r="Q6" s="5"/>
    </row>
    <row r="7" spans="1:17" x14ac:dyDescent="0.2">
      <c r="B7" s="5"/>
      <c r="C7" s="5"/>
      <c r="D7" s="5"/>
      <c r="E7" s="18"/>
      <c r="F7" s="5"/>
      <c r="H7" s="1" t="s">
        <v>4</v>
      </c>
      <c r="I7">
        <f>SUM(I3:I6)</f>
        <v>8327</v>
      </c>
      <c r="K7" s="5">
        <f>SUM(K3:K6)</f>
        <v>1675.6743827999999</v>
      </c>
      <c r="L7" s="5"/>
      <c r="M7" s="5"/>
      <c r="N7" s="5"/>
      <c r="O7" s="5"/>
      <c r="P7" s="5"/>
      <c r="Q7" s="5"/>
    </row>
    <row r="8" spans="1:17" x14ac:dyDescent="0.2">
      <c r="B8" s="5"/>
      <c r="C8" s="5"/>
      <c r="D8" s="5"/>
      <c r="E8" s="5"/>
      <c r="F8" s="5"/>
      <c r="H8" s="1"/>
      <c r="I8" s="3"/>
      <c r="J8" s="4" t="s">
        <v>5</v>
      </c>
      <c r="K8" s="5">
        <f>K7</f>
        <v>1675.6743827999999</v>
      </c>
      <c r="L8" s="5"/>
      <c r="M8" s="5"/>
      <c r="N8" s="5"/>
      <c r="O8" s="5"/>
      <c r="P8" s="5"/>
      <c r="Q8" s="5"/>
    </row>
    <row r="9" spans="1:17" x14ac:dyDescent="0.2">
      <c r="B9" s="5"/>
      <c r="C9" s="5"/>
      <c r="D9" s="5"/>
      <c r="E9" s="5"/>
      <c r="F9" s="5"/>
      <c r="J9" s="4" t="s">
        <v>6</v>
      </c>
      <c r="K9" s="5">
        <f>SUM(K3:K5)</f>
        <v>1202.6343827999999</v>
      </c>
      <c r="L9" s="5"/>
      <c r="M9" s="5"/>
      <c r="N9" s="5"/>
      <c r="O9" s="5"/>
      <c r="P9" s="5"/>
      <c r="Q9" s="5"/>
    </row>
    <row r="10" spans="1:17" x14ac:dyDescent="0.2">
      <c r="B10" s="5"/>
      <c r="I10" t="s">
        <v>23</v>
      </c>
      <c r="K10" s="29">
        <f>K9/K8</f>
        <v>0.71770171767526525</v>
      </c>
    </row>
    <row r="11" spans="1:17" x14ac:dyDescent="0.2">
      <c r="B11" s="5"/>
      <c r="C11" s="6"/>
      <c r="D11" s="5"/>
      <c r="E11" s="6"/>
      <c r="F11" s="6"/>
      <c r="I11" t="s">
        <v>7</v>
      </c>
      <c r="K11" s="6">
        <f>K7/I7/0.876</f>
        <v>0.22971902245706735</v>
      </c>
      <c r="L11" s="6"/>
      <c r="M11" s="6"/>
      <c r="N11" s="6"/>
      <c r="O11" s="6"/>
      <c r="P11" s="6"/>
      <c r="Q11" s="6"/>
    </row>
    <row r="12" spans="1:17" x14ac:dyDescent="0.2">
      <c r="B12" s="5"/>
    </row>
    <row r="13" spans="1:17" ht="20.25" x14ac:dyDescent="0.3">
      <c r="A13" s="112" t="s">
        <v>55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</row>
    <row r="14" spans="1:17" ht="20.25" x14ac:dyDescent="0.3">
      <c r="A14" s="112" t="s">
        <v>59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</row>
    <row r="15" spans="1:17" ht="20.25" x14ac:dyDescent="0.3">
      <c r="A15" s="8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5"/>
    </row>
    <row r="17" spans="1:17" x14ac:dyDescent="0.2">
      <c r="B17" s="63" t="s">
        <v>39</v>
      </c>
    </row>
    <row r="18" spans="1:17" x14ac:dyDescent="0.2">
      <c r="B18" s="49" t="s">
        <v>53</v>
      </c>
      <c r="G18" s="21"/>
    </row>
    <row r="19" spans="1:17" x14ac:dyDescent="0.2">
      <c r="A19" s="24"/>
      <c r="B19" s="24" t="s">
        <v>9</v>
      </c>
      <c r="C19" s="7" t="s">
        <v>10</v>
      </c>
      <c r="D19" s="7" t="s">
        <v>11</v>
      </c>
      <c r="E19" s="7" t="s">
        <v>12</v>
      </c>
      <c r="G19" s="13" t="s">
        <v>16</v>
      </c>
      <c r="H19" s="7" t="s">
        <v>9</v>
      </c>
      <c r="I19" s="7" t="s">
        <v>10</v>
      </c>
      <c r="J19" s="7" t="s">
        <v>11</v>
      </c>
      <c r="K19" s="7" t="s">
        <v>12</v>
      </c>
      <c r="L19" s="24" t="s">
        <v>18</v>
      </c>
      <c r="N19" s="13" t="s">
        <v>42</v>
      </c>
      <c r="O19" s="55" t="s">
        <v>41</v>
      </c>
      <c r="P19" s="113" t="s">
        <v>69</v>
      </c>
      <c r="Q19" s="114"/>
    </row>
    <row r="20" spans="1:17" x14ac:dyDescent="0.2">
      <c r="A20" s="64" t="s">
        <v>44</v>
      </c>
      <c r="B20" s="25" t="s">
        <v>13</v>
      </c>
      <c r="C20" s="8" t="s">
        <v>14</v>
      </c>
      <c r="D20" s="8" t="s">
        <v>15</v>
      </c>
      <c r="E20" s="8" t="s">
        <v>15</v>
      </c>
      <c r="G20" s="14" t="s">
        <v>17</v>
      </c>
      <c r="H20" s="8" t="s">
        <v>13</v>
      </c>
      <c r="I20" s="8" t="s">
        <v>14</v>
      </c>
      <c r="J20" s="8" t="s">
        <v>15</v>
      </c>
      <c r="K20" s="8" t="s">
        <v>15</v>
      </c>
      <c r="L20" s="25" t="s">
        <v>19</v>
      </c>
      <c r="N20" s="14" t="s">
        <v>43</v>
      </c>
      <c r="O20" s="56" t="s">
        <v>68</v>
      </c>
      <c r="P20" s="56" t="s">
        <v>20</v>
      </c>
      <c r="Q20" s="57" t="s">
        <v>21</v>
      </c>
    </row>
    <row r="21" spans="1:17" x14ac:dyDescent="0.2">
      <c r="A21" s="15"/>
      <c r="B21" s="84" t="s">
        <v>58</v>
      </c>
      <c r="C21" s="83" t="s">
        <v>56</v>
      </c>
      <c r="D21" s="83" t="s">
        <v>56</v>
      </c>
      <c r="E21" s="83" t="s">
        <v>56</v>
      </c>
      <c r="F21" s="12"/>
      <c r="G21" s="84" t="s">
        <v>57</v>
      </c>
      <c r="H21" s="83" t="s">
        <v>58</v>
      </c>
      <c r="I21" s="83" t="s">
        <v>56</v>
      </c>
      <c r="J21" s="83" t="s">
        <v>56</v>
      </c>
      <c r="K21" s="83" t="s">
        <v>56</v>
      </c>
      <c r="L21" s="15"/>
      <c r="N21" s="84"/>
      <c r="O21" s="85" t="s">
        <v>57</v>
      </c>
      <c r="P21" s="85" t="s">
        <v>57</v>
      </c>
      <c r="Q21" s="86" t="s">
        <v>57</v>
      </c>
    </row>
    <row r="22" spans="1:17" x14ac:dyDescent="0.2">
      <c r="A22" s="103">
        <v>1</v>
      </c>
      <c r="B22" s="105">
        <v>2549.6575308641973</v>
      </c>
      <c r="C22" s="9">
        <v>2634.5363977575335</v>
      </c>
      <c r="D22" s="9">
        <v>1639.3022846399999</v>
      </c>
      <c r="E22" s="9">
        <v>1166.26228464</v>
      </c>
      <c r="G22" s="16">
        <v>138.35236194758585</v>
      </c>
      <c r="H22" s="9">
        <f>MAX(0,$B22+(I$7-8327))</f>
        <v>2549.6575308641973</v>
      </c>
      <c r="I22" s="9">
        <f t="shared" ref="I22:K26" si="0">C22</f>
        <v>2634.5363977575335</v>
      </c>
      <c r="J22" s="9">
        <f t="shared" si="0"/>
        <v>1639.3022846399999</v>
      </c>
      <c r="K22" s="9">
        <f t="shared" si="0"/>
        <v>1166.26228464</v>
      </c>
      <c r="L22" s="28">
        <f>I22/J22</f>
        <v>1.6071083548426168</v>
      </c>
      <c r="N22" s="15" t="s">
        <v>0</v>
      </c>
      <c r="O22" s="58">
        <f>J3</f>
        <v>21.83</v>
      </c>
      <c r="P22" s="58">
        <f>ROUND(O22*(1+L$22),2)</f>
        <v>56.91</v>
      </c>
      <c r="Q22" s="59">
        <f>ROUND(O22*(1+L$27),2)</f>
        <v>35.58</v>
      </c>
    </row>
    <row r="23" spans="1:17" x14ac:dyDescent="0.2">
      <c r="A23" s="103">
        <v>2</v>
      </c>
      <c r="B23" s="105">
        <v>2287.3465062331256</v>
      </c>
      <c r="C23" s="9">
        <v>1093.5637737880784</v>
      </c>
      <c r="D23" s="9">
        <v>1648.4813630400001</v>
      </c>
      <c r="E23" s="9">
        <v>1175.4413630399999</v>
      </c>
      <c r="G23" s="16">
        <v>74.91582365051589</v>
      </c>
      <c r="H23" s="9">
        <f>MAX(0,$B23+(I$7-8327))</f>
        <v>2287.3465062331256</v>
      </c>
      <c r="I23" s="9">
        <f t="shared" si="0"/>
        <v>1093.5637737880784</v>
      </c>
      <c r="J23" s="9">
        <f t="shared" si="0"/>
        <v>1648.4813630400001</v>
      </c>
      <c r="K23" s="9">
        <f t="shared" si="0"/>
        <v>1175.4413630399999</v>
      </c>
      <c r="L23" s="26">
        <f>I23/J23</f>
        <v>0.66337648596245802</v>
      </c>
      <c r="N23" s="15" t="s">
        <v>1</v>
      </c>
      <c r="O23" s="58">
        <f>J4</f>
        <v>23</v>
      </c>
      <c r="P23" s="58">
        <f>ROUND(O23*(1+L$22),2)</f>
        <v>59.96</v>
      </c>
      <c r="Q23" s="59">
        <f>ROUND(O23*(1+L$27),2)</f>
        <v>37.49</v>
      </c>
    </row>
    <row r="24" spans="1:17" x14ac:dyDescent="0.2">
      <c r="A24" s="103">
        <v>3</v>
      </c>
      <c r="B24" s="105">
        <v>2159.8687517146777</v>
      </c>
      <c r="C24" s="9">
        <v>461.402277226965</v>
      </c>
      <c r="D24" s="9">
        <v>1656.32182584</v>
      </c>
      <c r="E24" s="9">
        <v>1183.28182584</v>
      </c>
      <c r="G24" s="16">
        <v>44.317271549854695</v>
      </c>
      <c r="H24" s="9">
        <f>MAX(0,$B24+(I$7-8327))</f>
        <v>2159.8687517146777</v>
      </c>
      <c r="I24" s="9">
        <f t="shared" si="0"/>
        <v>461.402277226965</v>
      </c>
      <c r="J24" s="9">
        <f t="shared" si="0"/>
        <v>1656.32182584</v>
      </c>
      <c r="K24" s="9">
        <f t="shared" si="0"/>
        <v>1183.28182584</v>
      </c>
      <c r="L24" s="26">
        <f>I24/J24</f>
        <v>0.27857042636805551</v>
      </c>
      <c r="N24" s="15" t="s">
        <v>2</v>
      </c>
      <c r="O24" s="58">
        <f>J5</f>
        <v>19.260000000000002</v>
      </c>
      <c r="P24" s="58">
        <f>ROUND(O24*(1+L$22),2)</f>
        <v>50.21</v>
      </c>
      <c r="Q24" s="59">
        <f>ROUND(O24*(1+L$27),2)</f>
        <v>31.39</v>
      </c>
    </row>
    <row r="25" spans="1:17" x14ac:dyDescent="0.2">
      <c r="A25" s="103">
        <v>4</v>
      </c>
      <c r="B25" s="105">
        <v>2001.018560385889</v>
      </c>
      <c r="C25" s="9">
        <v>485.34698146847575</v>
      </c>
      <c r="D25" s="9">
        <v>1667.7956738400001</v>
      </c>
      <c r="E25" s="9">
        <v>1194.7556738399999</v>
      </c>
      <c r="G25" s="16">
        <v>47.253332074197957</v>
      </c>
      <c r="H25" s="9">
        <f>MAX(0,$B25+(I$7-8327))</f>
        <v>2001.018560385889</v>
      </c>
      <c r="I25" s="9">
        <f t="shared" si="0"/>
        <v>485.34698146847575</v>
      </c>
      <c r="J25" s="9">
        <f t="shared" si="0"/>
        <v>1667.7956738400001</v>
      </c>
      <c r="K25" s="9">
        <f t="shared" si="0"/>
        <v>1194.7556738399999</v>
      </c>
      <c r="L25" s="26">
        <f>I25/J25</f>
        <v>0.291011056738739</v>
      </c>
      <c r="N25" s="60" t="s">
        <v>3</v>
      </c>
      <c r="O25" s="61">
        <f>J6</f>
        <v>27</v>
      </c>
      <c r="P25" s="61">
        <f>ROUND(O25*(1+L$22),2)</f>
        <v>70.39</v>
      </c>
      <c r="Q25" s="62">
        <f>ROUND(O25*(1+L$27),2)</f>
        <v>44.01</v>
      </c>
    </row>
    <row r="26" spans="1:17" x14ac:dyDescent="0.2">
      <c r="A26" s="104">
        <v>5</v>
      </c>
      <c r="B26" s="11">
        <v>2149.7580034459493</v>
      </c>
      <c r="C26" s="10">
        <v>519.29828963509351</v>
      </c>
      <c r="D26" s="10">
        <v>1677.5484446400001</v>
      </c>
      <c r="E26" s="10">
        <v>1204.5084446399999</v>
      </c>
      <c r="G26" s="17">
        <v>47.637304122106308</v>
      </c>
      <c r="H26" s="11">
        <f>MAX(0,$B26+(I$7-8327))</f>
        <v>2149.7580034459493</v>
      </c>
      <c r="I26" s="10">
        <f t="shared" si="0"/>
        <v>519.29828963509351</v>
      </c>
      <c r="J26" s="11">
        <f t="shared" si="0"/>
        <v>1677.5484446400001</v>
      </c>
      <c r="K26" s="10">
        <f t="shared" si="0"/>
        <v>1204.5084446399999</v>
      </c>
      <c r="L26" s="27">
        <f>I26/J26</f>
        <v>0.30955784990551155</v>
      </c>
    </row>
    <row r="27" spans="1:17" x14ac:dyDescent="0.2">
      <c r="A27" s="102" t="s">
        <v>45</v>
      </c>
      <c r="B27" s="66">
        <f>AVERAGE(B22:B26)</f>
        <v>2229.5298705287678</v>
      </c>
      <c r="C27" s="66">
        <f>AVERAGE(C22:C26)</f>
        <v>1038.8295439752292</v>
      </c>
      <c r="D27" s="66">
        <f>AVERAGE(D22:D26)</f>
        <v>1657.8899184000002</v>
      </c>
      <c r="E27" s="67">
        <f>AVERAGE(E22:E26)</f>
        <v>1184.8499183999998</v>
      </c>
      <c r="G27" s="69">
        <f t="shared" ref="G27:L27" si="1">AVERAGE(G22:G26)</f>
        <v>70.495218668852132</v>
      </c>
      <c r="H27" s="70">
        <f t="shared" si="1"/>
        <v>2229.5298705287678</v>
      </c>
      <c r="I27" s="68">
        <f t="shared" si="1"/>
        <v>1038.8295439752292</v>
      </c>
      <c r="J27" s="68">
        <f t="shared" si="1"/>
        <v>1657.8899184000002</v>
      </c>
      <c r="K27" s="68">
        <f t="shared" si="1"/>
        <v>1184.8499183999998</v>
      </c>
      <c r="L27" s="71">
        <f t="shared" si="1"/>
        <v>0.62992483476347627</v>
      </c>
    </row>
    <row r="28" spans="1:17" x14ac:dyDescent="0.2">
      <c r="B28" s="50"/>
      <c r="C28" s="50"/>
      <c r="D28" s="50"/>
      <c r="E28" s="50"/>
      <c r="G28" s="20"/>
      <c r="H28" s="30"/>
      <c r="I28" s="20"/>
      <c r="J28" s="20"/>
      <c r="K28" s="20"/>
      <c r="L28" s="23"/>
    </row>
    <row r="29" spans="1:17" x14ac:dyDescent="0.2">
      <c r="B29" s="49" t="s">
        <v>38</v>
      </c>
    </row>
    <row r="30" spans="1:17" x14ac:dyDescent="0.2">
      <c r="B30" s="49" t="s">
        <v>54</v>
      </c>
      <c r="D30" s="50"/>
    </row>
    <row r="31" spans="1:17" x14ac:dyDescent="0.2">
      <c r="A31" s="24"/>
      <c r="B31" s="24" t="s">
        <v>9</v>
      </c>
      <c r="C31" s="7" t="s">
        <v>10</v>
      </c>
      <c r="D31" s="7" t="s">
        <v>11</v>
      </c>
      <c r="E31" s="7" t="s">
        <v>12</v>
      </c>
      <c r="G31" s="13" t="s">
        <v>16</v>
      </c>
      <c r="H31" s="7" t="s">
        <v>9</v>
      </c>
      <c r="I31" s="7" t="s">
        <v>10</v>
      </c>
      <c r="J31" s="7" t="s">
        <v>11</v>
      </c>
      <c r="K31" s="7" t="s">
        <v>12</v>
      </c>
      <c r="L31" s="24" t="s">
        <v>18</v>
      </c>
      <c r="N31" s="13" t="s">
        <v>42</v>
      </c>
      <c r="O31" s="55" t="s">
        <v>41</v>
      </c>
      <c r="P31" s="113" t="s">
        <v>69</v>
      </c>
      <c r="Q31" s="114"/>
    </row>
    <row r="32" spans="1:17" x14ac:dyDescent="0.2">
      <c r="A32" s="64" t="s">
        <v>44</v>
      </c>
      <c r="B32" s="25" t="s">
        <v>13</v>
      </c>
      <c r="C32" s="8" t="s">
        <v>14</v>
      </c>
      <c r="D32" s="8" t="s">
        <v>15</v>
      </c>
      <c r="E32" s="8" t="s">
        <v>15</v>
      </c>
      <c r="G32" s="14" t="s">
        <v>17</v>
      </c>
      <c r="H32" s="8" t="s">
        <v>13</v>
      </c>
      <c r="I32" s="8" t="s">
        <v>14</v>
      </c>
      <c r="J32" s="8" t="s">
        <v>15</v>
      </c>
      <c r="K32" s="8" t="s">
        <v>15</v>
      </c>
      <c r="L32" s="25" t="s">
        <v>19</v>
      </c>
      <c r="N32" s="14" t="s">
        <v>43</v>
      </c>
      <c r="O32" s="56" t="s">
        <v>68</v>
      </c>
      <c r="P32" s="56" t="s">
        <v>20</v>
      </c>
      <c r="Q32" s="57" t="s">
        <v>21</v>
      </c>
    </row>
    <row r="33" spans="1:17" x14ac:dyDescent="0.2">
      <c r="A33" s="15"/>
      <c r="B33" s="83" t="s">
        <v>58</v>
      </c>
      <c r="C33" s="83" t="s">
        <v>56</v>
      </c>
      <c r="D33" s="83" t="s">
        <v>56</v>
      </c>
      <c r="E33" s="83" t="s">
        <v>56</v>
      </c>
      <c r="F33" s="12"/>
      <c r="G33" s="84" t="s">
        <v>57</v>
      </c>
      <c r="H33" s="83" t="s">
        <v>58</v>
      </c>
      <c r="I33" s="83" t="s">
        <v>56</v>
      </c>
      <c r="J33" s="83" t="s">
        <v>56</v>
      </c>
      <c r="K33" s="83" t="s">
        <v>56</v>
      </c>
      <c r="L33" s="15"/>
      <c r="N33" s="84"/>
      <c r="O33" s="85" t="s">
        <v>57</v>
      </c>
      <c r="P33" s="85" t="s">
        <v>57</v>
      </c>
      <c r="Q33" s="86" t="s">
        <v>57</v>
      </c>
    </row>
    <row r="34" spans="1:17" x14ac:dyDescent="0.2">
      <c r="A34" s="103">
        <v>1</v>
      </c>
      <c r="B34" s="9">
        <v>1014.3637658220908</v>
      </c>
      <c r="C34" s="9">
        <v>1037.1507340286282</v>
      </c>
      <c r="D34" s="9">
        <v>1258.40637696</v>
      </c>
      <c r="E34" s="9">
        <v>1258.40637696</v>
      </c>
      <c r="G34" s="16">
        <v>138.35236194758585</v>
      </c>
      <c r="H34" s="9">
        <f>MAX(0,$B34+(I$7-8327))</f>
        <v>1014.3637658220908</v>
      </c>
      <c r="I34" s="9">
        <f t="shared" ref="I34:K38" si="2">C34</f>
        <v>1037.1507340286282</v>
      </c>
      <c r="J34" s="9">
        <f t="shared" si="2"/>
        <v>1258.40637696</v>
      </c>
      <c r="K34" s="9">
        <f t="shared" si="2"/>
        <v>1258.40637696</v>
      </c>
      <c r="L34" s="28">
        <f>I34/J34</f>
        <v>0.82417790708763661</v>
      </c>
      <c r="N34" s="15" t="s">
        <v>0</v>
      </c>
      <c r="O34" s="58">
        <f>J3</f>
        <v>21.83</v>
      </c>
      <c r="P34" s="58">
        <f>ROUND(O34*(1+L$34),2)</f>
        <v>39.82</v>
      </c>
      <c r="Q34" s="59">
        <f>ROUND(O34*(1+L$39),2)</f>
        <v>28.24</v>
      </c>
    </row>
    <row r="35" spans="1:17" x14ac:dyDescent="0.2">
      <c r="A35" s="103">
        <v>2</v>
      </c>
      <c r="B35" s="9">
        <v>800.73162353755981</v>
      </c>
      <c r="C35" s="9">
        <v>378.41147896464139</v>
      </c>
      <c r="D35" s="9">
        <v>1278.4856109599998</v>
      </c>
      <c r="E35" s="9">
        <v>1278.4856109599998</v>
      </c>
      <c r="G35" s="16">
        <v>74.91582365051589</v>
      </c>
      <c r="H35" s="9">
        <f>MAX(0,$B35+(I$7-8327))</f>
        <v>800.73162353755981</v>
      </c>
      <c r="I35" s="9">
        <f t="shared" si="2"/>
        <v>378.41147896464139</v>
      </c>
      <c r="J35" s="9">
        <f t="shared" si="2"/>
        <v>1278.4856109599998</v>
      </c>
      <c r="K35" s="9">
        <f t="shared" si="2"/>
        <v>1278.4856109599998</v>
      </c>
      <c r="L35" s="26">
        <f>I35/J35</f>
        <v>0.29598415165619008</v>
      </c>
      <c r="N35" s="15" t="s">
        <v>1</v>
      </c>
      <c r="O35" s="58">
        <f>J4</f>
        <v>23</v>
      </c>
      <c r="P35" s="58">
        <f>ROUND(O35*(1+L$34),2)</f>
        <v>41.96</v>
      </c>
      <c r="Q35" s="59">
        <f>ROUND(O35*(1+L$39),2)</f>
        <v>29.76</v>
      </c>
    </row>
    <row r="36" spans="1:17" x14ac:dyDescent="0.2">
      <c r="A36" s="103">
        <v>3</v>
      </c>
      <c r="B36" s="9">
        <v>714.02540557111013</v>
      </c>
      <c r="C36" s="9">
        <v>146.25008138508616</v>
      </c>
      <c r="D36" s="9">
        <v>1297.2262293599999</v>
      </c>
      <c r="E36" s="9">
        <v>1297.2262293599999</v>
      </c>
      <c r="G36" s="16">
        <v>44.317271549854695</v>
      </c>
      <c r="H36" s="9">
        <f>MAX(0,$B36+(I$7-8327))</f>
        <v>714.02540557111013</v>
      </c>
      <c r="I36" s="9">
        <f t="shared" si="2"/>
        <v>146.25008138508616</v>
      </c>
      <c r="J36" s="9">
        <f t="shared" si="2"/>
        <v>1297.2262293599999</v>
      </c>
      <c r="K36" s="9">
        <f t="shared" si="2"/>
        <v>1297.2262293599999</v>
      </c>
      <c r="L36" s="26">
        <f>I36/J36</f>
        <v>0.11274061383822015</v>
      </c>
      <c r="N36" s="15" t="s">
        <v>2</v>
      </c>
      <c r="O36" s="58">
        <f>J5</f>
        <v>19.260000000000002</v>
      </c>
      <c r="P36" s="58">
        <f>ROUND(O36*(1+L$34),2)</f>
        <v>35.130000000000003</v>
      </c>
      <c r="Q36" s="59">
        <f>ROUND(O36*(1+L$39),2)</f>
        <v>24.92</v>
      </c>
    </row>
    <row r="37" spans="1:17" x14ac:dyDescent="0.2">
      <c r="A37" s="103">
        <v>4</v>
      </c>
      <c r="B37" s="9">
        <v>600.34365726685519</v>
      </c>
      <c r="C37" s="9">
        <v>130.87405737906067</v>
      </c>
      <c r="D37" s="9">
        <v>1316.92300176</v>
      </c>
      <c r="E37" s="9">
        <v>1316.92300176</v>
      </c>
      <c r="G37" s="16">
        <v>47.253332074197957</v>
      </c>
      <c r="H37" s="9">
        <f>MAX(0,$B37+(I$7-8327))</f>
        <v>600.34365726685519</v>
      </c>
      <c r="I37" s="9">
        <f t="shared" si="2"/>
        <v>130.87405737906067</v>
      </c>
      <c r="J37" s="9">
        <f t="shared" si="2"/>
        <v>1316.92300176</v>
      </c>
      <c r="K37" s="9">
        <f t="shared" si="2"/>
        <v>1316.92300176</v>
      </c>
      <c r="L37" s="26">
        <f>I37/J37</f>
        <v>9.9378670737889918E-2</v>
      </c>
      <c r="N37" s="60" t="s">
        <v>3</v>
      </c>
      <c r="O37" s="61">
        <f>J6</f>
        <v>27</v>
      </c>
      <c r="P37" s="61">
        <f>ROUND(O37*(1+L$34),2)</f>
        <v>49.25</v>
      </c>
      <c r="Q37" s="62">
        <f>ROUND(O37*(1+L$39),2)</f>
        <v>34.93</v>
      </c>
    </row>
    <row r="38" spans="1:17" x14ac:dyDescent="0.2">
      <c r="A38" s="104">
        <v>5</v>
      </c>
      <c r="B38" s="10">
        <v>773.30639564609555</v>
      </c>
      <c r="C38" s="10">
        <v>181.75856055407723</v>
      </c>
      <c r="D38" s="10">
        <v>1332.0302349599997</v>
      </c>
      <c r="E38" s="10">
        <v>1332.0302349599997</v>
      </c>
      <c r="G38" s="17">
        <v>47.637304122106308</v>
      </c>
      <c r="H38" s="11">
        <f>MAX(0,$B38+(I$7-8327))</f>
        <v>773.30639564609555</v>
      </c>
      <c r="I38" s="10">
        <f t="shared" si="2"/>
        <v>181.75856055407723</v>
      </c>
      <c r="J38" s="11">
        <f t="shared" si="2"/>
        <v>1332.0302349599997</v>
      </c>
      <c r="K38" s="10">
        <f t="shared" si="2"/>
        <v>1332.0302349599997</v>
      </c>
      <c r="L38" s="27">
        <f>I38/J38</f>
        <v>0.13645227847214397</v>
      </c>
    </row>
    <row r="39" spans="1:17" x14ac:dyDescent="0.2">
      <c r="A39" s="65" t="s">
        <v>45</v>
      </c>
      <c r="B39" s="66">
        <f>AVERAGE(B34:B38)</f>
        <v>780.55416956874228</v>
      </c>
      <c r="C39" s="66">
        <f>AVERAGE(C34:C38)</f>
        <v>374.88898246229871</v>
      </c>
      <c r="D39" s="66">
        <f>AVERAGE(D34:D38)</f>
        <v>1296.6142907999999</v>
      </c>
      <c r="E39" s="67">
        <f>AVERAGE(E34:E38)</f>
        <v>1296.6142907999999</v>
      </c>
      <c r="G39" s="69">
        <f t="shared" ref="G39:L39" si="3">AVERAGE(G34:G38)</f>
        <v>70.495218668852132</v>
      </c>
      <c r="H39" s="70">
        <f t="shared" si="3"/>
        <v>780.55416956874228</v>
      </c>
      <c r="I39" s="68">
        <f t="shared" si="3"/>
        <v>374.88898246229871</v>
      </c>
      <c r="J39" s="68">
        <f t="shared" si="3"/>
        <v>1296.6142907999999</v>
      </c>
      <c r="K39" s="68">
        <f t="shared" si="3"/>
        <v>1296.6142907999999</v>
      </c>
      <c r="L39" s="71">
        <f t="shared" si="3"/>
        <v>0.29374672435841614</v>
      </c>
    </row>
    <row r="40" spans="1:17" x14ac:dyDescent="0.2">
      <c r="C40" s="50"/>
      <c r="F40" s="3"/>
    </row>
    <row r="41" spans="1:17" x14ac:dyDescent="0.2">
      <c r="B41" s="49" t="s">
        <v>65</v>
      </c>
      <c r="C41" s="50"/>
      <c r="F41" s="3"/>
    </row>
    <row r="42" spans="1:17" x14ac:dyDescent="0.2">
      <c r="B42" s="49" t="s">
        <v>53</v>
      </c>
      <c r="C42" s="50"/>
      <c r="F42" s="3"/>
    </row>
    <row r="43" spans="1:17" x14ac:dyDescent="0.2">
      <c r="B43" s="49" t="s">
        <v>67</v>
      </c>
      <c r="F43" s="3"/>
    </row>
    <row r="44" spans="1:17" ht="42" customHeight="1" x14ac:dyDescent="0.2">
      <c r="B44" s="52"/>
      <c r="C44" s="90" t="s">
        <v>66</v>
      </c>
      <c r="D44" s="98" t="s">
        <v>70</v>
      </c>
      <c r="E44" s="97" t="s">
        <v>71</v>
      </c>
      <c r="F44" s="3"/>
    </row>
    <row r="45" spans="1:17" x14ac:dyDescent="0.2">
      <c r="B45" s="92" t="s">
        <v>0</v>
      </c>
      <c r="C45" s="53">
        <f>4343+1611-46-67-2000</f>
        <v>3841</v>
      </c>
      <c r="D45" s="53">
        <v>21.83</v>
      </c>
      <c r="E45" s="35">
        <f>C45*D45*8760/1000000</f>
        <v>734.51750279999999</v>
      </c>
      <c r="F45" s="3"/>
    </row>
    <row r="46" spans="1:17" x14ac:dyDescent="0.2">
      <c r="B46" s="92" t="s">
        <v>1</v>
      </c>
      <c r="C46" s="93">
        <v>1486</v>
      </c>
      <c r="D46" s="94">
        <f>(AVERAGE(G22:G26)*496+990*20.68)/C46</f>
        <v>37.307421574529378</v>
      </c>
      <c r="E46" s="35">
        <f>C46*D46*8760/1000000</f>
        <v>485.6441373074158</v>
      </c>
      <c r="F46" s="100" t="s">
        <v>73</v>
      </c>
      <c r="G46" t="str">
        <f>"DSI LB CRAC Rate of $"&amp;TEXT(D46,"00.00")&amp;"/MWh = (496 aMW x $"&amp;TEXT(G64,"00.0")&amp;" + 990 aMW x $20.68)/1486 aMW"</f>
        <v>DSI LB CRAC Rate of $37.31/MWh = (496 aMW x $70.5 + 990 aMW x $20.68)/1486 aMW</v>
      </c>
    </row>
    <row r="47" spans="1:17" x14ac:dyDescent="0.2">
      <c r="B47" s="92" t="s">
        <v>2</v>
      </c>
      <c r="C47" s="53">
        <v>1000</v>
      </c>
      <c r="D47" s="53">
        <v>19.260000000000002</v>
      </c>
      <c r="E47" s="35">
        <f>C47*D47*8760/1000000</f>
        <v>168.7176</v>
      </c>
      <c r="F47" s="3"/>
    </row>
    <row r="48" spans="1:17" x14ac:dyDescent="0.2">
      <c r="B48" s="92" t="s">
        <v>3</v>
      </c>
      <c r="C48" s="53">
        <v>2000</v>
      </c>
      <c r="D48" s="53">
        <v>27</v>
      </c>
      <c r="E48" s="35">
        <f>C48*D48*8760/1000000</f>
        <v>473.04</v>
      </c>
      <c r="F48" s="3"/>
    </row>
    <row r="49" spans="1:17" x14ac:dyDescent="0.2">
      <c r="B49" s="95" t="s">
        <v>4</v>
      </c>
      <c r="C49" s="96">
        <f>SUM(C45:C48)</f>
        <v>8327</v>
      </c>
      <c r="D49" s="96"/>
      <c r="E49" s="37">
        <f>SUM(E45:E48)</f>
        <v>1861.9192401074156</v>
      </c>
      <c r="F49" s="3"/>
    </row>
    <row r="50" spans="1:17" x14ac:dyDescent="0.2">
      <c r="B50" s="1"/>
      <c r="C50" s="3"/>
      <c r="D50" s="4" t="s">
        <v>5</v>
      </c>
      <c r="E50" s="5">
        <f>E49</f>
        <v>1861.9192401074156</v>
      </c>
      <c r="F50" s="3"/>
    </row>
    <row r="51" spans="1:17" x14ac:dyDescent="0.2">
      <c r="D51" s="4" t="s">
        <v>6</v>
      </c>
      <c r="E51" s="5">
        <f>SUM(E45:E47)</f>
        <v>1388.8792401074156</v>
      </c>
      <c r="F51" s="100" t="s">
        <v>73</v>
      </c>
      <c r="G51" t="s">
        <v>72</v>
      </c>
    </row>
    <row r="52" spans="1:17" x14ac:dyDescent="0.2">
      <c r="D52" t="s">
        <v>23</v>
      </c>
      <c r="E52" s="29">
        <f>E51/E50</f>
        <v>0.74593957148608125</v>
      </c>
      <c r="F52" s="3"/>
    </row>
    <row r="53" spans="1:17" x14ac:dyDescent="0.2">
      <c r="C53" t="s">
        <v>7</v>
      </c>
      <c r="E53" s="19">
        <f>E49/C49/0.00876</f>
        <v>25.525142123183695</v>
      </c>
      <c r="F53" s="3"/>
    </row>
    <row r="54" spans="1:17" x14ac:dyDescent="0.2">
      <c r="B54" s="49"/>
      <c r="C54" s="50"/>
      <c r="F54" s="3"/>
    </row>
    <row r="55" spans="1:17" x14ac:dyDescent="0.2">
      <c r="B55" s="49"/>
      <c r="C55" s="50"/>
      <c r="F55" s="3"/>
    </row>
    <row r="56" spans="1:17" x14ac:dyDescent="0.2">
      <c r="A56" s="24"/>
      <c r="B56" s="24" t="s">
        <v>9</v>
      </c>
      <c r="C56" s="7" t="s">
        <v>10</v>
      </c>
      <c r="D56" s="7" t="s">
        <v>11</v>
      </c>
      <c r="E56" s="7" t="s">
        <v>12</v>
      </c>
      <c r="F56" s="3"/>
      <c r="G56" s="13" t="s">
        <v>16</v>
      </c>
      <c r="H56" s="7" t="s">
        <v>9</v>
      </c>
      <c r="I56" s="7" t="s">
        <v>10</v>
      </c>
      <c r="J56" s="7" t="s">
        <v>11</v>
      </c>
      <c r="K56" s="7" t="s">
        <v>12</v>
      </c>
      <c r="L56" s="24" t="s">
        <v>18</v>
      </c>
      <c r="N56" s="13" t="s">
        <v>42</v>
      </c>
      <c r="O56" s="55" t="s">
        <v>41</v>
      </c>
      <c r="P56" s="113" t="s">
        <v>69</v>
      </c>
      <c r="Q56" s="114"/>
    </row>
    <row r="57" spans="1:17" x14ac:dyDescent="0.2">
      <c r="A57" s="64" t="s">
        <v>44</v>
      </c>
      <c r="B57" s="25" t="s">
        <v>13</v>
      </c>
      <c r="C57" s="8" t="s">
        <v>14</v>
      </c>
      <c r="D57" s="8" t="s">
        <v>15</v>
      </c>
      <c r="E57" s="8" t="s">
        <v>15</v>
      </c>
      <c r="F57" s="3"/>
      <c r="G57" s="14" t="s">
        <v>17</v>
      </c>
      <c r="H57" s="8" t="s">
        <v>13</v>
      </c>
      <c r="I57" s="8" t="s">
        <v>14</v>
      </c>
      <c r="J57" s="8" t="s">
        <v>15</v>
      </c>
      <c r="K57" s="8" t="s">
        <v>15</v>
      </c>
      <c r="L57" s="25" t="s">
        <v>19</v>
      </c>
      <c r="N57" s="14" t="s">
        <v>43</v>
      </c>
      <c r="O57" s="56" t="s">
        <v>68</v>
      </c>
      <c r="P57" s="56" t="s">
        <v>20</v>
      </c>
      <c r="Q57" s="57" t="s">
        <v>21</v>
      </c>
    </row>
    <row r="58" spans="1:17" x14ac:dyDescent="0.2">
      <c r="A58" s="15"/>
      <c r="B58" s="83" t="s">
        <v>58</v>
      </c>
      <c r="C58" s="83" t="s">
        <v>56</v>
      </c>
      <c r="D58" s="83" t="s">
        <v>56</v>
      </c>
      <c r="E58" s="83" t="s">
        <v>56</v>
      </c>
      <c r="F58" s="3"/>
      <c r="G58" s="84" t="s">
        <v>57</v>
      </c>
      <c r="H58" s="83" t="s">
        <v>58</v>
      </c>
      <c r="I58" s="83" t="s">
        <v>56</v>
      </c>
      <c r="J58" s="83" t="s">
        <v>56</v>
      </c>
      <c r="K58" s="83" t="s">
        <v>56</v>
      </c>
      <c r="L58" s="15"/>
      <c r="N58" s="84"/>
      <c r="O58" s="85" t="s">
        <v>57</v>
      </c>
      <c r="P58" s="85" t="s">
        <v>57</v>
      </c>
      <c r="Q58" s="86" t="s">
        <v>57</v>
      </c>
    </row>
    <row r="59" spans="1:17" x14ac:dyDescent="0.2">
      <c r="A59" s="103">
        <v>1</v>
      </c>
      <c r="B59" s="9">
        <v>2549.6575308641973</v>
      </c>
      <c r="C59" s="9">
        <v>2634.5363977575335</v>
      </c>
      <c r="D59" s="9">
        <f>E50</f>
        <v>1861.9192401074156</v>
      </c>
      <c r="E59" s="9">
        <f>E51</f>
        <v>1388.8792401074156</v>
      </c>
      <c r="G59" s="16">
        <v>138.35236194758585</v>
      </c>
      <c r="H59" s="9">
        <f>MAX(0,$B59+(I$7-8327))</f>
        <v>2549.6575308641973</v>
      </c>
      <c r="I59" s="9">
        <f>C59</f>
        <v>2634.5363977575335</v>
      </c>
      <c r="J59" s="9">
        <f>E50</f>
        <v>1861.9192401074156</v>
      </c>
      <c r="K59" s="9">
        <f>E51</f>
        <v>1388.8792401074156</v>
      </c>
      <c r="L59" s="28">
        <f>I59/J59</f>
        <v>1.4149573950401548</v>
      </c>
      <c r="N59" s="15" t="s">
        <v>0</v>
      </c>
      <c r="O59" s="58">
        <f>J3</f>
        <v>21.83</v>
      </c>
      <c r="P59" s="58">
        <f>ROUND(O59*(1+L$59),2)</f>
        <v>52.72</v>
      </c>
      <c r="Q59" s="59">
        <f>ROUND(O59*(1+L$64),2)</f>
        <v>34.01</v>
      </c>
    </row>
    <row r="60" spans="1:17" x14ac:dyDescent="0.2">
      <c r="A60" s="103">
        <v>2</v>
      </c>
      <c r="B60" s="9">
        <v>2287.3465062331256</v>
      </c>
      <c r="C60" s="9">
        <v>1093.5637737880784</v>
      </c>
      <c r="D60" s="9">
        <f t="shared" ref="D60:E63" si="4">D59</f>
        <v>1861.9192401074156</v>
      </c>
      <c r="E60" s="9">
        <f t="shared" si="4"/>
        <v>1388.8792401074156</v>
      </c>
      <c r="G60" s="16">
        <v>74.91582365051589</v>
      </c>
      <c r="H60" s="9">
        <f>MAX(0,$B60+(I$7-8327))</f>
        <v>2287.3465062331256</v>
      </c>
      <c r="I60" s="9">
        <f>C60</f>
        <v>1093.5637737880784</v>
      </c>
      <c r="J60" s="9">
        <f t="shared" ref="J60:K63" si="5">J59</f>
        <v>1861.9192401074156</v>
      </c>
      <c r="K60" s="9">
        <f t="shared" si="5"/>
        <v>1388.8792401074156</v>
      </c>
      <c r="L60" s="26">
        <f>I60/J60</f>
        <v>0.58733147508857031</v>
      </c>
      <c r="N60" s="15" t="s">
        <v>1</v>
      </c>
      <c r="O60" s="58">
        <f>D46</f>
        <v>37.307421574529378</v>
      </c>
      <c r="P60" s="58">
        <f>ROUND(O60*(1+L$59),2)</f>
        <v>90.1</v>
      </c>
      <c r="Q60" s="59">
        <f>ROUND(O60*(1+L$64),2)</f>
        <v>58.12</v>
      </c>
    </row>
    <row r="61" spans="1:17" x14ac:dyDescent="0.2">
      <c r="A61" s="103">
        <v>3</v>
      </c>
      <c r="B61" s="9">
        <v>2159.8687517146777</v>
      </c>
      <c r="C61" s="9">
        <v>461.402277226965</v>
      </c>
      <c r="D61" s="9">
        <f t="shared" si="4"/>
        <v>1861.9192401074156</v>
      </c>
      <c r="E61" s="9">
        <f t="shared" si="4"/>
        <v>1388.8792401074156</v>
      </c>
      <c r="G61" s="16">
        <v>44.317271549854695</v>
      </c>
      <c r="H61" s="9">
        <f>MAX(0,$B61+(I$7-8327))</f>
        <v>2159.8687517146777</v>
      </c>
      <c r="I61" s="9">
        <f>C61</f>
        <v>461.402277226965</v>
      </c>
      <c r="J61" s="9">
        <f t="shared" si="5"/>
        <v>1861.9192401074156</v>
      </c>
      <c r="K61" s="9">
        <f t="shared" si="5"/>
        <v>1388.8792401074156</v>
      </c>
      <c r="L61" s="26">
        <f>I61/J61</f>
        <v>0.24781003777604571</v>
      </c>
      <c r="N61" s="15" t="s">
        <v>2</v>
      </c>
      <c r="O61" s="58">
        <f>J5</f>
        <v>19.260000000000002</v>
      </c>
      <c r="P61" s="58">
        <f>ROUND(O61*(1+L$59),2)</f>
        <v>46.51</v>
      </c>
      <c r="Q61" s="59">
        <f>ROUND(O61*(1+L$64),2)</f>
        <v>30.01</v>
      </c>
    </row>
    <row r="62" spans="1:17" x14ac:dyDescent="0.2">
      <c r="A62" s="103">
        <v>4</v>
      </c>
      <c r="B62" s="9">
        <v>2001.018560385889</v>
      </c>
      <c r="C62" s="9">
        <v>485.34698146847575</v>
      </c>
      <c r="D62" s="9">
        <f t="shared" si="4"/>
        <v>1861.9192401074156</v>
      </c>
      <c r="E62" s="9">
        <f t="shared" si="4"/>
        <v>1388.8792401074156</v>
      </c>
      <c r="G62" s="16">
        <v>47.253332074197957</v>
      </c>
      <c r="H62" s="9">
        <f>MAX(0,$B62+(I$7-8327))</f>
        <v>2001.018560385889</v>
      </c>
      <c r="I62" s="9">
        <f>C62</f>
        <v>485.34698146847575</v>
      </c>
      <c r="J62" s="9">
        <f t="shared" si="5"/>
        <v>1861.9192401074156</v>
      </c>
      <c r="K62" s="9">
        <f t="shared" si="5"/>
        <v>1388.8792401074156</v>
      </c>
      <c r="L62" s="26">
        <f>I62/J62</f>
        <v>0.26067026486093764</v>
      </c>
      <c r="N62" s="60" t="s">
        <v>3</v>
      </c>
      <c r="O62" s="61">
        <f>J6</f>
        <v>27</v>
      </c>
      <c r="P62" s="61">
        <f>ROUND(O62*(1+L$59),2)</f>
        <v>65.2</v>
      </c>
      <c r="Q62" s="62">
        <f>ROUND(O62*(1+L$64),2)</f>
        <v>42.06</v>
      </c>
    </row>
    <row r="63" spans="1:17" x14ac:dyDescent="0.2">
      <c r="A63" s="104">
        <v>5</v>
      </c>
      <c r="B63" s="10">
        <v>2149.7580034459493</v>
      </c>
      <c r="C63" s="10">
        <v>519.29828963509351</v>
      </c>
      <c r="D63" s="10">
        <f t="shared" si="4"/>
        <v>1861.9192401074156</v>
      </c>
      <c r="E63" s="10">
        <f t="shared" si="4"/>
        <v>1388.8792401074156</v>
      </c>
      <c r="G63" s="17">
        <v>47.637304122106308</v>
      </c>
      <c r="H63" s="11">
        <f>MAX(0,$B63+(I$7-8327))</f>
        <v>2149.7580034459493</v>
      </c>
      <c r="I63" s="10">
        <f>C63</f>
        <v>519.29828963509351</v>
      </c>
      <c r="J63" s="9">
        <f t="shared" si="5"/>
        <v>1861.9192401074156</v>
      </c>
      <c r="K63" s="9">
        <f t="shared" si="5"/>
        <v>1388.8792401074156</v>
      </c>
      <c r="L63" s="27">
        <f>I63/J63</f>
        <v>0.27890484100971791</v>
      </c>
    </row>
    <row r="64" spans="1:17" x14ac:dyDescent="0.2">
      <c r="A64" s="65" t="s">
        <v>45</v>
      </c>
      <c r="B64" s="66">
        <f>AVERAGE(B59:B63)</f>
        <v>2229.5298705287678</v>
      </c>
      <c r="C64" s="66">
        <f>AVERAGE(C59:C63)</f>
        <v>1038.8295439752292</v>
      </c>
      <c r="D64" s="66">
        <f>AVERAGE(D59:D63)</f>
        <v>1861.9192401074156</v>
      </c>
      <c r="E64" s="67">
        <f>AVERAGE(E59:E63)</f>
        <v>1388.8792401074156</v>
      </c>
      <c r="G64" s="69">
        <f t="shared" ref="G64:L64" si="6">AVERAGE(G59:G63)</f>
        <v>70.495218668852132</v>
      </c>
      <c r="H64" s="70">
        <f t="shared" si="6"/>
        <v>2229.5298705287678</v>
      </c>
      <c r="I64" s="68">
        <f t="shared" si="6"/>
        <v>1038.8295439752292</v>
      </c>
      <c r="J64" s="68">
        <f t="shared" si="6"/>
        <v>1861.9192401074156</v>
      </c>
      <c r="K64" s="68">
        <f t="shared" si="6"/>
        <v>1388.8792401074156</v>
      </c>
      <c r="L64" s="71">
        <f t="shared" si="6"/>
        <v>0.55793480275508534</v>
      </c>
    </row>
  </sheetData>
  <mergeCells count="6">
    <mergeCell ref="H2:K2"/>
    <mergeCell ref="A13:Q13"/>
    <mergeCell ref="A14:Q14"/>
    <mergeCell ref="P56:Q56"/>
    <mergeCell ref="P31:Q31"/>
    <mergeCell ref="P19:Q1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Rev Aug After Adj</vt:lpstr>
      <vt:lpstr>With Rev Aug Before Adj</vt:lpstr>
      <vt:lpstr>123.81 avg market w Slice</vt:lpstr>
      <vt:lpstr>91.8 avg market w Slice</vt:lpstr>
      <vt:lpstr>70.5 avg market w Slice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2001-03-07T16:23:41Z</cp:lastPrinted>
  <dcterms:created xsi:type="dcterms:W3CDTF">2001-02-27T16:37:57Z</dcterms:created>
  <dcterms:modified xsi:type="dcterms:W3CDTF">2023-09-14T18:47:04Z</dcterms:modified>
</cp:coreProperties>
</file>