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EDB87D-7DA1-4D53-B05C-7C2ED23FCDF5}" xr6:coauthVersionLast="47" xr6:coauthVersionMax="47" xr10:uidLastSave="{00000000-0000-0000-0000-000000000000}"/>
  <bookViews>
    <workbookView xWindow="-120" yWindow="-120" windowWidth="38640" windowHeight="15720" activeTab="4"/>
  </bookViews>
  <sheets>
    <sheet name="Sheet1" sheetId="1" r:id="rId1"/>
    <sheet name="Longs" sheetId="5" r:id="rId2"/>
    <sheet name="Top 5" sheetId="7" r:id="rId3"/>
    <sheet name="Demand" sheetId="8" r:id="rId4"/>
    <sheet name="ENE Universe" sheetId="4" r:id="rId5"/>
    <sheet name="EIM" sheetId="2" r:id="rId6"/>
    <sheet name="JS" sheetId="3" r:id="rId7"/>
  </sheets>
  <definedNames>
    <definedName name="_xlnm.Print_Area" localSheetId="4">'ENE Universe'!$D$2:$W$124</definedName>
    <definedName name="_xlnm.Print_Titles" localSheetId="4">'ENE Universe'!$1:$1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8" l="1"/>
  <c r="C17" i="8"/>
  <c r="C18" i="8"/>
  <c r="C19" i="8"/>
  <c r="C45" i="8"/>
  <c r="C46" i="8"/>
  <c r="C47" i="8"/>
  <c r="C48" i="8"/>
  <c r="P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P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P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P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P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P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P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P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P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P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P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P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P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P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P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P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P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P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P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P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P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P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P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P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P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P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P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P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P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P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P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P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P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P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P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P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P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P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K2" i="4"/>
  <c r="U2" i="4"/>
  <c r="K6" i="4"/>
  <c r="U6" i="4"/>
  <c r="K8" i="4"/>
  <c r="U8" i="4"/>
  <c r="K9" i="4"/>
  <c r="U9" i="4"/>
  <c r="K10" i="4"/>
  <c r="U10" i="4"/>
  <c r="K11" i="4"/>
  <c r="U11" i="4"/>
  <c r="F12" i="4"/>
  <c r="G12" i="4"/>
  <c r="H12" i="4"/>
  <c r="I12" i="4"/>
  <c r="K12" i="4"/>
  <c r="N12" i="4"/>
  <c r="U12" i="4"/>
  <c r="K16" i="4"/>
  <c r="U16" i="4"/>
  <c r="K18" i="4"/>
  <c r="U18" i="4"/>
  <c r="K21" i="4"/>
  <c r="U21" i="4"/>
  <c r="K22" i="4"/>
  <c r="U22" i="4"/>
  <c r="K24" i="4"/>
  <c r="U24" i="4"/>
  <c r="K25" i="4"/>
  <c r="U25" i="4"/>
  <c r="K26" i="4"/>
  <c r="U26" i="4"/>
  <c r="K27" i="4"/>
  <c r="U27" i="4"/>
  <c r="K28" i="4"/>
  <c r="U28" i="4"/>
  <c r="K29" i="4"/>
  <c r="U29" i="4"/>
  <c r="K33" i="4"/>
  <c r="U33" i="4"/>
  <c r="K34" i="4"/>
  <c r="U34" i="4"/>
  <c r="K35" i="4"/>
  <c r="U35" i="4"/>
  <c r="K36" i="4"/>
  <c r="U36" i="4"/>
  <c r="K37" i="4"/>
  <c r="U37" i="4"/>
  <c r="K38" i="4"/>
  <c r="U38" i="4"/>
  <c r="K40" i="4"/>
  <c r="U40" i="4"/>
  <c r="K41" i="4"/>
  <c r="U41" i="4"/>
  <c r="K42" i="4"/>
  <c r="U42" i="4"/>
  <c r="K46" i="4"/>
  <c r="U46" i="4"/>
  <c r="K47" i="4"/>
  <c r="U47" i="4"/>
  <c r="K49" i="4"/>
  <c r="U49" i="4"/>
  <c r="K50" i="4"/>
  <c r="U50" i="4"/>
  <c r="K51" i="4"/>
  <c r="U51" i="4"/>
  <c r="K52" i="4"/>
  <c r="U52" i="4"/>
  <c r="K55" i="4"/>
  <c r="U55" i="4"/>
  <c r="K56" i="4"/>
  <c r="U56" i="4"/>
  <c r="K57" i="4"/>
  <c r="U57" i="4"/>
  <c r="K58" i="4"/>
  <c r="U58" i="4"/>
  <c r="K59" i="4"/>
  <c r="U59" i="4"/>
  <c r="K61" i="4"/>
  <c r="U61" i="4"/>
  <c r="K63" i="4"/>
  <c r="U63" i="4"/>
  <c r="F65" i="4"/>
  <c r="G65" i="4"/>
  <c r="H65" i="4"/>
  <c r="I65" i="4"/>
  <c r="J65" i="4"/>
  <c r="K65" i="4"/>
  <c r="U65" i="4"/>
  <c r="K66" i="4"/>
  <c r="U66" i="4"/>
  <c r="K67" i="4"/>
  <c r="U67" i="4"/>
  <c r="K68" i="4"/>
  <c r="U68" i="4"/>
  <c r="K70" i="4"/>
  <c r="U70" i="4"/>
  <c r="F72" i="4"/>
  <c r="G72" i="4"/>
  <c r="K72" i="4"/>
  <c r="U72" i="4"/>
  <c r="K73" i="4"/>
  <c r="U73" i="4"/>
  <c r="K77" i="4"/>
  <c r="U77" i="4"/>
  <c r="K78" i="4"/>
  <c r="U78" i="4"/>
  <c r="K79" i="4"/>
  <c r="U79" i="4"/>
  <c r="K80" i="4"/>
  <c r="U80" i="4"/>
  <c r="K81" i="4"/>
  <c r="U81" i="4"/>
  <c r="K82" i="4"/>
  <c r="U82" i="4"/>
  <c r="K83" i="4"/>
  <c r="U83" i="4"/>
  <c r="K84" i="4"/>
  <c r="U84" i="4"/>
  <c r="K85" i="4"/>
  <c r="U85" i="4"/>
  <c r="G86" i="4"/>
  <c r="I86" i="4"/>
  <c r="K86" i="4"/>
  <c r="U86" i="4"/>
  <c r="K88" i="4"/>
  <c r="U88" i="4"/>
  <c r="K91" i="4"/>
  <c r="U91" i="4"/>
  <c r="K92" i="4"/>
  <c r="U92" i="4"/>
  <c r="I93" i="4"/>
  <c r="K93" i="4"/>
  <c r="U93" i="4"/>
  <c r="K95" i="4"/>
  <c r="U95" i="4"/>
  <c r="K96" i="4"/>
  <c r="U96" i="4"/>
  <c r="K97" i="4"/>
  <c r="U97" i="4"/>
  <c r="K98" i="4"/>
  <c r="U98" i="4"/>
  <c r="F101" i="4"/>
  <c r="H101" i="4"/>
  <c r="K101" i="4"/>
  <c r="U101" i="4"/>
  <c r="K103" i="4"/>
  <c r="U103" i="4"/>
  <c r="K104" i="4"/>
  <c r="U104" i="4"/>
  <c r="K105" i="4"/>
  <c r="U105" i="4"/>
  <c r="K106" i="4"/>
  <c r="U106" i="4"/>
  <c r="K108" i="4"/>
  <c r="U108" i="4"/>
  <c r="H109" i="4"/>
  <c r="K109" i="4"/>
  <c r="U109" i="4"/>
  <c r="F111" i="4"/>
  <c r="G111" i="4"/>
  <c r="H111" i="4"/>
  <c r="I111" i="4"/>
  <c r="J111" i="4"/>
  <c r="K111" i="4"/>
  <c r="U111" i="4"/>
  <c r="U112" i="4"/>
  <c r="F114" i="4"/>
  <c r="H114" i="4"/>
  <c r="K114" i="4"/>
  <c r="U114" i="4"/>
  <c r="K115" i="4"/>
  <c r="U115" i="4"/>
  <c r="K119" i="4"/>
  <c r="U119" i="4"/>
  <c r="K120" i="4"/>
  <c r="U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X125" i="4"/>
  <c r="Y125" i="4"/>
  <c r="X127" i="4"/>
  <c r="Y127" i="4"/>
  <c r="X128" i="4"/>
  <c r="Y128" i="4"/>
  <c r="K129" i="4"/>
  <c r="U129" i="4"/>
  <c r="X129" i="4"/>
  <c r="Y129" i="4"/>
  <c r="X130" i="4"/>
  <c r="Y130" i="4"/>
  <c r="X131" i="4"/>
  <c r="Y131" i="4"/>
  <c r="X132" i="4"/>
  <c r="Y132" i="4"/>
  <c r="F135" i="4"/>
  <c r="G135" i="4"/>
  <c r="H135" i="4"/>
  <c r="I135" i="4"/>
  <c r="J135" i="4"/>
  <c r="S135" i="4"/>
  <c r="X136" i="4"/>
  <c r="Y136" i="4"/>
  <c r="X138" i="4"/>
  <c r="Y138" i="4"/>
  <c r="X140" i="4"/>
  <c r="Y140" i="4"/>
  <c r="X141" i="4"/>
  <c r="Y141" i="4"/>
  <c r="X143" i="4"/>
  <c r="Y143" i="4"/>
  <c r="X144" i="4"/>
  <c r="Y144" i="4"/>
  <c r="I146" i="4"/>
  <c r="U146" i="4"/>
  <c r="X146" i="4"/>
  <c r="Y146" i="4"/>
  <c r="U147" i="4"/>
  <c r="X147" i="4"/>
  <c r="Y147" i="4"/>
  <c r="U148" i="4"/>
  <c r="X148" i="4"/>
  <c r="Y148" i="4"/>
  <c r="U149" i="4"/>
  <c r="X149" i="4"/>
  <c r="Y149" i="4"/>
  <c r="U150" i="4"/>
  <c r="U151" i="4"/>
  <c r="X151" i="4"/>
  <c r="Y151" i="4"/>
  <c r="F152" i="4"/>
  <c r="G152" i="4"/>
  <c r="H152" i="4"/>
  <c r="I152" i="4"/>
  <c r="J152" i="4"/>
  <c r="L152" i="4"/>
  <c r="M152" i="4"/>
  <c r="N152" i="4"/>
  <c r="O152" i="4"/>
  <c r="P152" i="4"/>
  <c r="Q152" i="4"/>
  <c r="R152" i="4"/>
  <c r="S152" i="4"/>
  <c r="T152" i="4"/>
  <c r="U152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9" i="4"/>
  <c r="Y159" i="4"/>
  <c r="X160" i="4"/>
  <c r="Y160" i="4"/>
  <c r="X161" i="4"/>
  <c r="Y161" i="4"/>
  <c r="X165" i="4"/>
  <c r="Y165" i="4"/>
  <c r="X166" i="4"/>
  <c r="Y166" i="4"/>
  <c r="X168" i="4"/>
  <c r="Y168" i="4"/>
  <c r="X169" i="4"/>
  <c r="Y169" i="4"/>
  <c r="X170" i="4"/>
  <c r="Y170" i="4"/>
  <c r="X171" i="4"/>
  <c r="Y171" i="4"/>
  <c r="X174" i="4"/>
  <c r="Y174" i="4"/>
  <c r="X175" i="4"/>
  <c r="Y175" i="4"/>
  <c r="X176" i="4"/>
  <c r="Y176" i="4"/>
  <c r="X177" i="4"/>
  <c r="Y177" i="4"/>
  <c r="X178" i="4"/>
  <c r="Y178" i="4"/>
  <c r="X180" i="4"/>
  <c r="Y180" i="4"/>
  <c r="X182" i="4"/>
  <c r="Y182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4" i="4"/>
  <c r="Y204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5" i="4"/>
  <c r="Y215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8" i="4"/>
  <c r="Y228" i="4"/>
  <c r="X229" i="4"/>
  <c r="Y229" i="4"/>
  <c r="X230" i="4"/>
  <c r="Y230" i="4"/>
  <c r="X232" i="4"/>
  <c r="Y232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E22" i="5"/>
  <c r="G22" i="5"/>
  <c r="U22" i="5"/>
  <c r="E23" i="5"/>
  <c r="U23" i="5"/>
  <c r="U24" i="5"/>
  <c r="U25" i="5"/>
  <c r="U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H42" i="1"/>
  <c r="H105" i="1"/>
  <c r="D2" i="7"/>
  <c r="E2" i="7"/>
  <c r="I2" i="7"/>
  <c r="J2" i="7"/>
  <c r="K2" i="7"/>
  <c r="D3" i="7"/>
  <c r="E3" i="7"/>
  <c r="I3" i="7"/>
  <c r="J3" i="7"/>
  <c r="K3" i="7"/>
  <c r="D4" i="7"/>
  <c r="E4" i="7"/>
  <c r="I4" i="7"/>
  <c r="J4" i="7"/>
  <c r="K4" i="7"/>
  <c r="D5" i="7"/>
  <c r="E5" i="7"/>
  <c r="J5" i="7"/>
  <c r="K5" i="7"/>
  <c r="D6" i="7"/>
  <c r="E6" i="7"/>
  <c r="I6" i="7"/>
  <c r="J6" i="7"/>
  <c r="K6" i="7"/>
  <c r="C7" i="7"/>
  <c r="D7" i="7"/>
  <c r="E7" i="7"/>
  <c r="I7" i="7"/>
  <c r="J7" i="7"/>
  <c r="K7" i="7"/>
  <c r="C10" i="7"/>
  <c r="D10" i="7"/>
  <c r="E10" i="7"/>
  <c r="J10" i="7"/>
  <c r="K10" i="7"/>
  <c r="D11" i="7"/>
  <c r="E11" i="7"/>
  <c r="J11" i="7"/>
  <c r="K11" i="7"/>
  <c r="D12" i="7"/>
  <c r="E12" i="7"/>
  <c r="I12" i="7"/>
  <c r="J12" i="7"/>
  <c r="K12" i="7"/>
  <c r="C13" i="7"/>
  <c r="D13" i="7"/>
  <c r="E13" i="7"/>
  <c r="J13" i="7"/>
  <c r="K13" i="7"/>
  <c r="C14" i="7"/>
  <c r="D14" i="7"/>
  <c r="E14" i="7"/>
  <c r="I14" i="7"/>
  <c r="J14" i="7"/>
  <c r="K14" i="7"/>
  <c r="C15" i="7"/>
  <c r="D15" i="7"/>
  <c r="E15" i="7"/>
  <c r="I15" i="7"/>
  <c r="J15" i="7"/>
  <c r="K15" i="7"/>
  <c r="D18" i="7"/>
  <c r="E18" i="7"/>
  <c r="J18" i="7"/>
  <c r="K18" i="7"/>
  <c r="D19" i="7"/>
  <c r="E19" i="7"/>
  <c r="J19" i="7"/>
  <c r="K19" i="7"/>
  <c r="D20" i="7"/>
  <c r="E20" i="7"/>
  <c r="J20" i="7"/>
  <c r="K20" i="7"/>
  <c r="D21" i="7"/>
  <c r="E21" i="7"/>
  <c r="J21" i="7"/>
  <c r="K21" i="7"/>
  <c r="C22" i="7"/>
  <c r="D22" i="7"/>
  <c r="E22" i="7"/>
  <c r="J22" i="7"/>
  <c r="K22" i="7"/>
  <c r="C23" i="7"/>
  <c r="D23" i="7"/>
  <c r="E23" i="7"/>
  <c r="I23" i="7"/>
  <c r="J23" i="7"/>
  <c r="K23" i="7"/>
</calcChain>
</file>

<file path=xl/sharedStrings.xml><?xml version="1.0" encoding="utf-8"?>
<sst xmlns="http://schemas.openxmlformats.org/spreadsheetml/2006/main" count="1752" uniqueCount="560">
  <si>
    <t>Stuctured</t>
  </si>
  <si>
    <t xml:space="preserve">Sales  &amp; </t>
  </si>
  <si>
    <t>Origination</t>
  </si>
  <si>
    <t>Marketing</t>
  </si>
  <si>
    <t>Company</t>
  </si>
  <si>
    <t>Description</t>
  </si>
  <si>
    <t>Ownership</t>
  </si>
  <si>
    <t>Location</t>
  </si>
  <si>
    <t>Priority</t>
  </si>
  <si>
    <t>FB/CS</t>
  </si>
  <si>
    <t xml:space="preserve"> </t>
  </si>
  <si>
    <t>Oil Filters &amp; Pharmaceutical Products</t>
  </si>
  <si>
    <t>Private</t>
  </si>
  <si>
    <t>Atlanta</t>
  </si>
  <si>
    <t>B</t>
  </si>
  <si>
    <t>FB</t>
  </si>
  <si>
    <t>GB</t>
  </si>
  <si>
    <t>Appleton  - Coated</t>
  </si>
  <si>
    <t>Coated Papers</t>
  </si>
  <si>
    <t>Public</t>
  </si>
  <si>
    <t>WI</t>
  </si>
  <si>
    <t>C</t>
  </si>
  <si>
    <t>Appleton - Papers</t>
  </si>
  <si>
    <t>Specialty Papers</t>
  </si>
  <si>
    <t>A</t>
  </si>
  <si>
    <t>JB/CS</t>
  </si>
  <si>
    <t>Badger Paper</t>
  </si>
  <si>
    <t>Uncoated Free Sheet and Specialty Papers</t>
  </si>
  <si>
    <t>Belgravia/West Linn</t>
  </si>
  <si>
    <t>VAC/OR</t>
  </si>
  <si>
    <t>Belgravia/Pasadena</t>
  </si>
  <si>
    <t>Pulp Mill</t>
  </si>
  <si>
    <t>VAC/TX</t>
  </si>
  <si>
    <t>Paper mill is operating but pulp mill is not</t>
  </si>
  <si>
    <t>JB</t>
  </si>
  <si>
    <t>DR</t>
  </si>
  <si>
    <t>Charter House/Cellu-Tissue</t>
  </si>
  <si>
    <t>Tissue Producer</t>
  </si>
  <si>
    <t>NYC</t>
  </si>
  <si>
    <t>Have discussed monetization structure</t>
  </si>
  <si>
    <t>Chandler</t>
  </si>
  <si>
    <t>Specialty Paper Mill</t>
  </si>
  <si>
    <t>Quebec</t>
  </si>
  <si>
    <t>Mill start-up</t>
  </si>
  <si>
    <t>Crabar Business Systems</t>
  </si>
  <si>
    <t>Business Forms</t>
  </si>
  <si>
    <t>Dayton, OH</t>
  </si>
  <si>
    <t>Defferiat mill.</t>
  </si>
  <si>
    <t>DGI/American Hygene/Drypers</t>
  </si>
  <si>
    <t>Disposable Diapers</t>
  </si>
  <si>
    <t>HK/Atlanta</t>
  </si>
  <si>
    <t>Fibermark</t>
  </si>
  <si>
    <t>Specialty Fiber Material</t>
  </si>
  <si>
    <t>Battleboro, VT</t>
  </si>
  <si>
    <t>Finch Pruyn</t>
  </si>
  <si>
    <t>Printing &amp; Specialty Papers</t>
  </si>
  <si>
    <t>Glen Falls, NY</t>
  </si>
  <si>
    <t>Glatfelter</t>
  </si>
  <si>
    <t>Engineered Papers &amp; Specialty Papers</t>
  </si>
  <si>
    <t>York, PA</t>
  </si>
  <si>
    <t>Gray's Harbor</t>
  </si>
  <si>
    <t>Uncoated Free Sheet</t>
  </si>
  <si>
    <t>WA</t>
  </si>
  <si>
    <t>KPS/Blue Ridge Paper</t>
  </si>
  <si>
    <t>Packaging &amp; Paper for Food Industry</t>
  </si>
  <si>
    <t>NYC/NC</t>
  </si>
  <si>
    <t>KPS/Curtis Specialty Papers</t>
  </si>
  <si>
    <t>Specialty Papers - Coated &amp; Uncoated</t>
  </si>
  <si>
    <t>Kimberly Clark</t>
  </si>
  <si>
    <t>Consumer Products</t>
  </si>
  <si>
    <t>Dallas</t>
  </si>
  <si>
    <t>Mead</t>
  </si>
  <si>
    <t>Writing, Printing &amp; Specialty Papers</t>
  </si>
  <si>
    <t>Mohawk Paper</t>
  </si>
  <si>
    <t>Albany, NY</t>
  </si>
  <si>
    <t>PaperlinX /Spicers Paper</t>
  </si>
  <si>
    <t>Proctor &amp; Gamble</t>
  </si>
  <si>
    <t>Cincinatti</t>
  </si>
  <si>
    <t>Sappi</t>
  </si>
  <si>
    <t>Coated and Specialty Papers; Pulp</t>
  </si>
  <si>
    <t>Boston</t>
  </si>
  <si>
    <t>Schweitzer Mauduit</t>
  </si>
  <si>
    <t>Tobacco, Printing &amp; Writing Papers</t>
  </si>
  <si>
    <t>Stora Enso/Consolidated Papers</t>
  </si>
  <si>
    <t>Coated Groundwood</t>
  </si>
  <si>
    <t>GB/DR</t>
  </si>
  <si>
    <t>Sun Capital/Smart Papers</t>
  </si>
  <si>
    <t>Tyco Int'l/Kendall Healthcare</t>
  </si>
  <si>
    <t>Diapers</t>
  </si>
  <si>
    <t>Wausau-Mosinee</t>
  </si>
  <si>
    <t>Mosinee, WI</t>
  </si>
  <si>
    <t>Interested in expanding tissue business for industrial towling</t>
  </si>
  <si>
    <t>Wellspring Capital/Paragon</t>
  </si>
  <si>
    <t>Jacobs Sirine</t>
  </si>
  <si>
    <t>(Tons Short)</t>
  </si>
  <si>
    <t xml:space="preserve">EIM </t>
  </si>
  <si>
    <t>Comments / Status</t>
  </si>
  <si>
    <t>NBSK</t>
  </si>
  <si>
    <t>King of Prussia, PA</t>
  </si>
  <si>
    <t>Multiple grades</t>
  </si>
  <si>
    <t>Multiple grades; Management Buyout</t>
  </si>
  <si>
    <t>50/50 NBSK/NBHK;  Financial Distress - violated loan covenants $26MM Debt $43.4MM Assets $6.5MM market cap;  Sell/Buy @ index or fixed</t>
  </si>
  <si>
    <t>NBSK &amp; NBHK;  Bought mill from Simpson for $14MM</t>
  </si>
  <si>
    <t>Fluff Pulp</t>
  </si>
  <si>
    <t>NBSK;  Market power for pulp supply discussion;  No progress</t>
  </si>
  <si>
    <t>NBSK / NBHK;  $230MM Private Placement</t>
  </si>
  <si>
    <t>75% NBHK; 40% Pope &amp; Talbot pulp;  $10MM capital lease w/ Boeing;  West Linn combo?  Originally IP/ITT Rayonier asset</t>
  </si>
  <si>
    <t>59% NBSK, 35% NBHK, 6% SBSK;  Purchased Crown Vantage assets for $22MM ($10MM equity)</t>
  </si>
  <si>
    <t>D</t>
  </si>
  <si>
    <t>NYC/NJ-MI-MA-VA</t>
  </si>
  <si>
    <t>Acquisition of Champion Intl.' s seven plant 'Canton' system;  Distressed sale mgmt</t>
  </si>
  <si>
    <t>Mtg. with senior management;  Coosa Pines Mill</t>
  </si>
  <si>
    <t>NBHK / NBSK;  3 discussions;  $35MM / year revenue;  Premium text and cover paper producer - 2 mills, 3 machines, 100,000 TPA capacity</t>
  </si>
  <si>
    <t>Distributor not manufacturer</t>
  </si>
  <si>
    <t>50/50 NBSK/NBHK;  S.D. Warren;  60% integrated;  Duke working on outsourcing</t>
  </si>
  <si>
    <t>NBSK;  KC spin-off 5 yrs. ago</t>
  </si>
  <si>
    <t>NBSK / NBHK;  Recent acquisition of $90MM book value Hamilton Mill for $10MM from IP/Champion.  Own 2 other paper related assets;  Placed $3MM bid for energy assets</t>
  </si>
  <si>
    <t>Santa Fe, CA</t>
  </si>
  <si>
    <t>Fluff Pulp;  Large gas customer</t>
  </si>
  <si>
    <t>Decisions made in Helsinki</t>
  </si>
  <si>
    <t>Marcal</t>
  </si>
  <si>
    <t>Elmwood Park, NJ</t>
  </si>
  <si>
    <t>Tissue manufacturer</t>
  </si>
  <si>
    <t>Wastepaper;  Refinancing Debt</t>
  </si>
  <si>
    <t>3M</t>
  </si>
  <si>
    <t>St Paul, MN</t>
  </si>
  <si>
    <t>Pulp;  8,000 TPA existing trade;  OCC opportunity;  EES transaction</t>
  </si>
  <si>
    <t>Gusmer Enterprises</t>
  </si>
  <si>
    <t>Abitibi Consolidated</t>
  </si>
  <si>
    <t xml:space="preserve"> Newsprint </t>
  </si>
  <si>
    <t>Montreal, Canada</t>
  </si>
  <si>
    <t>Market pulp long with Donahue purchase</t>
  </si>
  <si>
    <t>Bowater</t>
  </si>
  <si>
    <t>Newsprint, UCFS, Pulp, Forest Products</t>
  </si>
  <si>
    <t>CS</t>
  </si>
  <si>
    <t>Greenville, SC</t>
  </si>
  <si>
    <t>Long Pulp</t>
  </si>
  <si>
    <t>Boca Raton / Cincinatti</t>
  </si>
  <si>
    <t>American Tissue Corp</t>
  </si>
  <si>
    <t>Hauppauge, NY</t>
  </si>
  <si>
    <t>Tissue</t>
  </si>
  <si>
    <t>Boise Cascade</t>
  </si>
  <si>
    <t>Paper &amp; Wood Products</t>
  </si>
  <si>
    <t>Boise, ID</t>
  </si>
  <si>
    <t>Long Pulp;  Bought 5,000 tons</t>
  </si>
  <si>
    <t>Brant Allen Industries</t>
  </si>
  <si>
    <t>Newsprint</t>
  </si>
  <si>
    <t>Groundwood Paper</t>
  </si>
  <si>
    <t>12,000 tons groundwood</t>
  </si>
  <si>
    <t>Buckeye Technologies</t>
  </si>
  <si>
    <t>Consumer Products, Hygiene</t>
  </si>
  <si>
    <t>Memphis, TN</t>
  </si>
  <si>
    <t>Brian McDougall / Mohawk Pulp</t>
  </si>
  <si>
    <t>Canfor</t>
  </si>
  <si>
    <t>Forest Products</t>
  </si>
  <si>
    <t>Vancouver, BC</t>
  </si>
  <si>
    <t>Cascades - Rolland</t>
  </si>
  <si>
    <t>DC</t>
  </si>
  <si>
    <t>CDM Papiers Décor</t>
  </si>
  <si>
    <t>City Forest Corp</t>
  </si>
  <si>
    <t>Workout</t>
  </si>
  <si>
    <t>Congoleum Corg</t>
  </si>
  <si>
    <t>Floor Tile Manufacturing</t>
  </si>
  <si>
    <t>Mercerville, NJ</t>
  </si>
  <si>
    <t>CC</t>
  </si>
  <si>
    <t>Crane &amp; Co.</t>
  </si>
  <si>
    <t>Currency manufacturer</t>
  </si>
  <si>
    <t>Short cotton tons</t>
  </si>
  <si>
    <t>Creative Paper</t>
  </si>
  <si>
    <t>Owner not interested</t>
  </si>
  <si>
    <t>Massachuetts</t>
  </si>
  <si>
    <t>Crocker Technical Paper</t>
  </si>
  <si>
    <t>Crown Vantage</t>
  </si>
  <si>
    <t>Crystal Tissue</t>
  </si>
  <si>
    <t>Alstrom - Dexter</t>
  </si>
  <si>
    <t>Domtar</t>
  </si>
  <si>
    <t>Printed Tissue</t>
  </si>
  <si>
    <t>Specialty Papers &amp; Lumber</t>
  </si>
  <si>
    <t>Eastman Kodak</t>
  </si>
  <si>
    <t>Film</t>
  </si>
  <si>
    <t>Rochester, NY</t>
  </si>
  <si>
    <t>EHV Weidmann Industries</t>
  </si>
  <si>
    <t>Specialty hardwood:  50,000 - 60,000 TPY;  Not interested in risk management</t>
  </si>
  <si>
    <t>Fletcher Challenge</t>
  </si>
  <si>
    <t>New Zealand</t>
  </si>
  <si>
    <t>Flower City Tissue Mills</t>
  </si>
  <si>
    <t>Tissue manufacturing and converting</t>
  </si>
  <si>
    <t>Fournier Group</t>
  </si>
  <si>
    <t>Pulp long but close to balance</t>
  </si>
  <si>
    <t>Pharmaceuticals</t>
  </si>
  <si>
    <t>France</t>
  </si>
  <si>
    <t>Fox River Fiber Corp</t>
  </si>
  <si>
    <t>Appleton, WI</t>
  </si>
  <si>
    <t>Fraser Paper (Nexfor)</t>
  </si>
  <si>
    <t>Stamford, CT</t>
  </si>
  <si>
    <t>Substantial Long;  Tom Stinson -Purchase 60,000 tons physical</t>
  </si>
  <si>
    <t>French Paper Company</t>
  </si>
  <si>
    <t>Georgia Pacific</t>
  </si>
  <si>
    <t>Great Lakes Pulp &amp; Fibre</t>
  </si>
  <si>
    <t>Great Northern Paper</t>
  </si>
  <si>
    <t>DIP;  Want to sell asset</t>
  </si>
  <si>
    <t>Millinocket, ME</t>
  </si>
  <si>
    <t>Coated and Uncoated Papers</t>
  </si>
  <si>
    <t>Gulf States Paper</t>
  </si>
  <si>
    <t>Tuscaloosa, AL</t>
  </si>
  <si>
    <t>SBSK</t>
  </si>
  <si>
    <t>Hollingsworth &amp; Vose Co</t>
  </si>
  <si>
    <t>Specialty Industrial and Technical Papers</t>
  </si>
  <si>
    <t>Setting - up manufacturing;  Synthetic pulp</t>
  </si>
  <si>
    <t>East Walpole, MA</t>
  </si>
  <si>
    <t>Interlake Acquisition Corp</t>
  </si>
  <si>
    <t>International Paper</t>
  </si>
  <si>
    <t>J. Ford &amp; Co.</t>
  </si>
  <si>
    <t>Pulp</t>
  </si>
  <si>
    <t>Small paper maker</t>
  </si>
  <si>
    <t>J.D. Irving Ltd</t>
  </si>
  <si>
    <t>Transacting hardwood, Clickpaper</t>
  </si>
  <si>
    <t>St. John, NB, Canada</t>
  </si>
  <si>
    <t>Keiffer Paper Mills</t>
  </si>
  <si>
    <t>Knowlton Specialty apers</t>
  </si>
  <si>
    <t>Watertown, NY</t>
  </si>
  <si>
    <t>Filter papers and specialty papers</t>
  </si>
  <si>
    <t>Little Rapids Corp</t>
  </si>
  <si>
    <t>Louisiana-Pacific</t>
  </si>
  <si>
    <t>Lydall</t>
  </si>
  <si>
    <t>Portland, OR</t>
  </si>
  <si>
    <t>Wood Products &amp; Pulp</t>
  </si>
  <si>
    <t>Manchester, CT</t>
  </si>
  <si>
    <t>12,000 tons financial proposed</t>
  </si>
  <si>
    <t>Samoa pulp mill</t>
  </si>
  <si>
    <t>Medical Products</t>
  </si>
  <si>
    <t>Ashwaubenon, WI</t>
  </si>
  <si>
    <t>Madison Paper Industries</t>
  </si>
  <si>
    <t>Maine</t>
  </si>
  <si>
    <t>Massachusetts Recycling Assoc</t>
  </si>
  <si>
    <t>Net long pulp, basically balanced;  Short OCC</t>
  </si>
  <si>
    <t>Merrimac Paper</t>
  </si>
  <si>
    <t>Coated and Uncoated Papers &amp; Packaging</t>
  </si>
  <si>
    <t>Lawrence, MA</t>
  </si>
  <si>
    <t>MH Dielectrics Inc</t>
  </si>
  <si>
    <t>Millar Western Forest Products</t>
  </si>
  <si>
    <t>FB/GD</t>
  </si>
  <si>
    <t>BCTMP Producer</t>
  </si>
  <si>
    <t xml:space="preserve">Edmonton, AB </t>
  </si>
  <si>
    <t>Monadnock Paper Mills</t>
  </si>
  <si>
    <t>Technical and Graphic Papers</t>
  </si>
  <si>
    <t>Bennington, NH</t>
  </si>
  <si>
    <t>Selling spot pulp</t>
  </si>
  <si>
    <t>Munksjo AB</t>
  </si>
  <si>
    <t>Sweden</t>
  </si>
  <si>
    <t>Specialty Papers, Packaging, Pulp &amp; Consumer Tissue</t>
  </si>
  <si>
    <t>Nicolaus Paper</t>
  </si>
  <si>
    <t>Short BEK;  Interested in hedging;  European Long</t>
  </si>
  <si>
    <t>Ivex Group sub;  DIP</t>
  </si>
  <si>
    <t>Nippon Unipak</t>
  </si>
  <si>
    <t>Norampac - Cascades</t>
  </si>
  <si>
    <t>Packaging, Fine Papers &amp; Tissue</t>
  </si>
  <si>
    <t>Pacifica Papers</t>
  </si>
  <si>
    <t>Newsprint, Pulp, Printing &amp; Writing Papers</t>
  </si>
  <si>
    <t>Paper-Pak Products Inc</t>
  </si>
  <si>
    <t>Consumer Products;  Hygeine</t>
  </si>
  <si>
    <t>La Verne, CA</t>
  </si>
  <si>
    <t>Papier Masson</t>
  </si>
  <si>
    <t>Ontario</t>
  </si>
  <si>
    <t>Parsons &amp; Whittermore</t>
  </si>
  <si>
    <t>Partners Concept Development</t>
  </si>
  <si>
    <t>Playtex</t>
  </si>
  <si>
    <t>Westport, CT</t>
  </si>
  <si>
    <t>Pope &amp; Talbot</t>
  </si>
  <si>
    <t>Port Huron Fiber</t>
  </si>
  <si>
    <t>DIP Producer</t>
  </si>
  <si>
    <t>Potlatch</t>
  </si>
  <si>
    <t>Spokane, WA</t>
  </si>
  <si>
    <t>Forest Products, Tissue, Printing &amp; Writing Papers</t>
  </si>
  <si>
    <t>Preco Corp</t>
  </si>
  <si>
    <t>New York</t>
  </si>
  <si>
    <t>Rayonier</t>
  </si>
  <si>
    <t>Riverside Paper Corp</t>
  </si>
  <si>
    <t>Lumber</t>
  </si>
  <si>
    <t>Jacksonville, FL</t>
  </si>
  <si>
    <t>Printing &amp; Writing Papers &amp; Art Paper</t>
  </si>
  <si>
    <t>Recycled</t>
  </si>
  <si>
    <t>SCA Tissue</t>
  </si>
  <si>
    <t>Bought GP assets with GP supply contract</t>
  </si>
  <si>
    <t>Consumer Tissue</t>
  </si>
  <si>
    <t>Sealed Air Corp</t>
  </si>
  <si>
    <t>Shasta Paper</t>
  </si>
  <si>
    <t>Simkins Industries</t>
  </si>
  <si>
    <t>Simplicity Holdings</t>
  </si>
  <si>
    <t>Simpson Paper</t>
  </si>
  <si>
    <t>Food Packaging</t>
  </si>
  <si>
    <t>Saddle Brook, NJ</t>
  </si>
  <si>
    <t>Lumber &amp; Packaging</t>
  </si>
  <si>
    <t>Tacoma, WA</t>
  </si>
  <si>
    <t>Slocan Forest Products</t>
  </si>
  <si>
    <t>CTMP &amp; Lumber Producer</t>
  </si>
  <si>
    <t>Millar Western wants to buy Fiberco (Sub)</t>
  </si>
  <si>
    <t>Richmond, British Columbia</t>
  </si>
  <si>
    <t>Smurfit Newsprint</t>
  </si>
  <si>
    <t>Smurfit Stone Container</t>
  </si>
  <si>
    <t>Spexel Inc</t>
  </si>
  <si>
    <t>Southworth Co.</t>
  </si>
  <si>
    <t>Containerboard</t>
  </si>
  <si>
    <t>Chicago, IL</t>
  </si>
  <si>
    <t>St. Mary's Paper / Belgravia</t>
  </si>
  <si>
    <t>Former Domtar mill</t>
  </si>
  <si>
    <t>Currency, Government Paper, Cotton Pulp, Text &amp; Cover Papers</t>
  </si>
  <si>
    <t>Tembec</t>
  </si>
  <si>
    <t>Uniforet (Tripap)</t>
  </si>
  <si>
    <t>Universal Forest Products</t>
  </si>
  <si>
    <t>UPM-Kymmene</t>
  </si>
  <si>
    <t>Helsinki, Chicago, MN, NB Canada</t>
  </si>
  <si>
    <t>Quasi-Govt Entity;  Long-term Bowater &amp; Tembec</t>
  </si>
  <si>
    <t>Pulp &amp; Lumber</t>
  </si>
  <si>
    <t>Tripap consumes pulp</t>
  </si>
  <si>
    <t>Grand Rapids, MI</t>
  </si>
  <si>
    <t>West Fraser Timber</t>
  </si>
  <si>
    <t>West Linn Paper Property Co</t>
  </si>
  <si>
    <t>Westvaco</t>
  </si>
  <si>
    <t>Weyerhaeuser</t>
  </si>
  <si>
    <t>Wicor</t>
  </si>
  <si>
    <t>Willamette</t>
  </si>
  <si>
    <t>Windsor Stevens</t>
  </si>
  <si>
    <t>Pulp Long</t>
  </si>
  <si>
    <t>Small</t>
  </si>
  <si>
    <t>Western Pulp Ltd Partnership / Doman</t>
  </si>
  <si>
    <t>Long BCTMP</t>
  </si>
  <si>
    <t>Timer, Printing &amp; Writing Papers</t>
  </si>
  <si>
    <t>White paper, Brown paper, Building materials</t>
  </si>
  <si>
    <t>Timber, Newsprint, Paper</t>
  </si>
  <si>
    <t>NY, NY</t>
  </si>
  <si>
    <t>Corvallis, OR</t>
  </si>
  <si>
    <t>Packaging and Nursery Products</t>
  </si>
  <si>
    <t xml:space="preserve">Insulation </t>
  </si>
  <si>
    <t>Poquonock, CT</t>
  </si>
  <si>
    <t>Cotton</t>
  </si>
  <si>
    <t>Brant Allen</t>
  </si>
  <si>
    <t>Casades</t>
  </si>
  <si>
    <t>Congoleum</t>
  </si>
  <si>
    <t>Crane</t>
  </si>
  <si>
    <t>Crocker Technical</t>
  </si>
  <si>
    <t>Dexter</t>
  </si>
  <si>
    <t>EHV Weidmann</t>
  </si>
  <si>
    <t>Fletcher Paper</t>
  </si>
  <si>
    <t>Flower City Tissue</t>
  </si>
  <si>
    <t>Fournier</t>
  </si>
  <si>
    <t>Fraser Paper</t>
  </si>
  <si>
    <t>French Paper</t>
  </si>
  <si>
    <t>Grays Harbor</t>
  </si>
  <si>
    <t>Great Northern</t>
  </si>
  <si>
    <t>Hollingworth &amp; Vose</t>
  </si>
  <si>
    <t>Ivex</t>
  </si>
  <si>
    <t>Knowlton Specialty</t>
  </si>
  <si>
    <t>Madison Paper</t>
  </si>
  <si>
    <t>MH Dielectrics</t>
  </si>
  <si>
    <t>Monadnock Paper</t>
  </si>
  <si>
    <t>NVF Co</t>
  </si>
  <si>
    <t>Paper-Pak</t>
  </si>
  <si>
    <t>Preco</t>
  </si>
  <si>
    <t>Sealed Air</t>
  </si>
  <si>
    <t>Smurfit-Stone</t>
  </si>
  <si>
    <t>Southworth</t>
  </si>
  <si>
    <t>West Linn</t>
  </si>
  <si>
    <t>NBHK</t>
  </si>
  <si>
    <t>SBHK</t>
  </si>
  <si>
    <t>BHKP</t>
  </si>
  <si>
    <t>Kraft</t>
  </si>
  <si>
    <t>DIP</t>
  </si>
  <si>
    <t>BEK</t>
  </si>
  <si>
    <t>TMP</t>
  </si>
  <si>
    <t>Substitutes</t>
  </si>
  <si>
    <t>RMP</t>
  </si>
  <si>
    <t>Sulphite</t>
  </si>
  <si>
    <t>Synthetic</t>
  </si>
  <si>
    <t>Total</t>
  </si>
  <si>
    <t>Commodity</t>
  </si>
  <si>
    <t>% of Total</t>
  </si>
  <si>
    <t>Internal Pulp</t>
  </si>
  <si>
    <t>Purchased Pulp</t>
  </si>
  <si>
    <t>IP</t>
  </si>
  <si>
    <t>Consolidated Papers</t>
  </si>
  <si>
    <t>Kruger</t>
  </si>
  <si>
    <t>Appleton Papers</t>
  </si>
  <si>
    <t>American Tissue</t>
  </si>
  <si>
    <t>Cascades</t>
  </si>
  <si>
    <t>Belgravia</t>
  </si>
  <si>
    <t>Abitibi-Consolidated</t>
  </si>
  <si>
    <t>Fort James</t>
  </si>
  <si>
    <t xml:space="preserve">Grays Harbor </t>
  </si>
  <si>
    <t>Plainwell Paper</t>
  </si>
  <si>
    <t>Interface Solutions</t>
  </si>
  <si>
    <t>West Linn Paper</t>
  </si>
  <si>
    <t>FiberMark</t>
  </si>
  <si>
    <t>Cellu-Tissue</t>
  </si>
  <si>
    <t>J.D. Irving</t>
  </si>
  <si>
    <t>Stora Enso</t>
  </si>
  <si>
    <t>Hollingsworth &amp; Vose</t>
  </si>
  <si>
    <t>Finch, Pruyn</t>
  </si>
  <si>
    <t>Little Rapids</t>
  </si>
  <si>
    <t>Burrows Paper</t>
  </si>
  <si>
    <t>Schweitzer - Mauduit Intl</t>
  </si>
  <si>
    <t>Badger Paper Mills</t>
  </si>
  <si>
    <t>Crabar Paper &amp; Allied Products</t>
  </si>
  <si>
    <t>Felix Schoeller</t>
  </si>
  <si>
    <t>Blue Ridge Paper Products</t>
  </si>
  <si>
    <t>J.Ford</t>
  </si>
  <si>
    <t>Marcal Paper</t>
  </si>
  <si>
    <t>Congoleum Corp</t>
  </si>
  <si>
    <t>Caraustar Industries</t>
  </si>
  <si>
    <t>Riverside Paper</t>
  </si>
  <si>
    <t>Daishowa Paper</t>
  </si>
  <si>
    <t>Cellu Holding</t>
  </si>
  <si>
    <t>Rexam</t>
  </si>
  <si>
    <t>Nexfor</t>
  </si>
  <si>
    <t>Brownville Specialty Paper</t>
  </si>
  <si>
    <t>Quin-T Corp</t>
  </si>
  <si>
    <t>Norampac</t>
  </si>
  <si>
    <t>Bontex</t>
  </si>
  <si>
    <t>Brant-Allen Industries</t>
  </si>
  <si>
    <t>EHV-Weidmann Industries</t>
  </si>
  <si>
    <t>Equitable Bag Co</t>
  </si>
  <si>
    <t>Alliance Forest Products</t>
  </si>
  <si>
    <t>Longview Fibre</t>
  </si>
  <si>
    <t>NVF</t>
  </si>
  <si>
    <t>Edwards Paper Company</t>
  </si>
  <si>
    <t>Crocker Technical Papers</t>
  </si>
  <si>
    <t>USM</t>
  </si>
  <si>
    <t>Abitibi-Consolidated / Augusta Newsprint</t>
  </si>
  <si>
    <t>Paper-Pak Products</t>
  </si>
  <si>
    <t>Shryock Brothers</t>
  </si>
  <si>
    <t>Knowlton Specialty Papers</t>
  </si>
  <si>
    <t>Gilman Paper</t>
  </si>
  <si>
    <t>Abitibi-Consolidated / Parsons &amp; Whittemore</t>
  </si>
  <si>
    <t xml:space="preserve">Crystal Tissue </t>
  </si>
  <si>
    <t>SP Newsprint</t>
  </si>
  <si>
    <t>Omni Supply Company</t>
  </si>
  <si>
    <t>Pulp Short</t>
  </si>
  <si>
    <t>Alhstrom Paper</t>
  </si>
  <si>
    <t>Cellu Holding Inc</t>
  </si>
  <si>
    <t>NBSK; Owned by NY Times;</t>
  </si>
  <si>
    <t>75% NBHK, 15% TMP Relatively conservative;  No response from company; Phillip Morris is paying index, can we use MO as lever w/ company?</t>
  </si>
  <si>
    <t>54% NBSK, 46% DIP</t>
  </si>
  <si>
    <t>14% NBSK, 37% HDWD,  14% DIP, 35% BEK;  Potential Long</t>
  </si>
  <si>
    <t>82% NBSK, 18% DIP</t>
  </si>
  <si>
    <t>18% NBSK, 61% HDWD, 21% DIP;  NBSK Pulp Mill</t>
  </si>
  <si>
    <t>26% NBSK, 74% HDWD</t>
  </si>
  <si>
    <t>89% NBSK, 11% DIP</t>
  </si>
  <si>
    <t>78% NBSK, 5% HDWD, 17% DIP;  Weyerhaueser</t>
  </si>
  <si>
    <t>Jacob Sirine Study</t>
  </si>
  <si>
    <t xml:space="preserve">Alstrom </t>
  </si>
  <si>
    <t>BCTMP</t>
  </si>
  <si>
    <t>Mohawk Pulp</t>
  </si>
  <si>
    <t>Pasadena Papers (Belgravia)</t>
  </si>
  <si>
    <t>West Linn (Belgravia)</t>
  </si>
  <si>
    <t>Wetlap</t>
  </si>
  <si>
    <t>Fluff</t>
  </si>
  <si>
    <t>Cellu-Tissue (Charter House)</t>
  </si>
  <si>
    <t>Drypers DSG</t>
  </si>
  <si>
    <t>Filters</t>
  </si>
  <si>
    <t>Specialty Tissue</t>
  </si>
  <si>
    <t>Curtis Specialty Papers (KPS)</t>
  </si>
  <si>
    <t>Eastern Paper (Preco Corp)</t>
  </si>
  <si>
    <t>Dissolving</t>
  </si>
  <si>
    <t>SCA North America</t>
  </si>
  <si>
    <t>UBKP</t>
  </si>
  <si>
    <t>Longview Fiber</t>
  </si>
  <si>
    <t>St. Mary's Paper  (Belgravia)</t>
  </si>
  <si>
    <t>Smart Papers (Sun Capital)</t>
  </si>
  <si>
    <t>Paragon (Wellspring Capital)</t>
  </si>
  <si>
    <t>Speciality</t>
  </si>
  <si>
    <t>Arquest</t>
  </si>
  <si>
    <t>Bryja</t>
  </si>
  <si>
    <t>Hospital Speciality</t>
  </si>
  <si>
    <t>First Quality</t>
  </si>
  <si>
    <t>Norske Skog</t>
  </si>
  <si>
    <t>Gettar</t>
  </si>
  <si>
    <t>Kimberly Clark Mexico</t>
  </si>
  <si>
    <t>Copamex</t>
  </si>
  <si>
    <t>Grupo Durango</t>
  </si>
  <si>
    <t>James Hardy</t>
  </si>
  <si>
    <t>Commodity Paper</t>
  </si>
  <si>
    <t>Specialty Paper</t>
  </si>
  <si>
    <t>Non-Commodity Paper</t>
  </si>
  <si>
    <t>Sawdust</t>
  </si>
  <si>
    <t>Pondersil</t>
  </si>
  <si>
    <t>Pipsa Mex</t>
  </si>
  <si>
    <t>Mexico</t>
  </si>
  <si>
    <t>Totals</t>
  </si>
  <si>
    <t>Other</t>
  </si>
  <si>
    <t>Tons</t>
  </si>
  <si>
    <t>% Total</t>
  </si>
  <si>
    <t>Burrows</t>
  </si>
  <si>
    <t>New Projects</t>
  </si>
  <si>
    <t>Shutdown Mills</t>
  </si>
  <si>
    <t>Johnson &amp; Johnson</t>
  </si>
  <si>
    <t>ü</t>
  </si>
  <si>
    <t>Total Coverage</t>
  </si>
  <si>
    <t>South America</t>
  </si>
  <si>
    <t>Brazil</t>
  </si>
  <si>
    <t>BSK</t>
  </si>
  <si>
    <t>BHK</t>
  </si>
  <si>
    <t>Sulfite</t>
  </si>
  <si>
    <t>Mechanical</t>
  </si>
  <si>
    <t>Asia</t>
  </si>
  <si>
    <t>Japan</t>
  </si>
  <si>
    <t>Semi-mechanical</t>
  </si>
  <si>
    <t>Other Far East</t>
  </si>
  <si>
    <t>Middle East</t>
  </si>
  <si>
    <t>Other Latin</t>
  </si>
  <si>
    <t>Total SA</t>
  </si>
  <si>
    <t>Total Asia</t>
  </si>
  <si>
    <t>% of NBSK</t>
  </si>
  <si>
    <t>% of SBSK</t>
  </si>
  <si>
    <t>% of NBHK</t>
  </si>
  <si>
    <t>% of SBHK</t>
  </si>
  <si>
    <t>% of BEK</t>
  </si>
  <si>
    <t>% of Other</t>
  </si>
  <si>
    <t>Source:  EIM Origination</t>
  </si>
  <si>
    <t>Softwood</t>
  </si>
  <si>
    <t>Hardwood</t>
  </si>
  <si>
    <t>46 Companies   (60% of Total)</t>
  </si>
  <si>
    <t>6,118,549 MT Pulp  (88% of Total Tons)</t>
  </si>
  <si>
    <t>R</t>
  </si>
  <si>
    <t>EB</t>
  </si>
  <si>
    <t>ivex</t>
  </si>
  <si>
    <t>Georgia-Pacific</t>
  </si>
  <si>
    <t>Parsons &amp; Whittemore</t>
  </si>
  <si>
    <t>Bowaters</t>
  </si>
  <si>
    <t>Smurfit Stone</t>
  </si>
  <si>
    <t>Skeena Cellulose</t>
  </si>
  <si>
    <t>Celgar</t>
  </si>
  <si>
    <t>Western Pulp</t>
  </si>
  <si>
    <t>Buckeye</t>
  </si>
  <si>
    <t>Boise cascade</t>
  </si>
  <si>
    <t>Great Lakes Pulp &amp; Fiber</t>
  </si>
  <si>
    <t>Gulf States</t>
  </si>
  <si>
    <t>Miller Western</t>
  </si>
  <si>
    <t>Rep-Fin</t>
  </si>
  <si>
    <t>Rep-Phy</t>
  </si>
  <si>
    <t>CB</t>
  </si>
  <si>
    <t>Kimberely Clark - Mexico</t>
  </si>
  <si>
    <t>Pondercael</t>
  </si>
  <si>
    <t>Interlake Acquisition Corp(Stora)</t>
  </si>
  <si>
    <t>Kodak</t>
  </si>
  <si>
    <t>Alpha Trading</t>
  </si>
  <si>
    <t>JM</t>
  </si>
  <si>
    <t>Fletcher</t>
  </si>
  <si>
    <t>Alberta Pacific</t>
  </si>
  <si>
    <t>American Papr Mills Vermont</t>
  </si>
  <si>
    <t>MH Dielectic</t>
  </si>
  <si>
    <t>EB Eddy Paper</t>
  </si>
  <si>
    <t>Mexalit</t>
  </si>
  <si>
    <t>Mexapapel</t>
  </si>
  <si>
    <t>Maldonado</t>
  </si>
  <si>
    <t>Celupa</t>
  </si>
  <si>
    <t>Marubini</t>
  </si>
  <si>
    <t>Sappi (S.D. Warren)</t>
  </si>
  <si>
    <t>West Frazer</t>
  </si>
  <si>
    <t>Valentine Paper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</si>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</sst>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ZapfDingbats"/>
      <family val="5"/>
      <charset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ZapfDingbats"/>
      <family val="5"/>
      <charset val="2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37" fontId="2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1" applyNumberFormat="1" applyFont="1"/>
    <xf numFmtId="37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37" fontId="0" fillId="0" borderId="0" xfId="1" applyNumberFormat="1" applyFont="1" applyFill="1"/>
    <xf numFmtId="0" fontId="0" fillId="0" borderId="0" xfId="0" applyFill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wrapText="1"/>
    </xf>
    <xf numFmtId="37" fontId="0" fillId="2" borderId="0" xfId="1" applyNumberFormat="1" applyFont="1" applyFill="1"/>
    <xf numFmtId="37" fontId="0" fillId="2" borderId="0" xfId="0" applyNumberFormat="1" applyFill="1"/>
    <xf numFmtId="37" fontId="0" fillId="0" borderId="0" xfId="0" applyNumberFormat="1" applyFill="1"/>
    <xf numFmtId="9" fontId="0" fillId="0" borderId="0" xfId="2" applyFont="1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  <xf numFmtId="37" fontId="3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 indent="2"/>
    </xf>
    <xf numFmtId="37" fontId="2" fillId="0" borderId="0" xfId="0" applyNumberFormat="1" applyFont="1"/>
    <xf numFmtId="0" fontId="2" fillId="0" borderId="0" xfId="0" applyFont="1" applyFill="1" applyAlignment="1">
      <alignment horizontal="left" indent="2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Fill="1"/>
    <xf numFmtId="9" fontId="0" fillId="0" borderId="0" xfId="2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37" fontId="0" fillId="0" borderId="0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Border="1"/>
    <xf numFmtId="0" fontId="8" fillId="0" borderId="0" xfId="0" applyFont="1" applyBorder="1"/>
    <xf numFmtId="37" fontId="8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Pulp Short Universe</a:t>
            </a:r>
          </a:p>
        </c:rich>
      </c:tx>
      <c:layout>
        <c:manualLayout>
          <c:xMode val="edge"/>
          <c:yMode val="edge"/>
          <c:x val="0.27250287991694333"/>
          <c:y val="3.315021647087308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278600746097893"/>
          <c:y val="0.46686554863146268"/>
          <c:w val="0.43703292062151289"/>
          <c:h val="0.1850887086290414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E86-44E7-9C7B-C0EB1A9492B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86-44E7-9C7B-C0EB1A9492B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E86-44E7-9C7B-C0EB1A9492B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E86-44E7-9C7B-C0EB1A9492B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E86-44E7-9C7B-C0EB1A9492B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E86-44E7-9C7B-C0EB1A9492B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7354485413433163"/>
                  <c:y val="0.38122748941504053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NBSK
2.3 MM Tons, 34%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E86-44E7-9C7B-C0EB1A9492B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7489653873865"/>
                  <c:y val="0.54697857176940601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NBHK  
1.8 MM Tons,  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E86-44E7-9C7B-C0EB1A9492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BEK
0.9 MM Tons, 12%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E86-44E7-9C7B-C0EB1A9492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SBSK
0.4 MM Tons, 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E86-44E7-9C7B-C0EB1A9492B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189135684949509"/>
                  <c:y val="0.43095281412135017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Other
1.6 MM tons, 22%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E86-44E7-9C7B-C0EB1A9492B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 Universe'!$F$134:$S$134</c:f>
              <c:strCache>
                <c:ptCount val="5"/>
                <c:pt idx="0">
                  <c:v>NBSK</c:v>
                </c:pt>
                <c:pt idx="1">
                  <c:v>NBHK</c:v>
                </c:pt>
                <c:pt idx="2">
                  <c:v>BEK</c:v>
                </c:pt>
                <c:pt idx="3">
                  <c:v>SBSK</c:v>
                </c:pt>
                <c:pt idx="4">
                  <c:v>Cotton</c:v>
                </c:pt>
              </c:strCache>
            </c:strRef>
          </c:cat>
          <c:val>
            <c:numRef>
              <c:f>'ENE Universe'!$F$135:$S$135</c:f>
              <c:numCache>
                <c:formatCode>#,##0_);\(#,##0\)</c:formatCode>
                <c:ptCount val="6"/>
                <c:pt idx="0">
                  <c:v>2299966.2000000002</c:v>
                </c:pt>
                <c:pt idx="1">
                  <c:v>1828270.75</c:v>
                </c:pt>
                <c:pt idx="2">
                  <c:v>867070.75</c:v>
                </c:pt>
                <c:pt idx="3">
                  <c:v>377570.75</c:v>
                </c:pt>
                <c:pt idx="4">
                  <c:v>32100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86-44E7-9C7B-C0EB1A9492B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137</xdr:row>
      <xdr:rowOff>47625</xdr:rowOff>
    </xdr:from>
    <xdr:to>
      <xdr:col>10</xdr:col>
      <xdr:colOff>0</xdr:colOff>
      <xdr:row>154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F931EE7-6A55-8397-57A4-1CD015C40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0.68723</cdr:x>
      <cdr:y>0.67383</cdr:y>
    </cdr:from>
    <cdr:to>
      <cdr:x>1</cdr:x>
      <cdr:y>0.73728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840C0A92-896D-2033-1974-F68AD96641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6213" y="2332978"/>
          <a:ext cx="1161860" cy="2193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1" i="0" u="none" strike="noStrike" baseline="0">
              <a:solidFill>
                <a:srgbClr val="000000"/>
              </a:solidFill>
              <a:latin typeface="Arial"/>
              <a:cs typeface="Arial"/>
            </a:rPr>
            <a:t>7 MM Total Tons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1"/>
  <sheetViews>
    <sheetView zoomScale="75" workbookViewId="0"/>
  </sheetViews>
  <sheetFormatPr defaultRowHeight="12.75"/>
  <cols>
    <col min="1" max="1" width="11.140625" bestFit="1" customWidth="1"/>
    <col min="2" max="2" width="11.42578125" bestFit="1" customWidth="1"/>
    <col min="3" max="3" width="33.85546875" bestFit="1" customWidth="1"/>
    <col min="4" max="4" width="55.42578125" bestFit="1" customWidth="1"/>
    <col min="5" max="5" width="10.7109375" bestFit="1" customWidth="1"/>
    <col min="6" max="6" width="20.140625" style="3" bestFit="1" customWidth="1"/>
    <col min="7" max="7" width="7.5703125" bestFit="1" customWidth="1"/>
    <col min="8" max="8" width="13.42578125" style="12" bestFit="1" customWidth="1"/>
    <col min="9" max="9" width="14.28515625" style="12" bestFit="1" customWidth="1"/>
    <col min="10" max="10" width="50.28515625" style="3" customWidth="1"/>
  </cols>
  <sheetData>
    <row r="1" spans="1:10">
      <c r="H1"/>
    </row>
    <row r="2" spans="1:10" s="1" customFormat="1">
      <c r="A2" s="1" t="s">
        <v>0</v>
      </c>
      <c r="B2" s="1" t="s">
        <v>1</v>
      </c>
      <c r="F2" s="2"/>
      <c r="H2" s="1" t="s">
        <v>93</v>
      </c>
      <c r="I2" s="8" t="s">
        <v>95</v>
      </c>
      <c r="J2" s="2"/>
    </row>
    <row r="3" spans="1:10" s="1" customForma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1" t="s">
        <v>8</v>
      </c>
      <c r="H3" s="1" t="s">
        <v>94</v>
      </c>
      <c r="I3" s="8" t="s">
        <v>94</v>
      </c>
      <c r="J3" s="2" t="s">
        <v>96</v>
      </c>
    </row>
    <row r="4" spans="1:10" s="4" customFormat="1" ht="25.5">
      <c r="A4" s="7"/>
      <c r="B4" s="7" t="s">
        <v>35</v>
      </c>
      <c r="C4" s="7" t="s">
        <v>124</v>
      </c>
      <c r="D4" s="7" t="s">
        <v>69</v>
      </c>
      <c r="E4" s="7" t="s">
        <v>19</v>
      </c>
      <c r="F4" s="5" t="s">
        <v>125</v>
      </c>
      <c r="G4" s="7"/>
      <c r="H4" s="26"/>
      <c r="I4" s="9">
        <v>15000</v>
      </c>
      <c r="J4" s="5" t="s">
        <v>126</v>
      </c>
    </row>
    <row r="5" spans="1:10" s="7" customFormat="1">
      <c r="B5" s="7" t="s">
        <v>16</v>
      </c>
      <c r="C5" s="7" t="s">
        <v>128</v>
      </c>
      <c r="D5" s="7" t="s">
        <v>129</v>
      </c>
      <c r="E5" s="7" t="s">
        <v>19</v>
      </c>
      <c r="F5" s="5" t="s">
        <v>130</v>
      </c>
      <c r="H5" s="27">
        <v>-2838501</v>
      </c>
      <c r="I5" s="9">
        <v>-290000</v>
      </c>
      <c r="J5" s="5" t="s">
        <v>131</v>
      </c>
    </row>
    <row r="6" spans="1:10">
      <c r="A6" t="s">
        <v>9</v>
      </c>
      <c r="B6" t="s">
        <v>16</v>
      </c>
      <c r="C6" t="s">
        <v>174</v>
      </c>
      <c r="D6" t="s">
        <v>11</v>
      </c>
      <c r="E6" t="s">
        <v>12</v>
      </c>
      <c r="F6" s="3" t="s">
        <v>13</v>
      </c>
      <c r="G6" t="s">
        <v>14</v>
      </c>
      <c r="H6" s="12">
        <v>46160</v>
      </c>
      <c r="I6" s="10">
        <v>50000</v>
      </c>
      <c r="J6" s="6" t="s">
        <v>97</v>
      </c>
    </row>
    <row r="7" spans="1:10">
      <c r="A7" t="s">
        <v>134</v>
      </c>
      <c r="B7" t="s">
        <v>35</v>
      </c>
      <c r="C7" t="s">
        <v>138</v>
      </c>
      <c r="D7" t="s">
        <v>140</v>
      </c>
      <c r="E7" t="s">
        <v>12</v>
      </c>
      <c r="F7" s="3" t="s">
        <v>139</v>
      </c>
      <c r="H7" s="12">
        <v>87242</v>
      </c>
      <c r="I7" s="10"/>
      <c r="J7" s="6"/>
    </row>
    <row r="8" spans="1:10">
      <c r="A8" t="s">
        <v>15</v>
      </c>
      <c r="B8" t="s">
        <v>16</v>
      </c>
      <c r="C8" t="s">
        <v>17</v>
      </c>
      <c r="D8" t="s">
        <v>18</v>
      </c>
      <c r="E8" t="s">
        <v>19</v>
      </c>
      <c r="F8" s="3" t="s">
        <v>20</v>
      </c>
      <c r="G8" t="s">
        <v>21</v>
      </c>
      <c r="I8" s="10">
        <v>200000</v>
      </c>
      <c r="J8" s="6" t="s">
        <v>99</v>
      </c>
    </row>
    <row r="9" spans="1:10">
      <c r="A9" t="s">
        <v>15</v>
      </c>
      <c r="B9" t="s">
        <v>16</v>
      </c>
      <c r="C9" t="s">
        <v>22</v>
      </c>
      <c r="D9" t="s">
        <v>23</v>
      </c>
      <c r="E9" t="s">
        <v>19</v>
      </c>
      <c r="F9" s="3" t="s">
        <v>20</v>
      </c>
      <c r="G9" t="s">
        <v>24</v>
      </c>
      <c r="H9" s="12">
        <v>228902</v>
      </c>
      <c r="I9" s="10">
        <v>200000</v>
      </c>
      <c r="J9" s="6" t="s">
        <v>100</v>
      </c>
    </row>
    <row r="10" spans="1:10" ht="38.25">
      <c r="A10" t="s">
        <v>25</v>
      </c>
      <c r="B10" t="s">
        <v>10</v>
      </c>
      <c r="C10" t="s">
        <v>26</v>
      </c>
      <c r="D10" t="s">
        <v>27</v>
      </c>
      <c r="E10" t="s">
        <v>19</v>
      </c>
      <c r="F10" s="3" t="s">
        <v>20</v>
      </c>
      <c r="G10" t="s">
        <v>14</v>
      </c>
      <c r="H10" s="12">
        <v>64685</v>
      </c>
      <c r="I10" s="10">
        <v>50000</v>
      </c>
      <c r="J10" s="6" t="s">
        <v>101</v>
      </c>
    </row>
    <row r="11" spans="1:10">
      <c r="A11" t="s">
        <v>9</v>
      </c>
      <c r="B11" t="s">
        <v>16</v>
      </c>
      <c r="C11" t="s">
        <v>28</v>
      </c>
      <c r="D11" t="s">
        <v>18</v>
      </c>
      <c r="E11" t="s">
        <v>12</v>
      </c>
      <c r="F11" s="3" t="s">
        <v>29</v>
      </c>
      <c r="G11" t="s">
        <v>24</v>
      </c>
      <c r="H11" s="12">
        <v>85372</v>
      </c>
      <c r="I11" s="11">
        <v>90000</v>
      </c>
      <c r="J11" s="6" t="s">
        <v>102</v>
      </c>
    </row>
    <row r="12" spans="1:10">
      <c r="A12" t="s">
        <v>9</v>
      </c>
      <c r="B12" t="s">
        <v>16</v>
      </c>
      <c r="C12" t="s">
        <v>30</v>
      </c>
      <c r="D12" t="s">
        <v>31</v>
      </c>
      <c r="E12" t="s">
        <v>12</v>
      </c>
      <c r="F12" s="3" t="s">
        <v>32</v>
      </c>
      <c r="G12" t="s">
        <v>21</v>
      </c>
      <c r="H12" s="12">
        <v>84744</v>
      </c>
      <c r="I12" s="11"/>
      <c r="J12" s="6" t="s">
        <v>33</v>
      </c>
    </row>
    <row r="13" spans="1:10">
      <c r="B13" t="s">
        <v>35</v>
      </c>
      <c r="C13" t="s">
        <v>141</v>
      </c>
      <c r="D13" t="s">
        <v>142</v>
      </c>
      <c r="E13" t="s">
        <v>19</v>
      </c>
      <c r="F13" s="3" t="s">
        <v>143</v>
      </c>
      <c r="H13" s="12">
        <v>-731192</v>
      </c>
      <c r="I13" s="11">
        <v>137908</v>
      </c>
      <c r="J13" s="6" t="s">
        <v>144</v>
      </c>
    </row>
    <row r="14" spans="1:10">
      <c r="A14" t="s">
        <v>134</v>
      </c>
      <c r="B14" t="s">
        <v>16</v>
      </c>
      <c r="C14" t="s">
        <v>132</v>
      </c>
      <c r="D14" t="s">
        <v>133</v>
      </c>
      <c r="E14" t="s">
        <v>19</v>
      </c>
      <c r="F14" s="3" t="s">
        <v>135</v>
      </c>
      <c r="H14" s="12">
        <v>-1146709</v>
      </c>
      <c r="I14" s="11">
        <v>-1400000</v>
      </c>
      <c r="J14" s="6" t="s">
        <v>136</v>
      </c>
    </row>
    <row r="15" spans="1:10">
      <c r="B15" t="s">
        <v>35</v>
      </c>
      <c r="C15" t="s">
        <v>145</v>
      </c>
      <c r="D15" t="s">
        <v>146</v>
      </c>
      <c r="H15" s="12">
        <v>-399555</v>
      </c>
      <c r="I15" s="11"/>
      <c r="J15" s="6"/>
    </row>
    <row r="16" spans="1:10">
      <c r="B16" t="s">
        <v>16</v>
      </c>
      <c r="C16" t="s">
        <v>152</v>
      </c>
      <c r="D16" t="s">
        <v>147</v>
      </c>
      <c r="F16" s="3" t="s">
        <v>42</v>
      </c>
      <c r="H16" s="12">
        <v>33663</v>
      </c>
      <c r="I16" s="11"/>
      <c r="J16" s="6" t="s">
        <v>148</v>
      </c>
    </row>
    <row r="17" spans="1:10">
      <c r="A17" t="s">
        <v>25</v>
      </c>
      <c r="B17" t="s">
        <v>16</v>
      </c>
      <c r="C17" t="s">
        <v>149</v>
      </c>
      <c r="D17" t="s">
        <v>150</v>
      </c>
      <c r="E17" t="s">
        <v>19</v>
      </c>
      <c r="F17" s="3" t="s">
        <v>151</v>
      </c>
      <c r="I17" s="11"/>
      <c r="J17" s="6"/>
    </row>
    <row r="18" spans="1:10">
      <c r="A18" t="s">
        <v>15</v>
      </c>
      <c r="B18" t="s">
        <v>16</v>
      </c>
      <c r="C18" t="s">
        <v>153</v>
      </c>
      <c r="D18" t="s">
        <v>154</v>
      </c>
      <c r="E18" t="s">
        <v>19</v>
      </c>
      <c r="F18" s="3" t="s">
        <v>155</v>
      </c>
      <c r="I18" s="11"/>
      <c r="J18" s="6"/>
    </row>
    <row r="19" spans="1:10">
      <c r="A19" t="s">
        <v>157</v>
      </c>
      <c r="B19" t="s">
        <v>35</v>
      </c>
      <c r="C19" t="s">
        <v>156</v>
      </c>
      <c r="E19" t="s">
        <v>19</v>
      </c>
      <c r="F19" s="3" t="s">
        <v>42</v>
      </c>
      <c r="H19" s="12">
        <v>139081</v>
      </c>
      <c r="I19" s="11"/>
      <c r="J19" s="6"/>
    </row>
    <row r="20" spans="1:10">
      <c r="A20" t="s">
        <v>134</v>
      </c>
      <c r="B20" t="s">
        <v>16</v>
      </c>
      <c r="C20" t="s">
        <v>158</v>
      </c>
      <c r="F20" s="3" t="s">
        <v>42</v>
      </c>
      <c r="H20" s="12">
        <v>29050</v>
      </c>
      <c r="I20" s="11"/>
      <c r="J20" s="6"/>
    </row>
    <row r="21" spans="1:10">
      <c r="A21" t="s">
        <v>134</v>
      </c>
      <c r="B21" t="s">
        <v>35</v>
      </c>
      <c r="C21" t="s">
        <v>438</v>
      </c>
      <c r="H21" s="12">
        <v>26460</v>
      </c>
      <c r="I21" s="11"/>
      <c r="J21" s="6"/>
    </row>
    <row r="22" spans="1:10">
      <c r="A22" t="s">
        <v>34</v>
      </c>
      <c r="B22" t="s">
        <v>35</v>
      </c>
      <c r="C22" t="s">
        <v>36</v>
      </c>
      <c r="D22" t="s">
        <v>37</v>
      </c>
      <c r="E22" t="s">
        <v>12</v>
      </c>
      <c r="F22" s="3" t="s">
        <v>38</v>
      </c>
      <c r="G22" t="s">
        <v>14</v>
      </c>
      <c r="H22" s="12">
        <v>89399</v>
      </c>
      <c r="I22" s="11"/>
      <c r="J22" s="6" t="s">
        <v>39</v>
      </c>
    </row>
    <row r="23" spans="1:10">
      <c r="A23" t="s">
        <v>34</v>
      </c>
      <c r="B23" t="s">
        <v>16</v>
      </c>
      <c r="C23" t="s">
        <v>40</v>
      </c>
      <c r="D23" t="s">
        <v>41</v>
      </c>
      <c r="E23" t="s">
        <v>12</v>
      </c>
      <c r="F23" s="3" t="s">
        <v>42</v>
      </c>
      <c r="G23" t="s">
        <v>21</v>
      </c>
      <c r="I23" s="11"/>
      <c r="J23" s="6" t="s">
        <v>43</v>
      </c>
    </row>
    <row r="24" spans="1:10">
      <c r="B24" t="s">
        <v>16</v>
      </c>
      <c r="C24" t="s">
        <v>159</v>
      </c>
      <c r="H24" s="12">
        <v>14480</v>
      </c>
      <c r="I24" s="11"/>
      <c r="J24" s="6" t="s">
        <v>160</v>
      </c>
    </row>
    <row r="25" spans="1:10">
      <c r="B25" t="s">
        <v>35</v>
      </c>
      <c r="C25" t="s">
        <v>161</v>
      </c>
      <c r="D25" t="s">
        <v>162</v>
      </c>
      <c r="E25" t="s">
        <v>19</v>
      </c>
      <c r="F25" s="3" t="s">
        <v>163</v>
      </c>
      <c r="H25" s="12">
        <v>35250</v>
      </c>
      <c r="I25" s="11"/>
      <c r="J25" s="6"/>
    </row>
    <row r="26" spans="1:10">
      <c r="A26" t="s">
        <v>34</v>
      </c>
      <c r="B26" t="s">
        <v>164</v>
      </c>
      <c r="C26" t="s">
        <v>44</v>
      </c>
      <c r="D26" t="s">
        <v>45</v>
      </c>
      <c r="E26" t="s">
        <v>12</v>
      </c>
      <c r="F26" s="3" t="s">
        <v>46</v>
      </c>
      <c r="G26" t="s">
        <v>21</v>
      </c>
      <c r="H26" s="12">
        <v>-36503</v>
      </c>
      <c r="I26" s="11"/>
      <c r="J26" s="6" t="s">
        <v>47</v>
      </c>
    </row>
    <row r="27" spans="1:10">
      <c r="B27" t="s">
        <v>35</v>
      </c>
      <c r="C27" t="s">
        <v>165</v>
      </c>
      <c r="D27" t="s">
        <v>166</v>
      </c>
      <c r="E27" t="s">
        <v>12</v>
      </c>
      <c r="F27" s="3" t="s">
        <v>80</v>
      </c>
      <c r="H27" s="12">
        <v>55658</v>
      </c>
      <c r="I27" s="11"/>
      <c r="J27" s="6" t="s">
        <v>167</v>
      </c>
    </row>
    <row r="28" spans="1:10">
      <c r="B28" t="s">
        <v>35</v>
      </c>
      <c r="C28" t="s">
        <v>168</v>
      </c>
      <c r="E28" t="s">
        <v>12</v>
      </c>
      <c r="F28" s="3" t="s">
        <v>170</v>
      </c>
      <c r="H28" s="12">
        <v>35500</v>
      </c>
      <c r="I28" s="11"/>
      <c r="J28" s="6" t="s">
        <v>169</v>
      </c>
    </row>
    <row r="29" spans="1:10">
      <c r="B29" t="s">
        <v>35</v>
      </c>
      <c r="C29" t="s">
        <v>171</v>
      </c>
      <c r="H29" s="12">
        <v>10200</v>
      </c>
      <c r="I29" s="11"/>
      <c r="J29" s="6"/>
    </row>
    <row r="30" spans="1:10">
      <c r="A30" t="s">
        <v>34</v>
      </c>
      <c r="B30" t="s">
        <v>35</v>
      </c>
      <c r="C30" t="s">
        <v>172</v>
      </c>
      <c r="H30" s="12">
        <v>249560</v>
      </c>
      <c r="I30" s="11"/>
      <c r="J30" s="6"/>
    </row>
    <row r="31" spans="1:10">
      <c r="B31" t="s">
        <v>35</v>
      </c>
      <c r="C31" t="s">
        <v>173</v>
      </c>
      <c r="D31" t="s">
        <v>176</v>
      </c>
      <c r="H31" s="12">
        <v>4715</v>
      </c>
      <c r="I31" s="11"/>
      <c r="J31" s="6"/>
    </row>
    <row r="32" spans="1:10">
      <c r="A32" t="s">
        <v>9</v>
      </c>
      <c r="B32" t="s">
        <v>16</v>
      </c>
      <c r="C32" t="s">
        <v>48</v>
      </c>
      <c r="D32" t="s">
        <v>49</v>
      </c>
      <c r="E32" t="s">
        <v>12</v>
      </c>
      <c r="F32" s="3" t="s">
        <v>50</v>
      </c>
      <c r="G32" t="s">
        <v>14</v>
      </c>
      <c r="I32" s="11">
        <v>132000</v>
      </c>
      <c r="J32" s="6" t="s">
        <v>103</v>
      </c>
    </row>
    <row r="33" spans="1:10">
      <c r="A33" t="s">
        <v>25</v>
      </c>
      <c r="B33" t="s">
        <v>16</v>
      </c>
      <c r="C33" t="s">
        <v>175</v>
      </c>
      <c r="D33" t="s">
        <v>177</v>
      </c>
      <c r="E33" t="s">
        <v>19</v>
      </c>
      <c r="F33" s="3" t="s">
        <v>130</v>
      </c>
      <c r="H33" s="12">
        <v>-101809</v>
      </c>
      <c r="I33" s="11"/>
      <c r="J33" s="6" t="s">
        <v>188</v>
      </c>
    </row>
    <row r="34" spans="1:10" ht="25.5">
      <c r="B34" t="s">
        <v>16</v>
      </c>
      <c r="C34" t="s">
        <v>178</v>
      </c>
      <c r="D34" t="s">
        <v>179</v>
      </c>
      <c r="E34" t="s">
        <v>19</v>
      </c>
      <c r="F34" s="3" t="s">
        <v>180</v>
      </c>
      <c r="H34" s="12">
        <v>104451</v>
      </c>
      <c r="I34" s="11"/>
      <c r="J34" s="6" t="s">
        <v>182</v>
      </c>
    </row>
    <row r="35" spans="1:10">
      <c r="B35" t="s">
        <v>35</v>
      </c>
      <c r="C35" t="s">
        <v>181</v>
      </c>
      <c r="E35" t="s">
        <v>12</v>
      </c>
      <c r="H35" s="12">
        <v>15000</v>
      </c>
      <c r="I35" s="11"/>
      <c r="J35" s="6"/>
    </row>
    <row r="36" spans="1:10">
      <c r="A36" t="s">
        <v>34</v>
      </c>
      <c r="B36" t="s">
        <v>16</v>
      </c>
      <c r="C36" t="s">
        <v>51</v>
      </c>
      <c r="D36" t="s">
        <v>52</v>
      </c>
      <c r="E36" t="s">
        <v>19</v>
      </c>
      <c r="F36" s="3" t="s">
        <v>53</v>
      </c>
      <c r="G36" t="s">
        <v>14</v>
      </c>
      <c r="H36" s="12">
        <v>93109</v>
      </c>
      <c r="I36" s="11">
        <v>120000</v>
      </c>
      <c r="J36" s="6" t="s">
        <v>105</v>
      </c>
    </row>
    <row r="37" spans="1:10" s="13" customFormat="1" ht="25.5">
      <c r="A37" s="13" t="s">
        <v>9</v>
      </c>
      <c r="B37" s="13" t="s">
        <v>16</v>
      </c>
      <c r="C37" s="13" t="s">
        <v>54</v>
      </c>
      <c r="D37" s="13" t="s">
        <v>55</v>
      </c>
      <c r="E37" s="13" t="s">
        <v>12</v>
      </c>
      <c r="F37" s="14" t="s">
        <v>56</v>
      </c>
      <c r="G37" s="13" t="s">
        <v>108</v>
      </c>
      <c r="H37" s="21">
        <v>-53072</v>
      </c>
      <c r="I37" s="15">
        <v>36000</v>
      </c>
      <c r="J37" s="16" t="s">
        <v>104</v>
      </c>
    </row>
    <row r="38" spans="1:10">
      <c r="B38" t="s">
        <v>35</v>
      </c>
      <c r="C38" t="s">
        <v>183</v>
      </c>
      <c r="D38" t="s">
        <v>154</v>
      </c>
      <c r="E38" t="s">
        <v>19</v>
      </c>
      <c r="F38" s="3" t="s">
        <v>184</v>
      </c>
      <c r="H38" s="12">
        <v>-325600</v>
      </c>
      <c r="I38" s="11">
        <v>10000</v>
      </c>
      <c r="J38" s="6"/>
    </row>
    <row r="39" spans="1:10">
      <c r="B39" t="s">
        <v>35</v>
      </c>
      <c r="C39" t="s">
        <v>185</v>
      </c>
      <c r="D39" t="s">
        <v>186</v>
      </c>
      <c r="E39" t="s">
        <v>12</v>
      </c>
      <c r="F39" s="3" t="s">
        <v>180</v>
      </c>
      <c r="H39" s="12">
        <v>5440</v>
      </c>
      <c r="I39" s="11"/>
      <c r="J39" s="6"/>
    </row>
    <row r="40" spans="1:10">
      <c r="B40" t="s">
        <v>35</v>
      </c>
      <c r="C40" t="s">
        <v>187</v>
      </c>
      <c r="D40" t="s">
        <v>189</v>
      </c>
      <c r="F40" s="3" t="s">
        <v>190</v>
      </c>
      <c r="H40" s="12">
        <v>3300</v>
      </c>
      <c r="I40" s="11"/>
      <c r="J40" s="6"/>
    </row>
    <row r="41" spans="1:10">
      <c r="B41" t="s">
        <v>16</v>
      </c>
      <c r="C41" t="s">
        <v>191</v>
      </c>
      <c r="D41" t="s">
        <v>72</v>
      </c>
      <c r="E41" t="s">
        <v>12</v>
      </c>
      <c r="F41" s="3" t="s">
        <v>192</v>
      </c>
      <c r="H41" s="12">
        <v>108075</v>
      </c>
      <c r="I41" s="11"/>
      <c r="J41" s="6"/>
    </row>
    <row r="42" spans="1:10" s="13" customFormat="1" ht="25.5">
      <c r="B42" s="13" t="s">
        <v>16</v>
      </c>
      <c r="C42" s="13" t="s">
        <v>193</v>
      </c>
      <c r="D42" s="13" t="s">
        <v>72</v>
      </c>
      <c r="F42" s="14" t="s">
        <v>194</v>
      </c>
      <c r="H42" s="21">
        <f>-245902-145064</f>
        <v>-390966</v>
      </c>
      <c r="I42" s="15"/>
      <c r="J42" s="16" t="s">
        <v>195</v>
      </c>
    </row>
    <row r="43" spans="1:10">
      <c r="B43" t="s">
        <v>35</v>
      </c>
      <c r="C43" t="s">
        <v>196</v>
      </c>
      <c r="H43" s="12">
        <v>13824</v>
      </c>
      <c r="I43" s="11"/>
      <c r="J43" s="6"/>
    </row>
    <row r="44" spans="1:10">
      <c r="A44" t="s">
        <v>134</v>
      </c>
      <c r="B44" t="s">
        <v>16</v>
      </c>
      <c r="C44" t="s">
        <v>197</v>
      </c>
      <c r="D44" t="s">
        <v>154</v>
      </c>
      <c r="E44" t="s">
        <v>19</v>
      </c>
      <c r="F44" s="3" t="s">
        <v>13</v>
      </c>
      <c r="H44" s="12">
        <v>478100</v>
      </c>
      <c r="I44" s="11"/>
      <c r="J44" s="6"/>
    </row>
    <row r="45" spans="1:10" ht="38.25">
      <c r="A45" t="s">
        <v>34</v>
      </c>
      <c r="B45" t="s">
        <v>35</v>
      </c>
      <c r="C45" t="s">
        <v>57</v>
      </c>
      <c r="D45" t="s">
        <v>58</v>
      </c>
      <c r="E45" t="s">
        <v>19</v>
      </c>
      <c r="F45" s="3" t="s">
        <v>59</v>
      </c>
      <c r="G45" t="s">
        <v>108</v>
      </c>
      <c r="H45" s="12">
        <v>-103984</v>
      </c>
      <c r="I45" s="11">
        <v>148483</v>
      </c>
      <c r="J45" s="3" t="s">
        <v>440</v>
      </c>
    </row>
    <row r="46" spans="1:10" ht="38.25">
      <c r="A46" t="s">
        <v>9</v>
      </c>
      <c r="B46" t="s">
        <v>35</v>
      </c>
      <c r="C46" t="s">
        <v>60</v>
      </c>
      <c r="D46" t="s">
        <v>61</v>
      </c>
      <c r="E46" t="s">
        <v>12</v>
      </c>
      <c r="F46" s="3" t="s">
        <v>62</v>
      </c>
      <c r="G46" t="s">
        <v>24</v>
      </c>
      <c r="H46" s="12">
        <v>109965</v>
      </c>
      <c r="I46" s="11">
        <v>120000</v>
      </c>
      <c r="J46" s="3" t="s">
        <v>106</v>
      </c>
    </row>
    <row r="47" spans="1:10" s="13" customFormat="1">
      <c r="B47" s="13" t="s">
        <v>16</v>
      </c>
      <c r="C47" s="13" t="s">
        <v>198</v>
      </c>
      <c r="F47" s="14"/>
      <c r="H47" s="21"/>
      <c r="I47" s="15">
        <v>-350000</v>
      </c>
      <c r="J47" s="14" t="s">
        <v>200</v>
      </c>
    </row>
    <row r="48" spans="1:10">
      <c r="A48" s="13" t="s">
        <v>15</v>
      </c>
      <c r="B48" t="s">
        <v>35</v>
      </c>
      <c r="C48" t="s">
        <v>199</v>
      </c>
      <c r="D48" t="s">
        <v>202</v>
      </c>
      <c r="E48" t="s">
        <v>12</v>
      </c>
      <c r="F48" s="3" t="s">
        <v>201</v>
      </c>
      <c r="I48" s="11">
        <v>16433</v>
      </c>
      <c r="J48" s="3" t="s">
        <v>97</v>
      </c>
    </row>
    <row r="49" spans="1:10">
      <c r="A49" t="s">
        <v>134</v>
      </c>
      <c r="B49" t="s">
        <v>16</v>
      </c>
      <c r="C49" t="s">
        <v>203</v>
      </c>
      <c r="D49" t="s">
        <v>154</v>
      </c>
      <c r="E49" t="s">
        <v>12</v>
      </c>
      <c r="F49" s="3" t="s">
        <v>204</v>
      </c>
      <c r="I49" s="11">
        <v>-80000</v>
      </c>
      <c r="J49" s="3" t="s">
        <v>205</v>
      </c>
    </row>
    <row r="50" spans="1:10">
      <c r="B50" t="s">
        <v>35</v>
      </c>
      <c r="C50" t="s">
        <v>127</v>
      </c>
      <c r="H50" s="12">
        <v>8848</v>
      </c>
      <c r="I50" s="11">
        <v>8008</v>
      </c>
      <c r="J50" s="3" t="s">
        <v>335</v>
      </c>
    </row>
    <row r="51" spans="1:10" s="13" customFormat="1">
      <c r="B51" s="13" t="s">
        <v>35</v>
      </c>
      <c r="C51" s="13" t="s">
        <v>206</v>
      </c>
      <c r="D51" s="13" t="s">
        <v>207</v>
      </c>
      <c r="E51" s="13" t="s">
        <v>12</v>
      </c>
      <c r="F51" s="14" t="s">
        <v>209</v>
      </c>
      <c r="H51" s="21">
        <v>71922</v>
      </c>
      <c r="I51" s="15"/>
      <c r="J51" s="14" t="s">
        <v>208</v>
      </c>
    </row>
    <row r="52" spans="1:10" s="13" customFormat="1">
      <c r="B52" s="13" t="s">
        <v>16</v>
      </c>
      <c r="C52" s="13" t="s">
        <v>210</v>
      </c>
      <c r="F52" s="14"/>
      <c r="H52" s="21">
        <v>65075</v>
      </c>
      <c r="I52" s="15"/>
      <c r="J52" s="14"/>
    </row>
    <row r="53" spans="1:10" s="13" customFormat="1">
      <c r="B53" s="13" t="s">
        <v>16</v>
      </c>
      <c r="C53" s="13" t="s">
        <v>211</v>
      </c>
      <c r="D53" s="13" t="s">
        <v>154</v>
      </c>
      <c r="E53" s="13" t="s">
        <v>19</v>
      </c>
      <c r="F53" s="14" t="s">
        <v>194</v>
      </c>
      <c r="H53" s="21">
        <v>-1282573</v>
      </c>
      <c r="I53" s="15"/>
      <c r="J53" s="14"/>
    </row>
    <row r="54" spans="1:10" s="13" customFormat="1">
      <c r="A54" s="13" t="s">
        <v>134</v>
      </c>
      <c r="B54" s="13" t="s">
        <v>16</v>
      </c>
      <c r="C54" s="13" t="s">
        <v>212</v>
      </c>
      <c r="D54" s="13" t="s">
        <v>214</v>
      </c>
      <c r="E54" s="13" t="s">
        <v>12</v>
      </c>
      <c r="F54" s="14" t="s">
        <v>42</v>
      </c>
      <c r="H54" s="21">
        <v>39312</v>
      </c>
      <c r="I54" s="15">
        <v>1000</v>
      </c>
      <c r="J54" s="14" t="s">
        <v>213</v>
      </c>
    </row>
    <row r="55" spans="1:10" s="13" customFormat="1">
      <c r="B55" s="13" t="s">
        <v>16</v>
      </c>
      <c r="C55" s="13" t="s">
        <v>215</v>
      </c>
      <c r="D55" s="13" t="s">
        <v>154</v>
      </c>
      <c r="E55" s="13" t="s">
        <v>12</v>
      </c>
      <c r="F55" s="14" t="s">
        <v>217</v>
      </c>
      <c r="H55" s="21">
        <v>-166407</v>
      </c>
      <c r="I55" s="15"/>
      <c r="J55" s="14" t="s">
        <v>216</v>
      </c>
    </row>
    <row r="56" spans="1:10" s="13" customFormat="1">
      <c r="A56" s="13" t="s">
        <v>134</v>
      </c>
      <c r="B56" s="13" t="s">
        <v>35</v>
      </c>
      <c r="C56" s="13" t="s">
        <v>218</v>
      </c>
      <c r="F56" s="14"/>
      <c r="H56" s="21"/>
      <c r="I56" s="15"/>
      <c r="J56" s="14"/>
    </row>
    <row r="57" spans="1:10">
      <c r="A57" t="s">
        <v>15</v>
      </c>
      <c r="B57" t="s">
        <v>16</v>
      </c>
      <c r="C57" t="s">
        <v>68</v>
      </c>
      <c r="D57" t="s">
        <v>69</v>
      </c>
      <c r="E57" t="s">
        <v>19</v>
      </c>
      <c r="F57" s="3" t="s">
        <v>70</v>
      </c>
      <c r="G57" t="s">
        <v>21</v>
      </c>
      <c r="H57" s="12">
        <v>918205</v>
      </c>
      <c r="I57" s="11"/>
      <c r="J57" s="3" t="s">
        <v>111</v>
      </c>
    </row>
    <row r="58" spans="1:10" s="13" customFormat="1">
      <c r="B58" s="13" t="s">
        <v>35</v>
      </c>
      <c r="C58" s="13" t="s">
        <v>219</v>
      </c>
      <c r="D58" s="13" t="s">
        <v>221</v>
      </c>
      <c r="E58" s="13" t="s">
        <v>12</v>
      </c>
      <c r="F58" s="14" t="s">
        <v>220</v>
      </c>
      <c r="H58" s="21">
        <v>5752</v>
      </c>
      <c r="I58" s="15"/>
      <c r="J58" s="14"/>
    </row>
    <row r="59" spans="1:10" ht="25.5">
      <c r="A59" t="s">
        <v>34</v>
      </c>
      <c r="B59" t="s">
        <v>16</v>
      </c>
      <c r="C59" t="s">
        <v>63</v>
      </c>
      <c r="D59" t="s">
        <v>64</v>
      </c>
      <c r="E59" t="s">
        <v>12</v>
      </c>
      <c r="F59" s="3" t="s">
        <v>65</v>
      </c>
      <c r="G59" t="s">
        <v>10</v>
      </c>
      <c r="H59" s="12">
        <v>-373343</v>
      </c>
      <c r="I59" s="11"/>
      <c r="J59" s="3" t="s">
        <v>110</v>
      </c>
    </row>
    <row r="60" spans="1:10" ht="25.5">
      <c r="A60" t="s">
        <v>34</v>
      </c>
      <c r="B60" t="s">
        <v>35</v>
      </c>
      <c r="C60" t="s">
        <v>66</v>
      </c>
      <c r="D60" t="s">
        <v>67</v>
      </c>
      <c r="E60" t="s">
        <v>12</v>
      </c>
      <c r="F60" s="3" t="s">
        <v>109</v>
      </c>
      <c r="G60" t="s">
        <v>24</v>
      </c>
      <c r="I60" s="11">
        <v>78000</v>
      </c>
      <c r="J60" s="3" t="s">
        <v>107</v>
      </c>
    </row>
    <row r="61" spans="1:10">
      <c r="A61" t="s">
        <v>134</v>
      </c>
      <c r="B61" t="s">
        <v>16</v>
      </c>
      <c r="C61" t="s">
        <v>222</v>
      </c>
      <c r="D61" t="s">
        <v>230</v>
      </c>
      <c r="E61" t="s">
        <v>12</v>
      </c>
      <c r="F61" s="3" t="s">
        <v>231</v>
      </c>
      <c r="H61" s="12">
        <v>66598</v>
      </c>
      <c r="I61" s="11">
        <v>30000</v>
      </c>
      <c r="J61" s="3" t="s">
        <v>228</v>
      </c>
    </row>
    <row r="62" spans="1:10" s="13" customFormat="1">
      <c r="A62" s="13" t="s">
        <v>25</v>
      </c>
      <c r="B62" s="13" t="s">
        <v>35</v>
      </c>
      <c r="C62" s="13" t="s">
        <v>223</v>
      </c>
      <c r="D62" s="13" t="s">
        <v>226</v>
      </c>
      <c r="E62" s="13" t="s">
        <v>19</v>
      </c>
      <c r="F62" s="14" t="s">
        <v>225</v>
      </c>
      <c r="H62" s="21"/>
      <c r="I62" s="15"/>
      <c r="J62" s="14" t="s">
        <v>229</v>
      </c>
    </row>
    <row r="63" spans="1:10">
      <c r="B63" t="s">
        <v>35</v>
      </c>
      <c r="C63" t="s">
        <v>224</v>
      </c>
      <c r="D63" t="s">
        <v>23</v>
      </c>
      <c r="E63" t="s">
        <v>19</v>
      </c>
      <c r="F63" s="3" t="s">
        <v>227</v>
      </c>
      <c r="H63" s="12">
        <v>12142</v>
      </c>
      <c r="I63" s="11"/>
    </row>
    <row r="64" spans="1:10">
      <c r="B64" t="s">
        <v>35</v>
      </c>
      <c r="C64" t="s">
        <v>232</v>
      </c>
      <c r="F64" s="3" t="s">
        <v>233</v>
      </c>
      <c r="H64" s="12">
        <v>-58300</v>
      </c>
      <c r="I64" s="11">
        <v>43725</v>
      </c>
      <c r="J64" s="3" t="s">
        <v>439</v>
      </c>
    </row>
    <row r="65" spans="1:10">
      <c r="A65" t="s">
        <v>34</v>
      </c>
      <c r="B65" t="s">
        <v>35</v>
      </c>
      <c r="C65" t="s">
        <v>120</v>
      </c>
      <c r="D65" t="s">
        <v>122</v>
      </c>
      <c r="E65" t="s">
        <v>12</v>
      </c>
      <c r="F65" s="3" t="s">
        <v>121</v>
      </c>
      <c r="H65" s="12">
        <v>-164520</v>
      </c>
      <c r="I65" s="11">
        <v>180000</v>
      </c>
      <c r="J65" s="3" t="s">
        <v>123</v>
      </c>
    </row>
    <row r="66" spans="1:10">
      <c r="A66" t="s">
        <v>134</v>
      </c>
      <c r="B66" t="s">
        <v>35</v>
      </c>
      <c r="C66" t="s">
        <v>234</v>
      </c>
      <c r="I66" s="11"/>
    </row>
    <row r="67" spans="1:10">
      <c r="A67" t="s">
        <v>34</v>
      </c>
      <c r="B67" t="s">
        <v>16</v>
      </c>
      <c r="C67" t="s">
        <v>71</v>
      </c>
      <c r="D67" t="s">
        <v>72</v>
      </c>
      <c r="E67" t="s">
        <v>19</v>
      </c>
      <c r="F67" s="3" t="s">
        <v>46</v>
      </c>
      <c r="G67" t="s">
        <v>21</v>
      </c>
      <c r="H67" s="12">
        <v>-2738</v>
      </c>
      <c r="I67" s="11"/>
      <c r="J67" s="3" t="s">
        <v>235</v>
      </c>
    </row>
    <row r="68" spans="1:10">
      <c r="B68" t="s">
        <v>16</v>
      </c>
      <c r="C68" t="s">
        <v>236</v>
      </c>
      <c r="D68" t="s">
        <v>237</v>
      </c>
      <c r="E68" t="s">
        <v>12</v>
      </c>
      <c r="F68" s="3" t="s">
        <v>238</v>
      </c>
      <c r="H68" s="12">
        <v>42196</v>
      </c>
      <c r="I68" s="11">
        <v>30000</v>
      </c>
    </row>
    <row r="69" spans="1:10">
      <c r="B69" t="s">
        <v>35</v>
      </c>
      <c r="C69" t="s">
        <v>239</v>
      </c>
      <c r="H69" s="12">
        <v>3024</v>
      </c>
      <c r="I69" s="11"/>
    </row>
    <row r="70" spans="1:10">
      <c r="A70" t="s">
        <v>241</v>
      </c>
      <c r="B70" t="s">
        <v>35</v>
      </c>
      <c r="C70" t="s">
        <v>240</v>
      </c>
      <c r="D70" t="s">
        <v>242</v>
      </c>
      <c r="E70" t="s">
        <v>12</v>
      </c>
      <c r="F70" s="3" t="s">
        <v>243</v>
      </c>
      <c r="I70" s="11"/>
    </row>
    <row r="71" spans="1:10" s="13" customFormat="1" ht="38.25">
      <c r="A71" s="13" t="s">
        <v>25</v>
      </c>
      <c r="B71" s="13" t="s">
        <v>16</v>
      </c>
      <c r="C71" s="13" t="s">
        <v>73</v>
      </c>
      <c r="D71" s="13" t="s">
        <v>55</v>
      </c>
      <c r="E71" s="13" t="s">
        <v>12</v>
      </c>
      <c r="F71" s="14" t="s">
        <v>74</v>
      </c>
      <c r="G71" s="13" t="s">
        <v>14</v>
      </c>
      <c r="H71" s="21">
        <v>33663</v>
      </c>
      <c r="I71" s="15">
        <v>60000</v>
      </c>
      <c r="J71" s="14" t="s">
        <v>112</v>
      </c>
    </row>
    <row r="72" spans="1:10">
      <c r="A72" t="s">
        <v>25</v>
      </c>
      <c r="B72" t="s">
        <v>35</v>
      </c>
      <c r="C72" t="s">
        <v>244</v>
      </c>
      <c r="D72" t="s">
        <v>245</v>
      </c>
      <c r="E72" t="s">
        <v>12</v>
      </c>
      <c r="F72" s="3" t="s">
        <v>246</v>
      </c>
      <c r="H72" s="12">
        <v>31950</v>
      </c>
      <c r="I72" s="11"/>
      <c r="J72" s="3" t="s">
        <v>247</v>
      </c>
    </row>
    <row r="73" spans="1:10">
      <c r="B73" t="s">
        <v>35</v>
      </c>
      <c r="C73" t="s">
        <v>248</v>
      </c>
      <c r="D73" t="s">
        <v>250</v>
      </c>
      <c r="E73" t="s">
        <v>19</v>
      </c>
      <c r="F73" s="3" t="s">
        <v>249</v>
      </c>
      <c r="H73" s="12">
        <v>35500</v>
      </c>
      <c r="I73" s="11"/>
      <c r="J73" s="3" t="s">
        <v>252</v>
      </c>
    </row>
    <row r="74" spans="1:10">
      <c r="B74" t="s">
        <v>35</v>
      </c>
      <c r="C74" t="s">
        <v>251</v>
      </c>
      <c r="H74" s="12">
        <v>59619</v>
      </c>
      <c r="I74" s="11"/>
      <c r="J74" s="3" t="s">
        <v>253</v>
      </c>
    </row>
    <row r="75" spans="1:10">
      <c r="B75" t="s">
        <v>35</v>
      </c>
      <c r="C75" t="s">
        <v>254</v>
      </c>
      <c r="I75" s="11"/>
    </row>
    <row r="76" spans="1:10" s="13" customFormat="1">
      <c r="A76" s="13" t="s">
        <v>134</v>
      </c>
      <c r="B76" s="13" t="s">
        <v>16</v>
      </c>
      <c r="C76" s="13" t="s">
        <v>255</v>
      </c>
      <c r="D76" s="13" t="s">
        <v>256</v>
      </c>
      <c r="E76" s="13" t="s">
        <v>19</v>
      </c>
      <c r="F76" s="14" t="s">
        <v>42</v>
      </c>
      <c r="H76" s="21">
        <v>-159281</v>
      </c>
      <c r="I76" s="15"/>
      <c r="J76" s="14"/>
    </row>
    <row r="77" spans="1:10">
      <c r="B77" t="s">
        <v>35</v>
      </c>
      <c r="C77" t="s">
        <v>257</v>
      </c>
      <c r="D77" t="s">
        <v>258</v>
      </c>
      <c r="F77" s="3" t="s">
        <v>155</v>
      </c>
      <c r="H77" s="12">
        <v>-373655</v>
      </c>
      <c r="I77" s="11">
        <v>134346</v>
      </c>
      <c r="J77" s="3" t="s">
        <v>441</v>
      </c>
    </row>
    <row r="78" spans="1:10">
      <c r="B78" t="s">
        <v>16</v>
      </c>
      <c r="C78" t="s">
        <v>259</v>
      </c>
      <c r="D78" t="s">
        <v>260</v>
      </c>
      <c r="E78" t="s">
        <v>12</v>
      </c>
      <c r="F78" s="3" t="s">
        <v>261</v>
      </c>
      <c r="H78" s="12">
        <v>7722</v>
      </c>
      <c r="I78" s="11"/>
    </row>
    <row r="79" spans="1:10">
      <c r="B79" t="s">
        <v>16</v>
      </c>
      <c r="C79" t="s">
        <v>262</v>
      </c>
      <c r="D79" t="s">
        <v>146</v>
      </c>
      <c r="E79" t="s">
        <v>12</v>
      </c>
      <c r="F79" s="3" t="s">
        <v>263</v>
      </c>
      <c r="H79" s="12">
        <v>35397</v>
      </c>
      <c r="I79" s="11"/>
    </row>
    <row r="80" spans="1:10" s="13" customFormat="1">
      <c r="A80" s="13" t="s">
        <v>15</v>
      </c>
      <c r="C80" s="13" t="s">
        <v>75</v>
      </c>
      <c r="D80" s="13" t="s">
        <v>72</v>
      </c>
      <c r="E80" s="13" t="s">
        <v>19</v>
      </c>
      <c r="F80" s="14" t="s">
        <v>117</v>
      </c>
      <c r="H80" s="21">
        <v>108857</v>
      </c>
      <c r="I80" s="15"/>
      <c r="J80" s="14" t="s">
        <v>113</v>
      </c>
    </row>
    <row r="81" spans="1:10">
      <c r="A81" t="s">
        <v>15</v>
      </c>
      <c r="B81" t="s">
        <v>16</v>
      </c>
      <c r="C81" t="s">
        <v>264</v>
      </c>
      <c r="H81" s="12">
        <v>-252694</v>
      </c>
      <c r="I81" s="11"/>
    </row>
    <row r="82" spans="1:10">
      <c r="B82" t="s">
        <v>16</v>
      </c>
      <c r="C82" t="s">
        <v>265</v>
      </c>
      <c r="I82" s="11"/>
    </row>
    <row r="83" spans="1:10">
      <c r="B83" t="s">
        <v>35</v>
      </c>
      <c r="C83" t="s">
        <v>266</v>
      </c>
      <c r="D83" t="s">
        <v>260</v>
      </c>
      <c r="E83" t="s">
        <v>19</v>
      </c>
      <c r="F83" s="3" t="s">
        <v>267</v>
      </c>
      <c r="I83" s="11"/>
    </row>
    <row r="84" spans="1:10">
      <c r="A84" t="s">
        <v>15</v>
      </c>
      <c r="B84" t="s">
        <v>35</v>
      </c>
      <c r="C84" t="s">
        <v>268</v>
      </c>
      <c r="D84" t="s">
        <v>154</v>
      </c>
      <c r="E84" t="s">
        <v>19</v>
      </c>
      <c r="F84" s="3" t="s">
        <v>225</v>
      </c>
      <c r="I84" s="11"/>
    </row>
    <row r="85" spans="1:10">
      <c r="B85" t="s">
        <v>16</v>
      </c>
      <c r="C85" t="s">
        <v>269</v>
      </c>
      <c r="D85" t="s">
        <v>270</v>
      </c>
      <c r="I85" s="11"/>
    </row>
    <row r="86" spans="1:10" ht="25.5">
      <c r="A86" t="s">
        <v>25</v>
      </c>
      <c r="B86" t="s">
        <v>35</v>
      </c>
      <c r="C86" t="s">
        <v>271</v>
      </c>
      <c r="D86" t="s">
        <v>273</v>
      </c>
      <c r="E86" t="s">
        <v>19</v>
      </c>
      <c r="F86" s="3" t="s">
        <v>272</v>
      </c>
      <c r="H86" s="12">
        <v>-62598</v>
      </c>
      <c r="I86" s="11">
        <v>148685</v>
      </c>
      <c r="J86" s="3" t="s">
        <v>442</v>
      </c>
    </row>
    <row r="87" spans="1:10">
      <c r="B87" t="s">
        <v>16</v>
      </c>
      <c r="C87" t="s">
        <v>274</v>
      </c>
      <c r="F87" s="3" t="s">
        <v>275</v>
      </c>
      <c r="H87" s="12">
        <v>9566</v>
      </c>
      <c r="I87" s="11">
        <v>60438</v>
      </c>
      <c r="J87" s="3" t="s">
        <v>443</v>
      </c>
    </row>
    <row r="88" spans="1:10" s="13" customFormat="1">
      <c r="A88" s="13" t="s">
        <v>34</v>
      </c>
      <c r="B88" s="13" t="s">
        <v>35</v>
      </c>
      <c r="C88" s="13" t="s">
        <v>76</v>
      </c>
      <c r="D88" s="13" t="s">
        <v>69</v>
      </c>
      <c r="E88" s="13" t="s">
        <v>19</v>
      </c>
      <c r="F88" s="14" t="s">
        <v>77</v>
      </c>
      <c r="G88" s="13" t="s">
        <v>21</v>
      </c>
      <c r="H88" s="21">
        <v>1480075</v>
      </c>
      <c r="I88" s="15"/>
      <c r="J88" s="14"/>
    </row>
    <row r="89" spans="1:10">
      <c r="A89" t="s">
        <v>25</v>
      </c>
      <c r="B89" t="s">
        <v>16</v>
      </c>
      <c r="C89" t="s">
        <v>276</v>
      </c>
      <c r="D89" t="s">
        <v>278</v>
      </c>
      <c r="E89" t="s">
        <v>19</v>
      </c>
      <c r="F89" s="3" t="s">
        <v>279</v>
      </c>
      <c r="I89" s="11"/>
    </row>
    <row r="90" spans="1:10">
      <c r="A90" t="s">
        <v>134</v>
      </c>
      <c r="B90" t="s">
        <v>35</v>
      </c>
      <c r="C90" t="s">
        <v>277</v>
      </c>
      <c r="D90" t="s">
        <v>280</v>
      </c>
      <c r="E90" t="s">
        <v>12</v>
      </c>
      <c r="H90" s="12">
        <v>29640</v>
      </c>
      <c r="I90" s="11"/>
      <c r="J90" s="3" t="s">
        <v>281</v>
      </c>
    </row>
    <row r="91" spans="1:10" ht="25.5">
      <c r="A91" t="s">
        <v>15</v>
      </c>
      <c r="B91" t="s">
        <v>16</v>
      </c>
      <c r="C91" t="s">
        <v>78</v>
      </c>
      <c r="D91" t="s">
        <v>79</v>
      </c>
      <c r="E91" t="s">
        <v>19</v>
      </c>
      <c r="F91" s="3" t="s">
        <v>80</v>
      </c>
      <c r="H91" s="12">
        <v>437918</v>
      </c>
      <c r="I91" s="11">
        <v>50000</v>
      </c>
      <c r="J91" s="3" t="s">
        <v>114</v>
      </c>
    </row>
    <row r="92" spans="1:10">
      <c r="B92" t="s">
        <v>16</v>
      </c>
      <c r="C92" t="s">
        <v>282</v>
      </c>
      <c r="D92" t="s">
        <v>284</v>
      </c>
      <c r="E92" t="s">
        <v>19</v>
      </c>
      <c r="F92" s="3" t="s">
        <v>249</v>
      </c>
      <c r="I92" s="11"/>
      <c r="J92" s="3" t="s">
        <v>283</v>
      </c>
    </row>
    <row r="93" spans="1:10">
      <c r="A93" t="s">
        <v>25</v>
      </c>
      <c r="B93" t="s">
        <v>16</v>
      </c>
      <c r="C93" t="s">
        <v>81</v>
      </c>
      <c r="D93" t="s">
        <v>82</v>
      </c>
      <c r="E93" t="s">
        <v>19</v>
      </c>
      <c r="F93" s="3" t="s">
        <v>13</v>
      </c>
      <c r="G93" t="s">
        <v>21</v>
      </c>
      <c r="H93" s="12">
        <v>64787</v>
      </c>
      <c r="I93" s="11">
        <v>50000</v>
      </c>
      <c r="J93" s="3" t="s">
        <v>115</v>
      </c>
    </row>
    <row r="94" spans="1:10">
      <c r="B94" t="s">
        <v>35</v>
      </c>
      <c r="C94" t="s">
        <v>285</v>
      </c>
      <c r="D94" t="s">
        <v>290</v>
      </c>
      <c r="E94" t="s">
        <v>19</v>
      </c>
      <c r="F94" s="3" t="s">
        <v>291</v>
      </c>
      <c r="H94" s="12">
        <v>33140</v>
      </c>
      <c r="I94" s="11"/>
    </row>
    <row r="95" spans="1:10">
      <c r="B95" t="s">
        <v>16</v>
      </c>
      <c r="C95" t="s">
        <v>286</v>
      </c>
      <c r="E95" t="s">
        <v>12</v>
      </c>
      <c r="I95" s="11"/>
    </row>
    <row r="96" spans="1:10">
      <c r="B96" t="s">
        <v>35</v>
      </c>
      <c r="C96" t="s">
        <v>287</v>
      </c>
      <c r="E96" t="s">
        <v>12</v>
      </c>
      <c r="H96" s="12">
        <v>39723</v>
      </c>
      <c r="I96" s="11"/>
      <c r="J96" s="3" t="s">
        <v>281</v>
      </c>
    </row>
    <row r="97" spans="1:10">
      <c r="B97" t="s">
        <v>35</v>
      </c>
      <c r="C97" t="s">
        <v>288</v>
      </c>
      <c r="E97" t="s">
        <v>12</v>
      </c>
      <c r="H97" s="12">
        <v>2070</v>
      </c>
      <c r="I97" s="11"/>
    </row>
    <row r="98" spans="1:10" s="13" customFormat="1">
      <c r="A98" s="13" t="s">
        <v>134</v>
      </c>
      <c r="B98" s="13" t="s">
        <v>16</v>
      </c>
      <c r="C98" s="13" t="s">
        <v>289</v>
      </c>
      <c r="D98" s="13" t="s">
        <v>292</v>
      </c>
      <c r="E98" s="13" t="s">
        <v>12</v>
      </c>
      <c r="F98" s="14" t="s">
        <v>293</v>
      </c>
      <c r="H98" s="21">
        <v>57847</v>
      </c>
      <c r="I98" s="15">
        <v>92240</v>
      </c>
      <c r="J98" s="14" t="s">
        <v>444</v>
      </c>
    </row>
    <row r="99" spans="1:10" s="13" customFormat="1" ht="25.5">
      <c r="A99" s="13" t="s">
        <v>25</v>
      </c>
      <c r="B99" s="13" t="s">
        <v>35</v>
      </c>
      <c r="C99" s="13" t="s">
        <v>294</v>
      </c>
      <c r="D99" s="13" t="s">
        <v>295</v>
      </c>
      <c r="E99" s="13" t="s">
        <v>19</v>
      </c>
      <c r="F99" s="14" t="s">
        <v>297</v>
      </c>
      <c r="H99" s="21"/>
      <c r="I99" s="15"/>
      <c r="J99" s="14" t="s">
        <v>296</v>
      </c>
    </row>
    <row r="100" spans="1:10" s="17" customFormat="1">
      <c r="A100" s="17" t="s">
        <v>157</v>
      </c>
      <c r="B100" s="17" t="s">
        <v>16</v>
      </c>
      <c r="C100" s="17" t="s">
        <v>299</v>
      </c>
      <c r="D100" s="17" t="s">
        <v>302</v>
      </c>
      <c r="E100" s="17" t="s">
        <v>19</v>
      </c>
      <c r="F100" s="18" t="s">
        <v>303</v>
      </c>
      <c r="H100" s="20">
        <v>-1065622</v>
      </c>
      <c r="I100" s="19">
        <v>-250000</v>
      </c>
      <c r="J100" s="18" t="s">
        <v>136</v>
      </c>
    </row>
    <row r="101" spans="1:10" s="13" customFormat="1">
      <c r="A101" s="13" t="s">
        <v>15</v>
      </c>
      <c r="B101" s="13" t="s">
        <v>35</v>
      </c>
      <c r="C101" s="13" t="s">
        <v>298</v>
      </c>
      <c r="D101" s="13" t="s">
        <v>146</v>
      </c>
      <c r="F101" s="14"/>
      <c r="H101" s="21">
        <v>-169050</v>
      </c>
      <c r="I101" s="15">
        <v>6049</v>
      </c>
      <c r="J101" s="14" t="s">
        <v>97</v>
      </c>
    </row>
    <row r="102" spans="1:10" s="13" customFormat="1">
      <c r="A102" s="13" t="s">
        <v>15</v>
      </c>
      <c r="B102" s="13" t="s">
        <v>35</v>
      </c>
      <c r="C102" s="13" t="s">
        <v>301</v>
      </c>
      <c r="F102" s="14"/>
      <c r="H102" s="21">
        <v>6240</v>
      </c>
      <c r="I102" s="15"/>
      <c r="J102" s="14"/>
    </row>
    <row r="103" spans="1:10" s="13" customFormat="1">
      <c r="A103" s="13" t="s">
        <v>134</v>
      </c>
      <c r="B103" s="13" t="s">
        <v>16</v>
      </c>
      <c r="C103" s="13" t="s">
        <v>300</v>
      </c>
      <c r="D103" s="13" t="s">
        <v>306</v>
      </c>
      <c r="E103" s="13" t="s">
        <v>12</v>
      </c>
      <c r="F103" s="14" t="s">
        <v>42</v>
      </c>
      <c r="H103" s="21">
        <v>11152</v>
      </c>
      <c r="I103" s="15"/>
      <c r="J103" s="14" t="s">
        <v>305</v>
      </c>
    </row>
    <row r="104" spans="1:10" s="13" customFormat="1">
      <c r="B104" s="13" t="s">
        <v>16</v>
      </c>
      <c r="C104" s="13" t="s">
        <v>304</v>
      </c>
      <c r="F104" s="14" t="s">
        <v>263</v>
      </c>
      <c r="H104" s="21"/>
      <c r="I104" s="15"/>
      <c r="J104" s="14"/>
    </row>
    <row r="105" spans="1:10">
      <c r="A105" t="s">
        <v>15</v>
      </c>
      <c r="B105" t="s">
        <v>16</v>
      </c>
      <c r="C105" t="s">
        <v>83</v>
      </c>
      <c r="D105" t="s">
        <v>84</v>
      </c>
      <c r="E105" t="s">
        <v>19</v>
      </c>
      <c r="F105" s="3" t="s">
        <v>20</v>
      </c>
      <c r="G105" t="s">
        <v>21</v>
      </c>
      <c r="H105" s="12">
        <f>228054-283613</f>
        <v>-55559</v>
      </c>
      <c r="I105" s="11">
        <v>200000</v>
      </c>
      <c r="J105" s="3" t="s">
        <v>119</v>
      </c>
    </row>
    <row r="106" spans="1:10" ht="38.25">
      <c r="A106" t="s">
        <v>9</v>
      </c>
      <c r="B106" t="s">
        <v>85</v>
      </c>
      <c r="C106" t="s">
        <v>86</v>
      </c>
      <c r="D106" t="s">
        <v>55</v>
      </c>
      <c r="E106" t="s">
        <v>12</v>
      </c>
      <c r="F106" s="3" t="s">
        <v>137</v>
      </c>
      <c r="G106" t="s">
        <v>24</v>
      </c>
      <c r="I106" s="11">
        <v>100000</v>
      </c>
      <c r="J106" s="3" t="s">
        <v>116</v>
      </c>
    </row>
    <row r="107" spans="1:10">
      <c r="A107" t="s">
        <v>34</v>
      </c>
      <c r="B107" t="s">
        <v>16</v>
      </c>
      <c r="C107" t="s">
        <v>307</v>
      </c>
      <c r="D107" t="s">
        <v>154</v>
      </c>
      <c r="E107" t="s">
        <v>19</v>
      </c>
      <c r="F107" s="3" t="s">
        <v>42</v>
      </c>
      <c r="H107" s="12">
        <v>-170096</v>
      </c>
      <c r="I107" s="11"/>
    </row>
    <row r="108" spans="1:10" s="13" customFormat="1">
      <c r="A108" s="13" t="s">
        <v>34</v>
      </c>
      <c r="B108" s="13" t="s">
        <v>16</v>
      </c>
      <c r="C108" s="13" t="s">
        <v>87</v>
      </c>
      <c r="D108" s="13" t="s">
        <v>88</v>
      </c>
      <c r="E108" s="13" t="s">
        <v>19</v>
      </c>
      <c r="F108" s="14" t="s">
        <v>98</v>
      </c>
      <c r="H108" s="21"/>
      <c r="I108" s="21">
        <v>100000</v>
      </c>
      <c r="J108" s="14" t="s">
        <v>103</v>
      </c>
    </row>
    <row r="109" spans="1:10" s="13" customFormat="1">
      <c r="B109" s="13" t="s">
        <v>16</v>
      </c>
      <c r="C109" s="13" t="s">
        <v>308</v>
      </c>
      <c r="D109" s="13" t="s">
        <v>313</v>
      </c>
      <c r="E109" s="13" t="s">
        <v>19</v>
      </c>
      <c r="F109" s="14" t="s">
        <v>42</v>
      </c>
      <c r="H109" s="21"/>
      <c r="I109" s="21"/>
      <c r="J109" s="14" t="s">
        <v>314</v>
      </c>
    </row>
    <row r="110" spans="1:10" s="13" customFormat="1">
      <c r="C110" s="13" t="s">
        <v>309</v>
      </c>
      <c r="D110" s="13" t="s">
        <v>278</v>
      </c>
      <c r="E110" s="13" t="s">
        <v>19</v>
      </c>
      <c r="F110" s="14" t="s">
        <v>315</v>
      </c>
      <c r="H110" s="21"/>
      <c r="I110" s="21"/>
      <c r="J110" s="14"/>
    </row>
    <row r="111" spans="1:10" s="13" customFormat="1" ht="25.5">
      <c r="B111" s="13" t="s">
        <v>16</v>
      </c>
      <c r="C111" s="13" t="s">
        <v>310</v>
      </c>
      <c r="D111" s="13" t="s">
        <v>154</v>
      </c>
      <c r="E111" s="13" t="s">
        <v>19</v>
      </c>
      <c r="F111" s="14" t="s">
        <v>311</v>
      </c>
      <c r="H111" s="21">
        <v>-1460</v>
      </c>
      <c r="I111" s="21">
        <v>140000</v>
      </c>
      <c r="J111" s="14" t="s">
        <v>312</v>
      </c>
    </row>
    <row r="112" spans="1:10" ht="25.5">
      <c r="A112" t="s">
        <v>15</v>
      </c>
      <c r="B112" t="s">
        <v>16</v>
      </c>
      <c r="C112" t="s">
        <v>89</v>
      </c>
      <c r="D112" t="s">
        <v>72</v>
      </c>
      <c r="E112" t="s">
        <v>19</v>
      </c>
      <c r="F112" s="3" t="s">
        <v>90</v>
      </c>
      <c r="G112" t="s">
        <v>24</v>
      </c>
      <c r="H112" s="12">
        <v>368083</v>
      </c>
      <c r="J112" s="3" t="s">
        <v>91</v>
      </c>
    </row>
    <row r="113" spans="1:10">
      <c r="A113" t="s">
        <v>34</v>
      </c>
      <c r="B113" t="s">
        <v>35</v>
      </c>
      <c r="C113" t="s">
        <v>92</v>
      </c>
      <c r="D113" t="s">
        <v>49</v>
      </c>
      <c r="E113" t="s">
        <v>12</v>
      </c>
      <c r="F113" s="3" t="s">
        <v>13</v>
      </c>
      <c r="G113" t="s">
        <v>24</v>
      </c>
      <c r="I113" s="11">
        <v>50000</v>
      </c>
      <c r="J113" s="3" t="s">
        <v>118</v>
      </c>
    </row>
    <row r="114" spans="1:10">
      <c r="A114" t="s">
        <v>15</v>
      </c>
      <c r="B114" t="s">
        <v>35</v>
      </c>
      <c r="C114" t="s">
        <v>316</v>
      </c>
      <c r="D114" t="s">
        <v>329</v>
      </c>
      <c r="E114" t="s">
        <v>19</v>
      </c>
      <c r="F114" s="3" t="s">
        <v>155</v>
      </c>
      <c r="J114" s="3" t="s">
        <v>326</v>
      </c>
    </row>
    <row r="115" spans="1:10">
      <c r="A115" t="s">
        <v>9</v>
      </c>
      <c r="B115" t="s">
        <v>35</v>
      </c>
      <c r="C115" t="s">
        <v>317</v>
      </c>
      <c r="H115" s="12">
        <v>85372</v>
      </c>
      <c r="I115" s="12">
        <v>96044</v>
      </c>
      <c r="J115" s="3" t="s">
        <v>445</v>
      </c>
    </row>
    <row r="116" spans="1:10">
      <c r="A116" t="s">
        <v>15</v>
      </c>
      <c r="B116" t="s">
        <v>35</v>
      </c>
      <c r="C116" s="13" t="s">
        <v>325</v>
      </c>
      <c r="D116" s="13" t="s">
        <v>332</v>
      </c>
      <c r="E116" s="13" t="s">
        <v>12</v>
      </c>
      <c r="F116" s="3" t="s">
        <v>331</v>
      </c>
    </row>
    <row r="117" spans="1:10">
      <c r="A117" t="s">
        <v>157</v>
      </c>
      <c r="B117" t="s">
        <v>16</v>
      </c>
      <c r="C117" t="s">
        <v>318</v>
      </c>
      <c r="D117" t="s">
        <v>302</v>
      </c>
      <c r="E117" t="s">
        <v>19</v>
      </c>
      <c r="F117" s="3" t="s">
        <v>330</v>
      </c>
      <c r="H117" s="12">
        <v>-2342592</v>
      </c>
    </row>
    <row r="118" spans="1:10">
      <c r="B118" t="s">
        <v>35</v>
      </c>
      <c r="C118" t="s">
        <v>319</v>
      </c>
      <c r="D118" t="s">
        <v>327</v>
      </c>
      <c r="E118" t="s">
        <v>19</v>
      </c>
      <c r="F118" s="3" t="s">
        <v>293</v>
      </c>
      <c r="H118" s="12">
        <v>-1691515</v>
      </c>
      <c r="I118" s="12">
        <v>-2000000</v>
      </c>
      <c r="J118" s="3" t="s">
        <v>323</v>
      </c>
    </row>
    <row r="119" spans="1:10">
      <c r="B119" t="s">
        <v>35</v>
      </c>
      <c r="C119" t="s">
        <v>320</v>
      </c>
      <c r="H119" s="12">
        <v>-9102</v>
      </c>
      <c r="I119" s="12">
        <v>21043</v>
      </c>
      <c r="J119" s="3" t="s">
        <v>446</v>
      </c>
    </row>
    <row r="120" spans="1:10">
      <c r="B120" t="s">
        <v>35</v>
      </c>
      <c r="C120" t="s">
        <v>321</v>
      </c>
      <c r="D120" t="s">
        <v>328</v>
      </c>
      <c r="E120" t="s">
        <v>19</v>
      </c>
      <c r="H120" s="12">
        <v>-655011</v>
      </c>
      <c r="I120" s="12">
        <v>301667</v>
      </c>
      <c r="J120" s="3" t="s">
        <v>447</v>
      </c>
    </row>
    <row r="121" spans="1:10">
      <c r="B121" t="s">
        <v>35</v>
      </c>
      <c r="C121" t="s">
        <v>322</v>
      </c>
      <c r="D121" t="s">
        <v>333</v>
      </c>
      <c r="E121" t="s">
        <v>12</v>
      </c>
      <c r="F121" s="3" t="s">
        <v>334</v>
      </c>
      <c r="H121" s="12">
        <v>3000</v>
      </c>
      <c r="J121" s="3" t="s">
        <v>324</v>
      </c>
    </row>
  </sheetData>
  <phoneticPr fontId="0" type="noConversion"/>
  <pageMargins left="0.75" right="0.75" top="1" bottom="1" header="0.5" footer="0.5"/>
  <pageSetup scale="5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E1" zoomScale="85" workbookViewId="0">
      <selection activeCell="U23" sqref="U23"/>
    </sheetView>
  </sheetViews>
  <sheetFormatPr defaultRowHeight="12.75"/>
  <cols>
    <col min="1" max="1" width="11.140625" bestFit="1" customWidth="1"/>
    <col min="2" max="2" width="10.5703125" bestFit="1" customWidth="1"/>
    <col min="3" max="3" width="17.7109375" bestFit="1" customWidth="1"/>
    <col min="4" max="4" width="32.28515625" customWidth="1"/>
    <col min="5" max="5" width="11.85546875" customWidth="1"/>
    <col min="6" max="7" width="10.5703125" bestFit="1" customWidth="1"/>
    <col min="8" max="8" width="9" bestFit="1" customWidth="1"/>
    <col min="9" max="9" width="6.140625" bestFit="1" customWidth="1"/>
    <col min="10" max="11" width="9" bestFit="1" customWidth="1"/>
    <col min="12" max="12" width="4.85546875" bestFit="1" customWidth="1"/>
    <col min="13" max="13" width="9" bestFit="1" customWidth="1"/>
    <col min="14" max="14" width="6.42578125" bestFit="1" customWidth="1"/>
    <col min="15" max="15" width="10.5703125" bestFit="1" customWidth="1"/>
    <col min="16" max="16" width="9.42578125" bestFit="1" customWidth="1"/>
    <col min="17" max="17" width="8.85546875" bestFit="1" customWidth="1"/>
    <col min="18" max="18" width="9" bestFit="1" customWidth="1"/>
    <col min="19" max="19" width="6.85546875" bestFit="1" customWidth="1"/>
    <col min="21" max="21" width="11.5703125" bestFit="1" customWidth="1"/>
  </cols>
  <sheetData>
    <row r="1" spans="1:21">
      <c r="A1" s="1" t="s">
        <v>0</v>
      </c>
      <c r="B1" s="1" t="s">
        <v>1</v>
      </c>
      <c r="C1" s="1"/>
      <c r="D1" s="1"/>
      <c r="E1" s="24" t="s">
        <v>375</v>
      </c>
    </row>
    <row r="2" spans="1:21">
      <c r="A2" s="1" t="s">
        <v>2</v>
      </c>
      <c r="B2" s="1" t="s">
        <v>3</v>
      </c>
      <c r="C2" s="28" t="s">
        <v>4</v>
      </c>
      <c r="D2" s="1" t="s">
        <v>5</v>
      </c>
      <c r="E2" t="s">
        <v>97</v>
      </c>
      <c r="F2" t="s">
        <v>205</v>
      </c>
      <c r="G2" t="s">
        <v>363</v>
      </c>
      <c r="H2" t="s">
        <v>364</v>
      </c>
      <c r="I2" t="s">
        <v>365</v>
      </c>
      <c r="J2" t="s">
        <v>464</v>
      </c>
      <c r="K2" t="s">
        <v>367</v>
      </c>
      <c r="L2" t="s">
        <v>368</v>
      </c>
      <c r="M2" t="s">
        <v>450</v>
      </c>
      <c r="N2" t="s">
        <v>335</v>
      </c>
      <c r="O2" t="s">
        <v>455</v>
      </c>
      <c r="P2" t="s">
        <v>462</v>
      </c>
      <c r="Q2" t="s">
        <v>373</v>
      </c>
      <c r="R2" t="s">
        <v>483</v>
      </c>
      <c r="S2" t="s">
        <v>454</v>
      </c>
      <c r="T2" t="s">
        <v>469</v>
      </c>
      <c r="U2" t="s">
        <v>374</v>
      </c>
    </row>
    <row r="3" spans="1:21" s="13" customFormat="1">
      <c r="A3" s="29"/>
      <c r="B3" s="29" t="s">
        <v>16</v>
      </c>
      <c r="C3" s="30" t="s">
        <v>128</v>
      </c>
      <c r="D3" s="29" t="s">
        <v>129</v>
      </c>
      <c r="E3" s="21">
        <v>-290000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>
        <f t="shared" ref="U3:U26" si="0">SUM(E3:T3)</f>
        <v>-290000</v>
      </c>
    </row>
    <row r="4" spans="1:21" s="13" customFormat="1">
      <c r="B4" s="13" t="s">
        <v>35</v>
      </c>
      <c r="C4" s="17" t="s">
        <v>141</v>
      </c>
      <c r="D4" s="13" t="s">
        <v>142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>
        <f t="shared" si="0"/>
        <v>0</v>
      </c>
    </row>
    <row r="5" spans="1:21" s="13" customFormat="1">
      <c r="A5" s="13" t="s">
        <v>134</v>
      </c>
      <c r="B5" s="13" t="s">
        <v>16</v>
      </c>
      <c r="C5" s="17" t="s">
        <v>132</v>
      </c>
      <c r="D5" s="13" t="s">
        <v>133</v>
      </c>
      <c r="E5" s="21">
        <v>-1300000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>
        <f t="shared" si="0"/>
        <v>-1300000</v>
      </c>
    </row>
    <row r="6" spans="1:21" s="13" customFormat="1">
      <c r="A6" t="s">
        <v>25</v>
      </c>
      <c r="B6" t="s">
        <v>16</v>
      </c>
      <c r="C6" t="s">
        <v>149</v>
      </c>
      <c r="D6" t="s">
        <v>150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v>-400000</v>
      </c>
      <c r="P6" s="12"/>
      <c r="Q6" s="12"/>
      <c r="R6" s="12"/>
      <c r="S6" s="12"/>
      <c r="T6" s="12"/>
      <c r="U6" s="12">
        <f t="shared" si="0"/>
        <v>-400000</v>
      </c>
    </row>
    <row r="7" spans="1:21">
      <c r="A7" t="s">
        <v>15</v>
      </c>
      <c r="B7" t="s">
        <v>16</v>
      </c>
      <c r="C7" t="s">
        <v>153</v>
      </c>
      <c r="D7" t="s">
        <v>154</v>
      </c>
      <c r="E7" s="12">
        <v>-1100000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>
        <f t="shared" si="0"/>
        <v>-1100000</v>
      </c>
    </row>
    <row r="8" spans="1:21">
      <c r="A8" t="s">
        <v>25</v>
      </c>
      <c r="B8" t="s">
        <v>16</v>
      </c>
      <c r="C8" t="s">
        <v>175</v>
      </c>
      <c r="D8" t="s">
        <v>177</v>
      </c>
      <c r="E8" s="12">
        <v>-250000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f t="shared" si="0"/>
        <v>-250000</v>
      </c>
    </row>
    <row r="9" spans="1:21">
      <c r="A9" s="13"/>
      <c r="B9" s="13" t="s">
        <v>16</v>
      </c>
      <c r="C9" s="13" t="s">
        <v>193</v>
      </c>
      <c r="D9" s="13" t="s">
        <v>72</v>
      </c>
      <c r="E9" s="12"/>
      <c r="F9" s="12"/>
      <c r="G9" s="12">
        <v>-225000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f t="shared" si="0"/>
        <v>-225000</v>
      </c>
    </row>
    <row r="10" spans="1:21">
      <c r="A10" t="s">
        <v>134</v>
      </c>
      <c r="B10" t="s">
        <v>16</v>
      </c>
      <c r="C10" s="17" t="s">
        <v>197</v>
      </c>
      <c r="D10" t="s">
        <v>154</v>
      </c>
      <c r="E10" s="12"/>
      <c r="F10" s="12">
        <v>-490000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f t="shared" si="0"/>
        <v>-490000</v>
      </c>
    </row>
    <row r="11" spans="1:21">
      <c r="A11" s="13"/>
      <c r="B11" s="13" t="s">
        <v>16</v>
      </c>
      <c r="C11" s="17" t="s">
        <v>198</v>
      </c>
      <c r="D11" s="13"/>
      <c r="E11" s="12"/>
      <c r="F11" s="12"/>
      <c r="G11" s="12"/>
      <c r="H11" s="12"/>
      <c r="I11" s="12"/>
      <c r="J11" s="12"/>
      <c r="K11" s="12">
        <v>-350000</v>
      </c>
      <c r="L11" s="12"/>
      <c r="M11" s="12"/>
      <c r="N11" s="12"/>
      <c r="O11" s="12"/>
      <c r="P11" s="12"/>
      <c r="Q11" s="12"/>
      <c r="R11" s="12"/>
      <c r="S11" s="12"/>
      <c r="T11" s="12"/>
      <c r="U11" s="12">
        <f t="shared" si="0"/>
        <v>-350000</v>
      </c>
    </row>
    <row r="12" spans="1:21">
      <c r="A12" t="s">
        <v>134</v>
      </c>
      <c r="B12" t="s">
        <v>16</v>
      </c>
      <c r="C12" t="s">
        <v>203</v>
      </c>
      <c r="D12" t="s">
        <v>154</v>
      </c>
      <c r="E12" s="12"/>
      <c r="F12" s="12">
        <v>-80000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f t="shared" si="0"/>
        <v>-80000</v>
      </c>
    </row>
    <row r="13" spans="1:21">
      <c r="A13" s="13"/>
      <c r="B13" s="13" t="s">
        <v>16</v>
      </c>
      <c r="C13" s="17" t="s">
        <v>211</v>
      </c>
      <c r="D13" s="13" t="s">
        <v>154</v>
      </c>
      <c r="E13" s="12">
        <v>-490000</v>
      </c>
      <c r="F13" s="12">
        <v>-300000</v>
      </c>
      <c r="G13" s="12">
        <v>-250000</v>
      </c>
      <c r="H13" s="12"/>
      <c r="I13" s="12"/>
      <c r="J13" s="12"/>
      <c r="K13" s="12"/>
      <c r="L13" s="12"/>
      <c r="M13" s="12"/>
      <c r="N13" s="12"/>
      <c r="O13" s="12">
        <v>-350000</v>
      </c>
      <c r="P13" s="12"/>
      <c r="Q13" s="12"/>
      <c r="R13" s="12"/>
      <c r="S13" s="12"/>
      <c r="T13" s="12"/>
      <c r="U13" s="12">
        <f t="shared" si="0"/>
        <v>-1390000</v>
      </c>
    </row>
    <row r="14" spans="1:21">
      <c r="A14" t="s">
        <v>241</v>
      </c>
      <c r="B14" t="s">
        <v>35</v>
      </c>
      <c r="C14" t="s">
        <v>240</v>
      </c>
      <c r="D14" t="s">
        <v>242</v>
      </c>
      <c r="E14" s="12"/>
      <c r="F14" s="12"/>
      <c r="G14" s="12"/>
      <c r="H14" s="12"/>
      <c r="I14" s="12"/>
      <c r="J14" s="12"/>
      <c r="K14" s="12"/>
      <c r="L14" s="12"/>
      <c r="M14" s="12">
        <v>-300000</v>
      </c>
      <c r="N14" s="12"/>
      <c r="O14" s="12"/>
      <c r="P14" s="12"/>
      <c r="Q14" s="12"/>
      <c r="R14" s="12"/>
      <c r="S14" s="12"/>
      <c r="T14" s="12"/>
      <c r="U14" s="12">
        <f t="shared" si="0"/>
        <v>-300000</v>
      </c>
    </row>
    <row r="15" spans="1:21">
      <c r="A15" t="s">
        <v>15</v>
      </c>
      <c r="B15" t="s">
        <v>16</v>
      </c>
      <c r="C15" t="s">
        <v>264</v>
      </c>
      <c r="E15" s="12"/>
      <c r="F15" s="12">
        <v>-400000</v>
      </c>
      <c r="G15" s="12">
        <v>-200000</v>
      </c>
      <c r="H15" s="12">
        <v>-400000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>
        <f t="shared" si="0"/>
        <v>-1000000</v>
      </c>
    </row>
    <row r="16" spans="1:21">
      <c r="A16" t="s">
        <v>15</v>
      </c>
      <c r="B16" t="s">
        <v>35</v>
      </c>
      <c r="C16" t="s">
        <v>268</v>
      </c>
      <c r="D16" t="s">
        <v>154</v>
      </c>
      <c r="E16" s="12">
        <v>-500000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>
        <v>-250000</v>
      </c>
      <c r="S16" s="12"/>
      <c r="T16" s="12"/>
      <c r="U16" s="12">
        <f t="shared" si="0"/>
        <v>-750000</v>
      </c>
    </row>
    <row r="17" spans="1:21">
      <c r="A17" t="s">
        <v>25</v>
      </c>
      <c r="B17" t="s">
        <v>16</v>
      </c>
      <c r="C17" t="s">
        <v>276</v>
      </c>
      <c r="D17" t="s">
        <v>278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>
        <v>-380000</v>
      </c>
      <c r="P17" s="12">
        <v>-250000</v>
      </c>
      <c r="Q17" s="12"/>
      <c r="R17" s="12"/>
      <c r="S17" s="12"/>
      <c r="T17" s="12"/>
      <c r="U17" s="12">
        <f t="shared" si="0"/>
        <v>-630000</v>
      </c>
    </row>
    <row r="18" spans="1:21">
      <c r="A18" t="s">
        <v>15</v>
      </c>
      <c r="B18" t="s">
        <v>16</v>
      </c>
      <c r="C18" t="s">
        <v>78</v>
      </c>
      <c r="D18" t="s">
        <v>79</v>
      </c>
      <c r="E18" s="12"/>
      <c r="F18" s="12"/>
      <c r="G18" s="12">
        <v>-250000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f t="shared" si="0"/>
        <v>-250000</v>
      </c>
    </row>
    <row r="19" spans="1:21">
      <c r="A19" s="13" t="s">
        <v>134</v>
      </c>
      <c r="B19" s="13" t="s">
        <v>16</v>
      </c>
      <c r="C19" s="13" t="s">
        <v>289</v>
      </c>
      <c r="D19" s="13" t="s">
        <v>292</v>
      </c>
      <c r="E19" s="12"/>
      <c r="F19" s="12"/>
      <c r="G19" s="12"/>
      <c r="H19" s="12"/>
      <c r="I19" s="12"/>
      <c r="J19" s="12">
        <v>-120000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>
        <f t="shared" si="0"/>
        <v>-120000</v>
      </c>
    </row>
    <row r="20" spans="1:21">
      <c r="A20" s="13" t="s">
        <v>25</v>
      </c>
      <c r="B20" s="13" t="s">
        <v>35</v>
      </c>
      <c r="C20" s="13" t="s">
        <v>294</v>
      </c>
      <c r="D20" s="13" t="s">
        <v>295</v>
      </c>
      <c r="E20" s="12"/>
      <c r="F20" s="12"/>
      <c r="G20" s="12"/>
      <c r="H20" s="12"/>
      <c r="I20" s="12"/>
      <c r="J20" s="12"/>
      <c r="K20" s="12"/>
      <c r="L20" s="12"/>
      <c r="M20" s="12">
        <v>-300000</v>
      </c>
      <c r="N20" s="12"/>
      <c r="O20" s="12"/>
      <c r="P20" s="12"/>
      <c r="Q20" s="12"/>
      <c r="R20" s="12"/>
      <c r="S20" s="12"/>
      <c r="T20" s="12"/>
      <c r="U20" s="12">
        <f t="shared" si="0"/>
        <v>-300000</v>
      </c>
    </row>
    <row r="21" spans="1:21">
      <c r="A21" s="13" t="s">
        <v>157</v>
      </c>
      <c r="B21" s="13" t="s">
        <v>16</v>
      </c>
      <c r="C21" s="13" t="s">
        <v>299</v>
      </c>
      <c r="D21" s="17" t="s">
        <v>302</v>
      </c>
      <c r="E21" s="12"/>
      <c r="F21" s="12"/>
      <c r="G21" s="12">
        <v>-225000</v>
      </c>
      <c r="H21" s="12">
        <v>-225000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>
        <f t="shared" si="0"/>
        <v>-450000</v>
      </c>
    </row>
    <row r="22" spans="1:21">
      <c r="A22" t="s">
        <v>34</v>
      </c>
      <c r="B22" t="s">
        <v>16</v>
      </c>
      <c r="C22" t="s">
        <v>307</v>
      </c>
      <c r="D22" t="s">
        <v>154</v>
      </c>
      <c r="E22" s="12">
        <f>-0.8*1100000</f>
        <v>-880000</v>
      </c>
      <c r="F22" s="12"/>
      <c r="G22" s="12">
        <f>-0.2*1100000</f>
        <v>-220000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>
        <f t="shared" si="0"/>
        <v>-1100000</v>
      </c>
    </row>
    <row r="23" spans="1:21">
      <c r="A23" s="13"/>
      <c r="B23" s="13" t="s">
        <v>16</v>
      </c>
      <c r="C23" s="13" t="s">
        <v>310</v>
      </c>
      <c r="D23" s="13" t="s">
        <v>154</v>
      </c>
      <c r="E23" s="12">
        <f>0.6*140000-100000</f>
        <v>-16000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>
        <f t="shared" si="0"/>
        <v>-16000</v>
      </c>
    </row>
    <row r="24" spans="1:21">
      <c r="A24" t="s">
        <v>15</v>
      </c>
      <c r="B24" t="s">
        <v>35</v>
      </c>
      <c r="C24" t="s">
        <v>316</v>
      </c>
      <c r="D24" t="s">
        <v>329</v>
      </c>
      <c r="E24" s="12"/>
      <c r="F24" s="12"/>
      <c r="G24" s="12"/>
      <c r="H24" s="12"/>
      <c r="I24" s="12"/>
      <c r="J24" s="12"/>
      <c r="K24" s="12"/>
      <c r="L24" s="12"/>
      <c r="M24" s="12">
        <v>-350000</v>
      </c>
      <c r="N24" s="12"/>
      <c r="O24" s="12"/>
      <c r="P24" s="12"/>
      <c r="Q24" s="12"/>
      <c r="R24" s="12"/>
      <c r="S24" s="12"/>
      <c r="T24" s="12"/>
      <c r="U24" s="12">
        <f t="shared" si="0"/>
        <v>-350000</v>
      </c>
    </row>
    <row r="25" spans="1:21">
      <c r="A25" t="s">
        <v>15</v>
      </c>
      <c r="B25" t="s">
        <v>35</v>
      </c>
      <c r="C25" s="13" t="s">
        <v>325</v>
      </c>
      <c r="D25" s="13" t="s">
        <v>332</v>
      </c>
      <c r="E25" s="12">
        <v>-250000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>
        <v>-150000</v>
      </c>
      <c r="U25" s="12">
        <f t="shared" si="0"/>
        <v>-400000</v>
      </c>
    </row>
    <row r="26" spans="1:21">
      <c r="A26" t="s">
        <v>157</v>
      </c>
      <c r="B26" t="s">
        <v>16</v>
      </c>
      <c r="C26" s="13" t="s">
        <v>318</v>
      </c>
      <c r="D26" t="s">
        <v>302</v>
      </c>
      <c r="E26" s="12"/>
      <c r="F26" s="12">
        <v>-25000</v>
      </c>
      <c r="G26" s="12"/>
      <c r="H26" s="12">
        <v>-25000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>
        <f t="shared" si="0"/>
        <v>-50000</v>
      </c>
    </row>
    <row r="27" spans="1:21">
      <c r="C27" s="33" t="s">
        <v>374</v>
      </c>
      <c r="E27" s="32">
        <f>SUM(E3:E26)</f>
        <v>-5076000</v>
      </c>
      <c r="F27" s="32">
        <f t="shared" ref="F27:U27" si="1">SUM(F3:F26)</f>
        <v>-1295000</v>
      </c>
      <c r="G27" s="32">
        <f t="shared" si="1"/>
        <v>-1370000</v>
      </c>
      <c r="H27" s="32">
        <f t="shared" si="1"/>
        <v>-650000</v>
      </c>
      <c r="I27" s="32">
        <f t="shared" si="1"/>
        <v>0</v>
      </c>
      <c r="J27" s="32">
        <f t="shared" si="1"/>
        <v>-120000</v>
      </c>
      <c r="K27" s="32">
        <f t="shared" si="1"/>
        <v>-350000</v>
      </c>
      <c r="L27" s="32">
        <f t="shared" si="1"/>
        <v>0</v>
      </c>
      <c r="M27" s="32">
        <f t="shared" si="1"/>
        <v>-950000</v>
      </c>
      <c r="N27" s="32">
        <f t="shared" si="1"/>
        <v>0</v>
      </c>
      <c r="O27" s="32">
        <f t="shared" si="1"/>
        <v>-1130000</v>
      </c>
      <c r="P27" s="32">
        <f t="shared" si="1"/>
        <v>-250000</v>
      </c>
      <c r="Q27" s="32">
        <f t="shared" si="1"/>
        <v>0</v>
      </c>
      <c r="R27" s="32">
        <f t="shared" si="1"/>
        <v>-250000</v>
      </c>
      <c r="S27" s="32">
        <f t="shared" si="1"/>
        <v>0</v>
      </c>
      <c r="T27" s="32">
        <f t="shared" si="1"/>
        <v>-150000</v>
      </c>
      <c r="U27" s="32">
        <f t="shared" si="1"/>
        <v>-11591000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showGridLines="0" workbookViewId="0">
      <selection activeCell="B4" sqref="B4"/>
    </sheetView>
  </sheetViews>
  <sheetFormatPr defaultRowHeight="15"/>
  <cols>
    <col min="1" max="1" width="3.85546875" style="51" customWidth="1"/>
    <col min="2" max="2" width="28.5703125" bestFit="1" customWidth="1"/>
    <col min="3" max="3" width="9.7109375" style="34" bestFit="1" customWidth="1"/>
    <col min="4" max="4" width="10.42578125" style="34" bestFit="1" customWidth="1"/>
    <col min="5" max="5" width="7.5703125" style="34" bestFit="1" customWidth="1"/>
    <col min="6" max="6" width="3.85546875" style="34" customWidth="1"/>
    <col min="7" max="7" width="4.7109375" style="51" bestFit="1" customWidth="1"/>
    <col min="8" max="8" width="26.7109375" bestFit="1" customWidth="1"/>
    <col min="9" max="9" width="8.140625" bestFit="1" customWidth="1"/>
    <col min="10" max="10" width="10.42578125" bestFit="1" customWidth="1"/>
    <col min="11" max="12" width="7.5703125" bestFit="1" customWidth="1"/>
  </cols>
  <sheetData>
    <row r="1" spans="1:11" s="24" customFormat="1" ht="15.75">
      <c r="A1" s="49"/>
      <c r="B1" s="38" t="s">
        <v>97</v>
      </c>
      <c r="C1" s="39" t="s">
        <v>489</v>
      </c>
      <c r="D1" s="39" t="s">
        <v>511</v>
      </c>
      <c r="E1" s="39" t="s">
        <v>490</v>
      </c>
      <c r="F1" s="39"/>
      <c r="G1" s="52"/>
      <c r="H1" s="38" t="s">
        <v>364</v>
      </c>
      <c r="I1" s="39" t="s">
        <v>489</v>
      </c>
      <c r="J1" s="39" t="s">
        <v>514</v>
      </c>
      <c r="K1" s="39" t="s">
        <v>490</v>
      </c>
    </row>
    <row r="2" spans="1:11">
      <c r="A2" s="50" t="s">
        <v>495</v>
      </c>
      <c r="B2" s="41" t="s">
        <v>76</v>
      </c>
      <c r="C2" s="42">
        <v>500000</v>
      </c>
      <c r="D2" s="43">
        <f>C2/'ENE Universe'!$F$121</f>
        <v>0.21739449910176939</v>
      </c>
      <c r="E2" s="44">
        <f>C2/'ENE Universe'!$U$121</f>
        <v>6.9873494876008926E-2</v>
      </c>
      <c r="F2" s="44"/>
      <c r="G2" s="50" t="s">
        <v>495</v>
      </c>
      <c r="H2" s="41" t="s">
        <v>89</v>
      </c>
      <c r="I2" s="42">
        <f>(368083-$G$69)/4</f>
        <v>92020.75</v>
      </c>
      <c r="J2" s="43">
        <f>I2/'ENE Universe'!$I$121</f>
        <v>0.4496038149076016</v>
      </c>
      <c r="K2" s="44">
        <f>I2/'ENE Universe'!$U$121</f>
        <v>1.2859622807222996E-2</v>
      </c>
    </row>
    <row r="3" spans="1:11">
      <c r="A3" s="50" t="s">
        <v>495</v>
      </c>
      <c r="B3" s="40" t="s">
        <v>68</v>
      </c>
      <c r="C3" s="42">
        <v>200000</v>
      </c>
      <c r="D3" s="43">
        <f>C3/'ENE Universe'!$F$121</f>
        <v>8.6957799640707753E-2</v>
      </c>
      <c r="E3" s="44">
        <f>C3/'ENE Universe'!$U$121</f>
        <v>2.7949397950403569E-2</v>
      </c>
      <c r="F3" s="44"/>
      <c r="G3" s="50" t="s">
        <v>495</v>
      </c>
      <c r="H3" s="41" t="s">
        <v>452</v>
      </c>
      <c r="I3" s="45">
        <f>120000*0.7</f>
        <v>84000</v>
      </c>
      <c r="J3" s="43">
        <f>I3/'ENE Universe'!$I$121</f>
        <v>0.41041526451630239</v>
      </c>
      <c r="K3" s="44">
        <f>I3/'ENE Universe'!$U$121</f>
        <v>1.17387471391695E-2</v>
      </c>
    </row>
    <row r="4" spans="1:11">
      <c r="A4" s="50" t="s">
        <v>495</v>
      </c>
      <c r="B4" s="40" t="s">
        <v>83</v>
      </c>
      <c r="C4" s="42">
        <v>150000</v>
      </c>
      <c r="D4" s="43">
        <f>C4/'ENE Universe'!$F$121</f>
        <v>6.5218349730530811E-2</v>
      </c>
      <c r="E4" s="44">
        <f>C4/'ENE Universe'!$U$121</f>
        <v>2.0962048462802675E-2</v>
      </c>
      <c r="F4" s="44"/>
      <c r="G4" s="50" t="s">
        <v>495</v>
      </c>
      <c r="H4" s="41" t="s">
        <v>277</v>
      </c>
      <c r="I4" s="42">
        <f>30000*0.4</f>
        <v>12000</v>
      </c>
      <c r="J4" s="43">
        <f>I4/'ENE Universe'!$I$121</f>
        <v>5.8630752073757487E-2</v>
      </c>
      <c r="K4" s="44">
        <f>I4/'ENE Universe'!$U$121</f>
        <v>1.6769638770242142E-3</v>
      </c>
    </row>
    <row r="5" spans="1:11">
      <c r="A5" s="50" t="s">
        <v>495</v>
      </c>
      <c r="B5" s="40" t="s">
        <v>89</v>
      </c>
      <c r="C5" s="42">
        <v>147233.20000000001</v>
      </c>
      <c r="D5" s="43">
        <f>C5/'ENE Universe'!$F$121</f>
        <v>6.4015375530301274E-2</v>
      </c>
      <c r="E5" s="44">
        <f>C5/'ENE Universe'!$U$121</f>
        <v>2.0575396491556795E-2</v>
      </c>
      <c r="F5" s="44"/>
      <c r="G5" s="50" t="s">
        <v>495</v>
      </c>
      <c r="H5" s="41" t="s">
        <v>57</v>
      </c>
      <c r="I5" s="42">
        <v>7500</v>
      </c>
      <c r="J5" s="43">
        <f>I5/'ENE Universe'!$I$121</f>
        <v>3.6644220046098429E-2</v>
      </c>
      <c r="K5" s="44">
        <f>I5/'ENE Universe'!$U$121</f>
        <v>1.0481024231401338E-3</v>
      </c>
    </row>
    <row r="6" spans="1:11">
      <c r="A6" s="50" t="s">
        <v>495</v>
      </c>
      <c r="B6" s="40" t="s">
        <v>78</v>
      </c>
      <c r="C6" s="42">
        <v>125000</v>
      </c>
      <c r="D6" s="43">
        <f>C6/'ENE Universe'!$F$121</f>
        <v>5.4348624775442347E-2</v>
      </c>
      <c r="E6" s="44">
        <f>C6/'ENE Universe'!$U$121</f>
        <v>1.7468373719002232E-2</v>
      </c>
      <c r="F6" s="44"/>
      <c r="G6" s="50" t="s">
        <v>495</v>
      </c>
      <c r="H6" s="41" t="s">
        <v>222</v>
      </c>
      <c r="I6" s="42">
        <f>34000*0.2</f>
        <v>6800</v>
      </c>
      <c r="J6" s="43">
        <f>I6/'ENE Universe'!$I$121</f>
        <v>3.3224092841795907E-2</v>
      </c>
      <c r="K6" s="44">
        <f>I6/'ENE Universe'!$U$121</f>
        <v>9.5027953031372138E-4</v>
      </c>
    </row>
    <row r="7" spans="1:11">
      <c r="B7" s="46" t="s">
        <v>374</v>
      </c>
      <c r="C7" s="42">
        <f>SUM(C2:C6)</f>
        <v>1122233.2</v>
      </c>
      <c r="D7" s="43">
        <f>SUM(D2:D6)</f>
        <v>0.48793464877875159</v>
      </c>
      <c r="E7" s="43">
        <f>SUM(E2:E6)</f>
        <v>0.15682871149977418</v>
      </c>
      <c r="F7" s="43"/>
      <c r="G7" s="53"/>
      <c r="H7" s="46" t="s">
        <v>374</v>
      </c>
      <c r="I7" s="42">
        <f>SUM(I2:I6)</f>
        <v>202320.75</v>
      </c>
      <c r="J7" s="43">
        <f>SUM(J2:J6)</f>
        <v>0.98851814438555585</v>
      </c>
      <c r="K7" s="43">
        <f>SUM(K2:K6)</f>
        <v>2.8273715776870562E-2</v>
      </c>
    </row>
    <row r="8" spans="1:11">
      <c r="B8" s="40"/>
      <c r="C8" s="47"/>
      <c r="D8" s="47"/>
      <c r="E8" s="47"/>
      <c r="F8" s="47"/>
      <c r="G8" s="53"/>
      <c r="H8" s="40"/>
      <c r="I8" s="47"/>
      <c r="J8" s="47"/>
      <c r="K8" s="47"/>
    </row>
    <row r="9" spans="1:11">
      <c r="B9" s="38" t="s">
        <v>205</v>
      </c>
      <c r="C9" s="39" t="s">
        <v>489</v>
      </c>
      <c r="D9" s="39" t="s">
        <v>512</v>
      </c>
      <c r="E9" s="39" t="s">
        <v>490</v>
      </c>
      <c r="F9" s="39"/>
      <c r="G9" s="53"/>
      <c r="H9" s="38" t="s">
        <v>368</v>
      </c>
      <c r="I9" s="39" t="s">
        <v>489</v>
      </c>
      <c r="J9" s="39" t="s">
        <v>515</v>
      </c>
      <c r="K9" s="39" t="s">
        <v>490</v>
      </c>
    </row>
    <row r="10" spans="1:11">
      <c r="A10" s="50" t="s">
        <v>495</v>
      </c>
      <c r="B10" s="41" t="s">
        <v>89</v>
      </c>
      <c r="C10" s="42">
        <f>(368083-$G$69)/4</f>
        <v>92020.75</v>
      </c>
      <c r="D10" s="43">
        <f>C10/'ENE Universe'!$G$121</f>
        <v>0.2437178992281579</v>
      </c>
      <c r="E10" s="44">
        <f>C10/'ENE Universe'!$U$121</f>
        <v>1.2859622807222996E-2</v>
      </c>
      <c r="F10" s="44"/>
      <c r="G10" s="50" t="s">
        <v>495</v>
      </c>
      <c r="H10" s="41" t="s">
        <v>76</v>
      </c>
      <c r="I10" s="42">
        <v>450000</v>
      </c>
      <c r="J10" s="43">
        <f>I10/'ENE Universe'!$J$121</f>
        <v>0.51898879070710202</v>
      </c>
      <c r="K10" s="44">
        <f>I10/'ENE Universe'!$U$121</f>
        <v>6.2886145388408032E-2</v>
      </c>
    </row>
    <row r="11" spans="1:11">
      <c r="A11" s="50" t="s">
        <v>495</v>
      </c>
      <c r="B11" s="41" t="s">
        <v>456</v>
      </c>
      <c r="C11" s="42">
        <v>50000</v>
      </c>
      <c r="D11" s="43">
        <f>C11/'ENE Universe'!$G$121</f>
        <v>0.13242551230464755</v>
      </c>
      <c r="E11" s="44">
        <f>C11/'ENE Universe'!$U$121</f>
        <v>6.9873494876008923E-3</v>
      </c>
      <c r="F11" s="44"/>
      <c r="G11" s="50" t="s">
        <v>495</v>
      </c>
      <c r="H11" s="41" t="s">
        <v>68</v>
      </c>
      <c r="I11" s="42">
        <v>300000</v>
      </c>
      <c r="J11" s="43">
        <f>I11/'ENE Universe'!$J$121</f>
        <v>0.34599252713806805</v>
      </c>
      <c r="K11" s="44">
        <f>I11/'ENE Universe'!$U$121</f>
        <v>4.192409692560535E-2</v>
      </c>
    </row>
    <row r="12" spans="1:11">
      <c r="A12" s="50" t="s">
        <v>495</v>
      </c>
      <c r="B12" s="41" t="s">
        <v>17</v>
      </c>
      <c r="C12" s="42">
        <v>40000</v>
      </c>
      <c r="D12" s="43">
        <f>C12/'ENE Universe'!$G$121</f>
        <v>0.10594040984371803</v>
      </c>
      <c r="E12" s="44">
        <f>C12/'ENE Universe'!$U$121</f>
        <v>5.5898795900807142E-3</v>
      </c>
      <c r="F12" s="44"/>
      <c r="G12" s="50" t="s">
        <v>495</v>
      </c>
      <c r="H12" s="41" t="s">
        <v>89</v>
      </c>
      <c r="I12" s="42">
        <f>(368083-$G$69)/4</f>
        <v>92020.75</v>
      </c>
      <c r="J12" s="43">
        <f>I12/'ENE Universe'!$J$121</f>
        <v>0.10612830613880124</v>
      </c>
      <c r="K12" s="44">
        <f>I12/'ENE Universe'!$U$121</f>
        <v>1.2859622807222996E-2</v>
      </c>
    </row>
    <row r="13" spans="1:11">
      <c r="A13" s="50" t="s">
        <v>495</v>
      </c>
      <c r="B13" s="41" t="s">
        <v>71</v>
      </c>
      <c r="C13" s="42">
        <f>75000/2</f>
        <v>37500</v>
      </c>
      <c r="D13" s="43">
        <f>C13/'ENE Universe'!$G$121</f>
        <v>9.931913422848565E-2</v>
      </c>
      <c r="E13" s="44">
        <f>C13/'ENE Universe'!$U$121</f>
        <v>5.2405121157006688E-3</v>
      </c>
      <c r="F13" s="44"/>
      <c r="G13" s="50" t="s">
        <v>495</v>
      </c>
      <c r="H13" s="41" t="s">
        <v>460</v>
      </c>
      <c r="I13" s="42">
        <v>23000</v>
      </c>
      <c r="J13" s="43">
        <f>I13/'ENE Universe'!$J$121</f>
        <v>2.6526093747251882E-2</v>
      </c>
      <c r="K13" s="44">
        <f>I13/'ENE Universe'!$U$121</f>
        <v>3.2141807642964105E-3</v>
      </c>
    </row>
    <row r="14" spans="1:11">
      <c r="A14" s="50" t="s">
        <v>495</v>
      </c>
      <c r="B14" s="41" t="s">
        <v>452</v>
      </c>
      <c r="C14" s="45">
        <f>120000*0.3</f>
        <v>36000</v>
      </c>
      <c r="D14" s="43">
        <f>C14/'ENE Universe'!$G$121</f>
        <v>9.5346368859346234E-2</v>
      </c>
      <c r="E14" s="44">
        <f>C14/'ENE Universe'!$U$121</f>
        <v>5.0308916310726421E-3</v>
      </c>
      <c r="F14" s="44"/>
      <c r="G14" s="50" t="s">
        <v>495</v>
      </c>
      <c r="H14" s="41" t="s">
        <v>222</v>
      </c>
      <c r="I14" s="42">
        <f>34000*0.2</f>
        <v>6800</v>
      </c>
      <c r="J14" s="43">
        <f>I14/'ENE Universe'!$J$121</f>
        <v>7.8424972817962083E-3</v>
      </c>
      <c r="K14" s="44">
        <f>I14/'ENE Universe'!$U$121</f>
        <v>9.5027953031372138E-4</v>
      </c>
    </row>
    <row r="15" spans="1:11">
      <c r="B15" s="46" t="s">
        <v>374</v>
      </c>
      <c r="C15" s="42">
        <f>SUM(C10:C14)</f>
        <v>255520.75</v>
      </c>
      <c r="D15" s="43">
        <f>SUM(D10:D14)</f>
        <v>0.67674932446435532</v>
      </c>
      <c r="E15" s="43">
        <f>SUM(E10:E14)</f>
        <v>3.5708255631677913E-2</v>
      </c>
      <c r="F15" s="43"/>
      <c r="G15" s="53"/>
      <c r="H15" s="46" t="s">
        <v>374</v>
      </c>
      <c r="I15" s="42">
        <f>SUM(I10:I14)</f>
        <v>871820.75</v>
      </c>
      <c r="J15" s="43">
        <f>SUM(J10:J14)</f>
        <v>1.0054782150130195</v>
      </c>
      <c r="K15" s="43">
        <f>SUM(K10:K14)</f>
        <v>0.12183432541584652</v>
      </c>
    </row>
    <row r="16" spans="1:11">
      <c r="B16" s="40"/>
      <c r="C16" s="47"/>
      <c r="D16" s="47"/>
      <c r="E16" s="47"/>
      <c r="F16" s="47"/>
      <c r="G16" s="53"/>
      <c r="H16" s="40"/>
      <c r="I16" s="47"/>
      <c r="J16" s="47"/>
      <c r="K16" s="47"/>
    </row>
    <row r="17" spans="1:11">
      <c r="B17" s="38" t="s">
        <v>363</v>
      </c>
      <c r="C17" s="39" t="s">
        <v>489</v>
      </c>
      <c r="D17" s="39" t="s">
        <v>513</v>
      </c>
      <c r="E17" s="39" t="s">
        <v>490</v>
      </c>
      <c r="F17" s="39"/>
      <c r="G17" s="53"/>
      <c r="H17" s="38" t="s">
        <v>488</v>
      </c>
      <c r="I17" s="39" t="s">
        <v>489</v>
      </c>
      <c r="J17" s="39" t="s">
        <v>516</v>
      </c>
      <c r="K17" s="39" t="s">
        <v>490</v>
      </c>
    </row>
    <row r="18" spans="1:11">
      <c r="A18" s="50" t="s">
        <v>495</v>
      </c>
      <c r="B18" s="41" t="s">
        <v>68</v>
      </c>
      <c r="C18" s="42">
        <v>300000</v>
      </c>
      <c r="D18" s="43">
        <f>C18/'ENE Universe'!$H$121</f>
        <v>0.16408948182319277</v>
      </c>
      <c r="E18" s="44">
        <f>C18/'ENE Universe'!$U$121</f>
        <v>4.192409692560535E-2</v>
      </c>
      <c r="F18" s="44"/>
      <c r="G18" s="50" t="s">
        <v>495</v>
      </c>
      <c r="H18" s="41" t="s">
        <v>76</v>
      </c>
      <c r="I18" s="42">
        <v>350000</v>
      </c>
      <c r="J18" s="43">
        <f>I18/'ENE Universe'!$K$121</f>
        <v>0.22176601784266017</v>
      </c>
      <c r="K18" s="44">
        <f>I18/'ENE Universe'!$U$121</f>
        <v>4.8911446413206244E-2</v>
      </c>
    </row>
    <row r="19" spans="1:11">
      <c r="A19" s="50" t="s">
        <v>495</v>
      </c>
      <c r="B19" s="41" t="s">
        <v>138</v>
      </c>
      <c r="C19" s="42">
        <v>215000</v>
      </c>
      <c r="D19" s="43">
        <f>C19/'ENE Universe'!$H$121</f>
        <v>0.11759746197328814</v>
      </c>
      <c r="E19" s="44">
        <f>C19/'ENE Universe'!$U$121</f>
        <v>3.0045602796683838E-2</v>
      </c>
      <c r="F19" s="44"/>
      <c r="G19" s="50" t="s">
        <v>495</v>
      </c>
      <c r="H19" s="41" t="s">
        <v>479</v>
      </c>
      <c r="I19" s="42">
        <v>250000</v>
      </c>
      <c r="J19" s="43">
        <f>I19/'ENE Universe'!$K$121</f>
        <v>0.158404298459043</v>
      </c>
      <c r="K19" s="44">
        <f>I19/'ENE Universe'!$U$121</f>
        <v>3.4936747438004463E-2</v>
      </c>
    </row>
    <row r="20" spans="1:11">
      <c r="A20" s="50" t="s">
        <v>495</v>
      </c>
      <c r="B20" s="41" t="s">
        <v>76</v>
      </c>
      <c r="C20" s="42">
        <v>200000</v>
      </c>
      <c r="D20" s="43">
        <f>C20/'ENE Universe'!$H$121</f>
        <v>0.10939298788212851</v>
      </c>
      <c r="E20" s="44">
        <f>C20/'ENE Universe'!$U$121</f>
        <v>2.7949397950403569E-2</v>
      </c>
      <c r="F20" s="44"/>
      <c r="G20" s="50" t="s">
        <v>495</v>
      </c>
      <c r="H20" s="41" t="s">
        <v>68</v>
      </c>
      <c r="I20" s="42">
        <v>200000</v>
      </c>
      <c r="J20" s="43">
        <f>I20/'ENE Universe'!$K$121</f>
        <v>0.12672343876723438</v>
      </c>
      <c r="K20" s="44">
        <f>I20/'ENE Universe'!$U$121</f>
        <v>2.7949397950403569E-2</v>
      </c>
    </row>
    <row r="21" spans="1:11">
      <c r="A21" s="50" t="s">
        <v>495</v>
      </c>
      <c r="B21" s="41" t="s">
        <v>83</v>
      </c>
      <c r="C21" s="42">
        <v>150000</v>
      </c>
      <c r="D21" s="43">
        <f>C21/'ENE Universe'!$H$121</f>
        <v>8.2044740911596387E-2</v>
      </c>
      <c r="E21" s="44">
        <f>C21/'ENE Universe'!$U$121</f>
        <v>2.0962048462802675E-2</v>
      </c>
      <c r="F21" s="44"/>
      <c r="G21" s="50" t="s">
        <v>495</v>
      </c>
      <c r="H21" s="41" t="s">
        <v>87</v>
      </c>
      <c r="I21" s="42">
        <v>100000</v>
      </c>
      <c r="J21" s="43">
        <f>I21/'ENE Universe'!$K$121</f>
        <v>6.336171938361719E-2</v>
      </c>
      <c r="K21" s="44">
        <f>I21/'ENE Universe'!$U$121</f>
        <v>1.3974698975201785E-2</v>
      </c>
    </row>
    <row r="22" spans="1:11">
      <c r="A22" s="50" t="s">
        <v>495</v>
      </c>
      <c r="B22" s="41" t="s">
        <v>89</v>
      </c>
      <c r="C22" s="42">
        <f>(368083-$G$69)/4</f>
        <v>92020.75</v>
      </c>
      <c r="D22" s="43">
        <f>C22/'ENE Universe'!$H$121</f>
        <v>5.0332123948271884E-2</v>
      </c>
      <c r="E22" s="44">
        <f>C22/'ENE Universe'!$U$121</f>
        <v>1.2859622807222996E-2</v>
      </c>
      <c r="F22" s="44"/>
      <c r="G22" s="50" t="s">
        <v>495</v>
      </c>
      <c r="H22" s="41" t="s">
        <v>457</v>
      </c>
      <c r="I22" s="42">
        <v>75000</v>
      </c>
      <c r="J22" s="43">
        <f>I22/'ENE Universe'!$K$121</f>
        <v>4.7521289537712896E-2</v>
      </c>
      <c r="K22" s="44">
        <f>I22/'ENE Universe'!$U$121</f>
        <v>1.0481024231401338E-2</v>
      </c>
    </row>
    <row r="23" spans="1:11">
      <c r="B23" s="46" t="s">
        <v>374</v>
      </c>
      <c r="C23" s="42">
        <f>SUM(C18:C22)</f>
        <v>957020.75</v>
      </c>
      <c r="D23" s="43">
        <f>SUM(D18:D22)</f>
        <v>0.52345679653847776</v>
      </c>
      <c r="E23" s="43">
        <f>SUM(E18:E22)</f>
        <v>0.13374076894271841</v>
      </c>
      <c r="F23" s="43"/>
      <c r="G23" s="53"/>
      <c r="H23" s="46" t="s">
        <v>374</v>
      </c>
      <c r="I23" s="42">
        <f>SUM(I18:I22)</f>
        <v>975000</v>
      </c>
      <c r="J23" s="43">
        <f>SUM(J18:J22)</f>
        <v>0.6177767639902676</v>
      </c>
      <c r="K23" s="43">
        <f>SUM(K18:K22)</f>
        <v>0.13625331500821741</v>
      </c>
    </row>
    <row r="24" spans="1:11" ht="9" customHeight="1">
      <c r="E24" s="37"/>
      <c r="F24" s="37"/>
    </row>
    <row r="25" spans="1:11">
      <c r="B25" s="48" t="s">
        <v>517</v>
      </c>
    </row>
    <row r="34" spans="7:10">
      <c r="G34" s="54"/>
      <c r="H34" s="12"/>
      <c r="I34" s="12"/>
      <c r="J34" s="12"/>
    </row>
    <row r="35" spans="7:10">
      <c r="G35" s="54"/>
      <c r="H35" s="12"/>
      <c r="I35" s="12"/>
      <c r="J35" s="12"/>
    </row>
    <row r="36" spans="7:10">
      <c r="G36" s="54"/>
      <c r="H36" s="12"/>
      <c r="I36" s="12"/>
      <c r="J36" s="12"/>
    </row>
    <row r="37" spans="7:10">
      <c r="G37" s="54"/>
      <c r="H37" s="12"/>
      <c r="I37" s="12"/>
      <c r="J37" s="12"/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1" workbookViewId="0">
      <selection activeCell="E48" sqref="E48"/>
    </sheetView>
  </sheetViews>
  <sheetFormatPr defaultRowHeight="12.75"/>
  <cols>
    <col min="1" max="1" width="13.42578125" bestFit="1" customWidth="1"/>
    <col min="2" max="2" width="15.42578125" bestFit="1" customWidth="1"/>
    <col min="3" max="3" width="12.85546875" bestFit="1" customWidth="1"/>
  </cols>
  <sheetData>
    <row r="1" spans="1:3">
      <c r="A1" t="s">
        <v>497</v>
      </c>
    </row>
    <row r="2" spans="1:3">
      <c r="A2" t="s">
        <v>498</v>
      </c>
      <c r="B2" t="s">
        <v>499</v>
      </c>
      <c r="C2">
        <v>263000</v>
      </c>
    </row>
    <row r="3" spans="1:3">
      <c r="B3" t="s">
        <v>500</v>
      </c>
      <c r="C3">
        <v>599000</v>
      </c>
    </row>
    <row r="4" spans="1:3">
      <c r="B4" t="s">
        <v>501</v>
      </c>
      <c r="C4">
        <v>12500</v>
      </c>
    </row>
    <row r="5" spans="1:3">
      <c r="B5" t="s">
        <v>464</v>
      </c>
      <c r="C5">
        <v>1800</v>
      </c>
    </row>
    <row r="6" spans="1:3">
      <c r="B6" t="s">
        <v>505</v>
      </c>
      <c r="C6">
        <v>0</v>
      </c>
    </row>
    <row r="7" spans="1:3">
      <c r="B7" t="s">
        <v>502</v>
      </c>
      <c r="C7">
        <v>60000</v>
      </c>
    </row>
    <row r="9" spans="1:3">
      <c r="A9" t="s">
        <v>508</v>
      </c>
      <c r="B9" t="s">
        <v>499</v>
      </c>
      <c r="C9">
        <v>741000</v>
      </c>
    </row>
    <row r="10" spans="1:3">
      <c r="B10" t="s">
        <v>500</v>
      </c>
      <c r="C10">
        <v>295000</v>
      </c>
    </row>
    <row r="11" spans="1:3">
      <c r="B11" t="s">
        <v>501</v>
      </c>
      <c r="C11">
        <v>3000</v>
      </c>
    </row>
    <row r="12" spans="1:3">
      <c r="B12" t="s">
        <v>464</v>
      </c>
      <c r="C12">
        <v>41000</v>
      </c>
    </row>
    <row r="13" spans="1:3">
      <c r="B13" t="s">
        <v>505</v>
      </c>
      <c r="C13">
        <v>0</v>
      </c>
    </row>
    <row r="14" spans="1:3">
      <c r="B14" t="s">
        <v>502</v>
      </c>
      <c r="C14">
        <v>104000</v>
      </c>
    </row>
    <row r="16" spans="1:3">
      <c r="A16" t="s">
        <v>509</v>
      </c>
      <c r="B16" t="s">
        <v>518</v>
      </c>
      <c r="C16" s="23">
        <f>C2+C9</f>
        <v>1004000</v>
      </c>
    </row>
    <row r="17" spans="1:3">
      <c r="B17" t="s">
        <v>519</v>
      </c>
      <c r="C17" s="23">
        <f>C3+C10</f>
        <v>894000</v>
      </c>
    </row>
    <row r="18" spans="1:3">
      <c r="B18" t="s">
        <v>488</v>
      </c>
      <c r="C18" s="23">
        <f>SUM(C4:C7,C11:C14)</f>
        <v>222300</v>
      </c>
    </row>
    <row r="19" spans="1:3">
      <c r="C19" s="23">
        <f>SUM(C16:C18)</f>
        <v>2120300</v>
      </c>
    </row>
    <row r="20" spans="1:3">
      <c r="C20" s="23"/>
    </row>
    <row r="21" spans="1:3">
      <c r="C21" s="23"/>
    </row>
    <row r="23" spans="1:3">
      <c r="A23" t="s">
        <v>503</v>
      </c>
    </row>
    <row r="24" spans="1:3">
      <c r="A24" t="s">
        <v>504</v>
      </c>
      <c r="B24" t="s">
        <v>499</v>
      </c>
      <c r="C24">
        <v>1343000</v>
      </c>
    </row>
    <row r="25" spans="1:3">
      <c r="B25" t="s">
        <v>500</v>
      </c>
      <c r="C25">
        <v>1462000</v>
      </c>
    </row>
    <row r="26" spans="1:3">
      <c r="B26" t="s">
        <v>501</v>
      </c>
      <c r="C26">
        <v>43000</v>
      </c>
    </row>
    <row r="27" spans="1:3">
      <c r="B27" t="s">
        <v>464</v>
      </c>
      <c r="C27">
        <v>333000</v>
      </c>
    </row>
    <row r="28" spans="1:3">
      <c r="B28" t="s">
        <v>505</v>
      </c>
      <c r="C28">
        <v>5000</v>
      </c>
    </row>
    <row r="29" spans="1:3">
      <c r="B29" t="s">
        <v>502</v>
      </c>
      <c r="C29">
        <v>502000</v>
      </c>
    </row>
    <row r="31" spans="1:3">
      <c r="A31" t="s">
        <v>506</v>
      </c>
      <c r="B31" t="s">
        <v>499</v>
      </c>
      <c r="C31">
        <v>2568000</v>
      </c>
    </row>
    <row r="32" spans="1:3">
      <c r="B32" t="s">
        <v>500</v>
      </c>
      <c r="C32">
        <v>3498000</v>
      </c>
    </row>
    <row r="33" spans="1:3">
      <c r="B33" t="s">
        <v>501</v>
      </c>
      <c r="C33">
        <v>120000</v>
      </c>
    </row>
    <row r="34" spans="1:3">
      <c r="B34" t="s">
        <v>464</v>
      </c>
      <c r="C34">
        <v>788000</v>
      </c>
    </row>
    <row r="35" spans="1:3">
      <c r="B35" t="s">
        <v>505</v>
      </c>
      <c r="C35">
        <v>0</v>
      </c>
    </row>
    <row r="36" spans="1:3">
      <c r="B36" t="s">
        <v>502</v>
      </c>
      <c r="C36">
        <v>949000</v>
      </c>
    </row>
    <row r="38" spans="1:3">
      <c r="A38" t="s">
        <v>507</v>
      </c>
      <c r="B38" t="s">
        <v>499</v>
      </c>
      <c r="C38">
        <v>242000</v>
      </c>
    </row>
    <row r="39" spans="1:3">
      <c r="B39" t="s">
        <v>500</v>
      </c>
      <c r="C39">
        <v>232000</v>
      </c>
    </row>
    <row r="40" spans="1:3">
      <c r="B40" t="s">
        <v>501</v>
      </c>
      <c r="C40">
        <v>28000</v>
      </c>
    </row>
    <row r="41" spans="1:3">
      <c r="B41" t="s">
        <v>464</v>
      </c>
      <c r="C41">
        <v>25000</v>
      </c>
    </row>
    <row r="42" spans="1:3">
      <c r="B42" t="s">
        <v>505</v>
      </c>
      <c r="C42">
        <v>2000</v>
      </c>
    </row>
    <row r="43" spans="1:3">
      <c r="B43" t="s">
        <v>502</v>
      </c>
      <c r="C43">
        <v>50000</v>
      </c>
    </row>
    <row r="45" spans="1:3">
      <c r="A45" t="s">
        <v>510</v>
      </c>
      <c r="B45" t="s">
        <v>518</v>
      </c>
      <c r="C45" s="23">
        <f>C24+C31+C38</f>
        <v>4153000</v>
      </c>
    </row>
    <row r="46" spans="1:3">
      <c r="B46" t="s">
        <v>519</v>
      </c>
      <c r="C46" s="23">
        <f>C25+C32+C39</f>
        <v>5192000</v>
      </c>
    </row>
    <row r="47" spans="1:3">
      <c r="B47" t="s">
        <v>488</v>
      </c>
      <c r="C47" s="23">
        <f>SUM(C26:C29,C33:C36,C40:C43)</f>
        <v>2845000</v>
      </c>
    </row>
    <row r="48" spans="1:3">
      <c r="C48" s="23">
        <f>SUM(C45:C47)</f>
        <v>12190000</v>
      </c>
    </row>
    <row r="49" spans="3:3">
      <c r="C49" s="23"/>
    </row>
    <row r="50" spans="3:3">
      <c r="C50" s="2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8"/>
  <sheetViews>
    <sheetView tabSelected="1" zoomScale="80" zoomScaleNormal="80" workbookViewId="0">
      <pane xSplit="5" ySplit="1" topLeftCell="F113" activePane="bottomRight" state="frozen"/>
      <selection pane="topRight" activeCell="E1" sqref="E1"/>
      <selection pane="bottomLeft" activeCell="A3" sqref="A3"/>
      <selection pane="bottomRight" activeCell="D2" sqref="D2:W124"/>
    </sheetView>
  </sheetViews>
  <sheetFormatPr defaultRowHeight="12.75" outlineLevelCol="1"/>
  <cols>
    <col min="1" max="1" width="11.140625" hidden="1" customWidth="1"/>
    <col min="2" max="2" width="11.42578125" hidden="1" customWidth="1"/>
    <col min="3" max="3" width="4.140625" bestFit="1" customWidth="1"/>
    <col min="4" max="4" width="33.85546875" customWidth="1"/>
    <col min="5" max="5" width="10.7109375" customWidth="1"/>
    <col min="6" max="6" width="14.42578125" style="12" bestFit="1" customWidth="1"/>
    <col min="7" max="7" width="11" style="12" bestFit="1" customWidth="1"/>
    <col min="8" max="8" width="13.28515625" style="12" bestFit="1" customWidth="1"/>
    <col min="9" max="9" width="11.7109375" style="12" bestFit="1" customWidth="1"/>
    <col min="10" max="10" width="11.28515625" style="12" bestFit="1" customWidth="1"/>
    <col min="11" max="11" width="11.5703125" style="12" customWidth="1"/>
    <col min="12" max="12" width="12" style="12" hidden="1" customWidth="1" outlineLevel="1"/>
    <col min="13" max="13" width="11.85546875" style="12" hidden="1" customWidth="1" outlineLevel="1"/>
    <col min="14" max="14" width="10.5703125" style="12" hidden="1" customWidth="1" outlineLevel="1"/>
    <col min="15" max="15" width="11.85546875" style="12" hidden="1" customWidth="1" outlineLevel="1"/>
    <col min="16" max="16" width="10.42578125" style="12" hidden="1" customWidth="1" outlineLevel="1"/>
    <col min="17" max="17" width="10.5703125" style="12" hidden="1" customWidth="1" outlineLevel="1"/>
    <col min="18" max="18" width="10.42578125" style="12" hidden="1" customWidth="1" outlineLevel="1"/>
    <col min="19" max="19" width="10.5703125" style="12" hidden="1" customWidth="1" outlineLevel="1"/>
    <col min="20" max="20" width="9.5703125" style="12" hidden="1" customWidth="1" outlineLevel="1"/>
    <col min="21" max="21" width="14.5703125" style="12" bestFit="1" customWidth="1" collapsed="1"/>
    <col min="24" max="24" width="13.28515625" bestFit="1" customWidth="1"/>
  </cols>
  <sheetData>
    <row r="1" spans="1:23">
      <c r="A1" s="1" t="s">
        <v>2</v>
      </c>
      <c r="B1" s="1" t="s">
        <v>3</v>
      </c>
      <c r="C1" s="1"/>
      <c r="D1" s="1" t="s">
        <v>4</v>
      </c>
      <c r="E1" s="1" t="s">
        <v>5</v>
      </c>
      <c r="F1" s="1" t="s">
        <v>97</v>
      </c>
      <c r="G1" s="1" t="s">
        <v>205</v>
      </c>
      <c r="H1" s="1" t="s">
        <v>363</v>
      </c>
      <c r="I1" s="1" t="s">
        <v>364</v>
      </c>
      <c r="J1" s="1" t="s">
        <v>368</v>
      </c>
      <c r="K1" s="1" t="s">
        <v>488</v>
      </c>
      <c r="L1" s="1" t="s">
        <v>464</v>
      </c>
      <c r="M1" s="1" t="s">
        <v>367</v>
      </c>
      <c r="N1" s="1" t="s">
        <v>450</v>
      </c>
      <c r="O1" s="1" t="s">
        <v>455</v>
      </c>
      <c r="P1" s="1" t="s">
        <v>373</v>
      </c>
      <c r="Q1" s="1" t="s">
        <v>483</v>
      </c>
      <c r="R1" s="1" t="s">
        <v>454</v>
      </c>
      <c r="S1" s="1" t="s">
        <v>335</v>
      </c>
      <c r="T1" s="1" t="s">
        <v>469</v>
      </c>
      <c r="U1" s="1" t="s">
        <v>374</v>
      </c>
      <c r="V1" s="1" t="s">
        <v>537</v>
      </c>
      <c r="W1" s="1" t="s">
        <v>538</v>
      </c>
    </row>
    <row r="2" spans="1:23">
      <c r="A2" s="1"/>
      <c r="B2" s="1"/>
      <c r="C2" s="1"/>
      <c r="D2" s="29" t="s">
        <v>124</v>
      </c>
      <c r="E2" s="7" t="s">
        <v>69</v>
      </c>
      <c r="F2" s="12">
        <v>25000</v>
      </c>
      <c r="K2" s="12">
        <f>SUM(L2:T2)</f>
        <v>0</v>
      </c>
      <c r="U2" s="12">
        <f>SUM(F2:K2)</f>
        <v>25000</v>
      </c>
      <c r="V2" t="s">
        <v>522</v>
      </c>
      <c r="W2" t="s">
        <v>522</v>
      </c>
    </row>
    <row r="3" spans="1:23">
      <c r="A3" s="1"/>
      <c r="B3" s="1"/>
      <c r="C3" s="1"/>
      <c r="D3" s="29" t="s">
        <v>544</v>
      </c>
      <c r="E3" s="7"/>
      <c r="V3" t="s">
        <v>34</v>
      </c>
      <c r="W3" t="s">
        <v>539</v>
      </c>
    </row>
    <row r="4" spans="1:23">
      <c r="A4" s="1"/>
      <c r="B4" s="1"/>
      <c r="C4" s="1"/>
      <c r="D4" s="29" t="s">
        <v>547</v>
      </c>
      <c r="E4" s="7"/>
      <c r="V4" t="s">
        <v>522</v>
      </c>
      <c r="W4" t="s">
        <v>522</v>
      </c>
    </row>
    <row r="5" spans="1:23">
      <c r="A5" s="1"/>
      <c r="B5" s="1"/>
      <c r="C5" s="1"/>
      <c r="D5" s="29" t="s">
        <v>128</v>
      </c>
      <c r="E5" s="7"/>
      <c r="V5" t="s">
        <v>14</v>
      </c>
      <c r="W5" t="s">
        <v>559</v>
      </c>
    </row>
    <row r="6" spans="1:23">
      <c r="A6" s="1"/>
      <c r="B6" s="1"/>
      <c r="C6" s="1"/>
      <c r="D6" s="13" t="s">
        <v>449</v>
      </c>
      <c r="E6" t="s">
        <v>11</v>
      </c>
      <c r="F6" s="12">
        <v>40000</v>
      </c>
      <c r="K6" s="12">
        <f t="shared" ref="K6:K98" si="0">SUM(L6:T6)</f>
        <v>0</v>
      </c>
      <c r="U6" s="12">
        <f t="shared" ref="U6:U97" si="1">SUM(F6:K6)</f>
        <v>40000</v>
      </c>
      <c r="V6" t="s">
        <v>14</v>
      </c>
      <c r="W6" t="s">
        <v>14</v>
      </c>
    </row>
    <row r="7" spans="1:23">
      <c r="A7" s="1"/>
      <c r="B7" s="1"/>
      <c r="C7" s="1"/>
      <c r="D7" s="29" t="s">
        <v>548</v>
      </c>
      <c r="V7" t="s">
        <v>545</v>
      </c>
      <c r="W7" t="s">
        <v>545</v>
      </c>
    </row>
    <row r="8" spans="1:23">
      <c r="A8" s="1"/>
      <c r="B8" s="1"/>
      <c r="C8" s="1"/>
      <c r="D8" s="13" t="s">
        <v>138</v>
      </c>
      <c r="E8" t="s">
        <v>140</v>
      </c>
      <c r="F8" s="12">
        <v>53000</v>
      </c>
      <c r="G8" s="12">
        <v>19000</v>
      </c>
      <c r="H8" s="12">
        <v>215000</v>
      </c>
      <c r="K8" s="12">
        <f t="shared" si="0"/>
        <v>0</v>
      </c>
      <c r="U8" s="12">
        <f t="shared" si="1"/>
        <v>287000</v>
      </c>
      <c r="V8" t="s">
        <v>522</v>
      </c>
      <c r="W8" t="s">
        <v>539</v>
      </c>
    </row>
    <row r="9" spans="1:23">
      <c r="A9" s="1"/>
      <c r="B9" s="1"/>
      <c r="C9" s="1"/>
      <c r="D9" s="13" t="s">
        <v>17</v>
      </c>
      <c r="E9" t="s">
        <v>18</v>
      </c>
      <c r="F9" s="12">
        <v>50000</v>
      </c>
      <c r="G9" s="12">
        <v>40000</v>
      </c>
      <c r="H9" s="12">
        <v>40000</v>
      </c>
      <c r="K9" s="12">
        <f t="shared" si="0"/>
        <v>0</v>
      </c>
      <c r="U9" s="12">
        <f t="shared" si="1"/>
        <v>130000</v>
      </c>
      <c r="V9" t="s">
        <v>14</v>
      </c>
      <c r="W9" t="s">
        <v>14</v>
      </c>
    </row>
    <row r="10" spans="1:23">
      <c r="A10" s="1"/>
      <c r="B10" s="1"/>
      <c r="C10" s="1"/>
      <c r="D10" s="13" t="s">
        <v>22</v>
      </c>
      <c r="E10" t="s">
        <v>23</v>
      </c>
      <c r="F10" s="12">
        <v>46000</v>
      </c>
      <c r="G10" s="12">
        <v>15000</v>
      </c>
      <c r="H10" s="12">
        <v>9000</v>
      </c>
      <c r="I10" s="12">
        <v>3600</v>
      </c>
      <c r="K10" s="12">
        <f t="shared" si="0"/>
        <v>2200</v>
      </c>
      <c r="M10" s="12">
        <v>2200</v>
      </c>
      <c r="U10" s="12">
        <f t="shared" si="1"/>
        <v>75800</v>
      </c>
      <c r="V10" t="s">
        <v>14</v>
      </c>
      <c r="W10" t="s">
        <v>14</v>
      </c>
    </row>
    <row r="11" spans="1:23">
      <c r="A11" s="1"/>
      <c r="B11" s="1"/>
      <c r="C11" s="1"/>
      <c r="D11" s="13" t="s">
        <v>470</v>
      </c>
      <c r="E11" t="s">
        <v>284</v>
      </c>
      <c r="K11" s="12">
        <f t="shared" si="0"/>
        <v>20000</v>
      </c>
      <c r="O11" s="12">
        <v>20000</v>
      </c>
      <c r="U11" s="12">
        <f t="shared" si="1"/>
        <v>20000</v>
      </c>
      <c r="V11" t="s">
        <v>559</v>
      </c>
      <c r="W11" t="s">
        <v>559</v>
      </c>
    </row>
    <row r="12" spans="1:23">
      <c r="A12" s="1"/>
      <c r="B12" s="1"/>
      <c r="C12" s="1"/>
      <c r="D12" s="13" t="s">
        <v>26</v>
      </c>
      <c r="E12" t="s">
        <v>27</v>
      </c>
      <c r="F12" s="12">
        <f>0.3*35000</f>
        <v>10500</v>
      </c>
      <c r="G12" s="12">
        <f>0.1*35000</f>
        <v>3500</v>
      </c>
      <c r="H12" s="12">
        <f>0.4*35000</f>
        <v>14000</v>
      </c>
      <c r="I12" s="12">
        <f>35000*0.1</f>
        <v>3500</v>
      </c>
      <c r="K12" s="12">
        <f t="shared" si="0"/>
        <v>3500</v>
      </c>
      <c r="N12" s="12">
        <f>35000*0.1</f>
        <v>3500</v>
      </c>
      <c r="U12" s="12">
        <f t="shared" si="1"/>
        <v>35000</v>
      </c>
      <c r="V12" t="s">
        <v>14</v>
      </c>
      <c r="W12" t="s">
        <v>559</v>
      </c>
    </row>
    <row r="13" spans="1:23">
      <c r="A13" s="1"/>
      <c r="B13" s="1"/>
      <c r="C13" s="1"/>
      <c r="D13" s="13" t="s">
        <v>527</v>
      </c>
      <c r="V13" t="s">
        <v>14</v>
      </c>
      <c r="W13" t="s">
        <v>559</v>
      </c>
    </row>
    <row r="14" spans="1:23">
      <c r="A14" s="1"/>
      <c r="B14" s="1"/>
      <c r="C14" s="1"/>
      <c r="D14" s="13" t="s">
        <v>532</v>
      </c>
      <c r="V14" t="s">
        <v>14</v>
      </c>
      <c r="W14" t="s">
        <v>559</v>
      </c>
    </row>
    <row r="15" spans="1:23">
      <c r="A15" s="1"/>
      <c r="B15" s="1"/>
      <c r="C15" s="1"/>
      <c r="D15" s="13" t="s">
        <v>533</v>
      </c>
      <c r="V15" t="s">
        <v>522</v>
      </c>
      <c r="W15" t="s">
        <v>522</v>
      </c>
    </row>
    <row r="16" spans="1:23">
      <c r="A16" s="1"/>
      <c r="B16" s="1"/>
      <c r="C16" s="1"/>
      <c r="D16" s="13" t="s">
        <v>491</v>
      </c>
      <c r="K16" s="12">
        <f t="shared" si="0"/>
        <v>0</v>
      </c>
      <c r="U16" s="12">
        <f t="shared" si="1"/>
        <v>0</v>
      </c>
      <c r="V16" t="s">
        <v>14</v>
      </c>
      <c r="W16" t="s">
        <v>14</v>
      </c>
    </row>
    <row r="17" spans="1:23">
      <c r="A17" s="1"/>
      <c r="B17" s="1"/>
      <c r="C17" s="1"/>
      <c r="D17" s="13" t="s">
        <v>153</v>
      </c>
      <c r="V17" t="s">
        <v>522</v>
      </c>
      <c r="W17" t="s">
        <v>522</v>
      </c>
    </row>
    <row r="18" spans="1:23">
      <c r="A18" s="1"/>
      <c r="B18" s="1"/>
      <c r="C18" s="1"/>
      <c r="D18" s="13" t="s">
        <v>156</v>
      </c>
      <c r="E18" t="s">
        <v>480</v>
      </c>
      <c r="F18" s="12">
        <v>67000</v>
      </c>
      <c r="H18" s="12">
        <v>67000</v>
      </c>
      <c r="K18" s="12">
        <f t="shared" si="0"/>
        <v>40000</v>
      </c>
      <c r="M18" s="12">
        <v>40000</v>
      </c>
      <c r="U18" s="12">
        <f t="shared" si="1"/>
        <v>174000</v>
      </c>
      <c r="V18" t="s">
        <v>522</v>
      </c>
      <c r="W18" t="s">
        <v>539</v>
      </c>
    </row>
    <row r="19" spans="1:23">
      <c r="A19" s="1"/>
      <c r="B19" s="1"/>
      <c r="C19" s="1"/>
      <c r="D19" s="13" t="s">
        <v>554</v>
      </c>
      <c r="V19" t="s">
        <v>539</v>
      </c>
      <c r="W19" t="s">
        <v>539</v>
      </c>
    </row>
    <row r="20" spans="1:23">
      <c r="A20" s="1"/>
      <c r="B20" s="1"/>
      <c r="C20" s="1"/>
      <c r="D20" s="13" t="s">
        <v>530</v>
      </c>
      <c r="V20" t="s">
        <v>522</v>
      </c>
      <c r="W20" t="s">
        <v>559</v>
      </c>
    </row>
    <row r="21" spans="1:23">
      <c r="A21" s="1"/>
      <c r="B21" s="1"/>
      <c r="C21" s="1"/>
      <c r="D21" s="13" t="s">
        <v>158</v>
      </c>
      <c r="E21" t="s">
        <v>482</v>
      </c>
      <c r="F21" s="12">
        <v>30000</v>
      </c>
      <c r="K21" s="12">
        <f t="shared" si="0"/>
        <v>0</v>
      </c>
      <c r="U21" s="12">
        <f t="shared" si="1"/>
        <v>30000</v>
      </c>
      <c r="V21" t="s">
        <v>522</v>
      </c>
      <c r="W21" t="s">
        <v>559</v>
      </c>
    </row>
    <row r="22" spans="1:23">
      <c r="A22" s="1"/>
      <c r="B22" s="1"/>
      <c r="C22" s="1"/>
      <c r="D22" s="13" t="s">
        <v>456</v>
      </c>
      <c r="E22" t="s">
        <v>37</v>
      </c>
      <c r="F22" s="12">
        <v>55000</v>
      </c>
      <c r="G22" s="12">
        <v>50000</v>
      </c>
      <c r="H22" s="12">
        <v>50000</v>
      </c>
      <c r="K22" s="12">
        <f t="shared" si="0"/>
        <v>0</v>
      </c>
      <c r="U22" s="12">
        <f t="shared" si="1"/>
        <v>155000</v>
      </c>
      <c r="V22" t="s">
        <v>522</v>
      </c>
      <c r="W22" t="s">
        <v>539</v>
      </c>
    </row>
    <row r="23" spans="1:23">
      <c r="A23" s="1"/>
      <c r="B23" s="1"/>
      <c r="C23" s="1"/>
      <c r="D23" s="13" t="s">
        <v>477</v>
      </c>
      <c r="V23" t="s">
        <v>539</v>
      </c>
      <c r="W23" t="s">
        <v>539</v>
      </c>
    </row>
    <row r="24" spans="1:23">
      <c r="A24" s="1"/>
      <c r="B24" s="1"/>
      <c r="C24" s="1"/>
      <c r="D24" s="13" t="s">
        <v>161</v>
      </c>
      <c r="E24" t="s">
        <v>162</v>
      </c>
      <c r="K24" s="12">
        <f t="shared" si="0"/>
        <v>35000</v>
      </c>
      <c r="N24" s="12">
        <v>35000</v>
      </c>
      <c r="U24" s="12">
        <f t="shared" si="1"/>
        <v>35000</v>
      </c>
      <c r="V24" t="s">
        <v>522</v>
      </c>
      <c r="W24" t="s">
        <v>545</v>
      </c>
    </row>
    <row r="25" spans="1:23">
      <c r="A25" s="1"/>
      <c r="B25" s="1"/>
      <c r="C25" s="1"/>
      <c r="D25" s="13" t="s">
        <v>165</v>
      </c>
      <c r="E25" t="s">
        <v>166</v>
      </c>
      <c r="F25" s="12">
        <v>17000</v>
      </c>
      <c r="K25" s="12">
        <f t="shared" si="0"/>
        <v>39000</v>
      </c>
      <c r="P25" s="12">
        <v>11000</v>
      </c>
      <c r="S25" s="12">
        <v>28000</v>
      </c>
      <c r="U25" s="12">
        <f t="shared" si="1"/>
        <v>56000</v>
      </c>
      <c r="V25" t="s">
        <v>522</v>
      </c>
      <c r="W25" t="s">
        <v>545</v>
      </c>
    </row>
    <row r="26" spans="1:23">
      <c r="A26" s="1"/>
      <c r="B26" s="1"/>
      <c r="C26" s="1"/>
      <c r="D26" s="13" t="s">
        <v>168</v>
      </c>
      <c r="K26" s="12">
        <f t="shared" si="0"/>
        <v>35500</v>
      </c>
      <c r="M26" s="12">
        <v>35500</v>
      </c>
      <c r="U26" s="12">
        <f t="shared" si="1"/>
        <v>35500</v>
      </c>
      <c r="V26" t="s">
        <v>559</v>
      </c>
      <c r="W26" t="s">
        <v>559</v>
      </c>
    </row>
    <row r="27" spans="1:23">
      <c r="A27" s="1"/>
      <c r="B27" s="1"/>
      <c r="C27" s="1"/>
      <c r="D27" s="13" t="s">
        <v>171</v>
      </c>
      <c r="F27" s="12">
        <v>10200</v>
      </c>
      <c r="K27" s="12">
        <f t="shared" si="0"/>
        <v>0</v>
      </c>
      <c r="U27" s="12">
        <f t="shared" si="1"/>
        <v>10200</v>
      </c>
      <c r="V27" t="s">
        <v>559</v>
      </c>
      <c r="W27" t="s">
        <v>559</v>
      </c>
    </row>
    <row r="28" spans="1:23">
      <c r="A28" s="1"/>
      <c r="B28" s="1"/>
      <c r="C28" s="1"/>
      <c r="D28" s="13" t="s">
        <v>173</v>
      </c>
      <c r="E28" t="s">
        <v>176</v>
      </c>
      <c r="K28" s="12">
        <f t="shared" si="0"/>
        <v>0</v>
      </c>
      <c r="U28" s="12">
        <f t="shared" si="1"/>
        <v>0</v>
      </c>
      <c r="V28" t="s">
        <v>522</v>
      </c>
      <c r="W28" t="s">
        <v>539</v>
      </c>
    </row>
    <row r="29" spans="1:23">
      <c r="A29" s="1"/>
      <c r="B29" s="1"/>
      <c r="C29" s="1"/>
      <c r="D29" s="13" t="s">
        <v>460</v>
      </c>
      <c r="E29" t="s">
        <v>67</v>
      </c>
      <c r="F29" s="12">
        <v>46000</v>
      </c>
      <c r="G29" s="12">
        <v>5000</v>
      </c>
      <c r="H29" s="12">
        <v>27000</v>
      </c>
      <c r="J29" s="12">
        <v>23000</v>
      </c>
      <c r="K29" s="12">
        <f t="shared" si="0"/>
        <v>0</v>
      </c>
      <c r="U29" s="12">
        <f t="shared" si="1"/>
        <v>101000</v>
      </c>
      <c r="V29" t="s">
        <v>522</v>
      </c>
      <c r="W29" t="s">
        <v>522</v>
      </c>
    </row>
    <row r="30" spans="1:23">
      <c r="A30" s="1"/>
      <c r="B30" s="1"/>
      <c r="C30" s="1"/>
      <c r="D30" s="13" t="s">
        <v>550</v>
      </c>
      <c r="V30" t="s">
        <v>545</v>
      </c>
      <c r="W30" t="s">
        <v>545</v>
      </c>
    </row>
    <row r="31" spans="1:23">
      <c r="A31" s="1"/>
      <c r="B31" s="1"/>
      <c r="C31" s="1"/>
      <c r="D31" s="13" t="s">
        <v>549</v>
      </c>
      <c r="V31" t="s">
        <v>545</v>
      </c>
      <c r="W31" t="s">
        <v>545</v>
      </c>
    </row>
    <row r="32" spans="1:23">
      <c r="A32" s="1"/>
      <c r="B32" s="1"/>
      <c r="C32" s="1"/>
      <c r="D32" s="13" t="s">
        <v>175</v>
      </c>
      <c r="V32" t="s">
        <v>14</v>
      </c>
      <c r="W32" t="s">
        <v>14</v>
      </c>
    </row>
    <row r="33" spans="1:23">
      <c r="A33" s="1"/>
      <c r="B33" s="1"/>
      <c r="C33" s="1"/>
      <c r="D33" s="13" t="s">
        <v>457</v>
      </c>
      <c r="E33" t="s">
        <v>49</v>
      </c>
      <c r="K33" s="12">
        <f t="shared" si="0"/>
        <v>75000</v>
      </c>
      <c r="O33" s="12">
        <v>75000</v>
      </c>
      <c r="U33" s="12">
        <f t="shared" si="1"/>
        <v>75000</v>
      </c>
      <c r="V33" t="s">
        <v>14</v>
      </c>
      <c r="W33" t="s">
        <v>14</v>
      </c>
    </row>
    <row r="34" spans="1:23">
      <c r="A34" s="1"/>
      <c r="B34" s="1"/>
      <c r="C34" s="1"/>
      <c r="D34" s="13" t="s">
        <v>461</v>
      </c>
      <c r="F34" s="12">
        <v>30000</v>
      </c>
      <c r="K34" s="12">
        <f t="shared" si="0"/>
        <v>0</v>
      </c>
      <c r="U34" s="12">
        <f t="shared" si="1"/>
        <v>30000</v>
      </c>
      <c r="V34" t="s">
        <v>522</v>
      </c>
      <c r="W34" t="s">
        <v>545</v>
      </c>
    </row>
    <row r="35" spans="1:23">
      <c r="A35" s="1"/>
      <c r="B35" s="1"/>
      <c r="C35" s="1"/>
      <c r="D35" s="13" t="s">
        <v>178</v>
      </c>
      <c r="E35" t="s">
        <v>179</v>
      </c>
      <c r="H35" s="12">
        <v>50000</v>
      </c>
      <c r="K35" s="12">
        <f t="shared" si="0"/>
        <v>0</v>
      </c>
      <c r="U35" s="12">
        <f t="shared" si="1"/>
        <v>50000</v>
      </c>
      <c r="V35" t="s">
        <v>14</v>
      </c>
      <c r="W35" t="s">
        <v>559</v>
      </c>
    </row>
    <row r="36" spans="1:23">
      <c r="A36" s="1"/>
      <c r="B36" s="1"/>
      <c r="C36" s="1"/>
      <c r="D36" s="13" t="s">
        <v>51</v>
      </c>
      <c r="E36" t="s">
        <v>52</v>
      </c>
      <c r="F36" s="12">
        <v>40000</v>
      </c>
      <c r="H36" s="12">
        <v>60000</v>
      </c>
      <c r="K36" s="12">
        <f t="shared" si="0"/>
        <v>0</v>
      </c>
      <c r="U36" s="12">
        <f t="shared" si="1"/>
        <v>100000</v>
      </c>
      <c r="V36" t="s">
        <v>539</v>
      </c>
      <c r="W36" t="s">
        <v>539</v>
      </c>
    </row>
    <row r="37" spans="1:23">
      <c r="A37" s="1"/>
      <c r="B37" s="1"/>
      <c r="C37" s="1"/>
      <c r="D37" s="13" t="s">
        <v>54</v>
      </c>
      <c r="E37" s="13" t="s">
        <v>55</v>
      </c>
      <c r="F37" s="12">
        <v>36000</v>
      </c>
      <c r="K37" s="12">
        <f t="shared" si="0"/>
        <v>0</v>
      </c>
      <c r="U37" s="12">
        <f t="shared" si="1"/>
        <v>36000</v>
      </c>
      <c r="V37" t="s">
        <v>545</v>
      </c>
      <c r="W37" t="s">
        <v>545</v>
      </c>
    </row>
    <row r="38" spans="1:23">
      <c r="A38" s="1"/>
      <c r="B38" s="1"/>
      <c r="C38" s="1"/>
      <c r="D38" s="13" t="s">
        <v>473</v>
      </c>
      <c r="E38" t="s">
        <v>284</v>
      </c>
      <c r="K38" s="12">
        <f t="shared" si="0"/>
        <v>15000</v>
      </c>
      <c r="O38" s="12">
        <v>15000</v>
      </c>
      <c r="U38" s="12">
        <f t="shared" si="1"/>
        <v>15000</v>
      </c>
      <c r="V38" t="s">
        <v>559</v>
      </c>
      <c r="W38" t="s">
        <v>559</v>
      </c>
    </row>
    <row r="39" spans="1:23">
      <c r="A39" s="1"/>
      <c r="B39" s="1"/>
      <c r="C39" s="1"/>
      <c r="D39" s="13" t="s">
        <v>546</v>
      </c>
      <c r="V39" t="s">
        <v>545</v>
      </c>
      <c r="W39" t="s">
        <v>545</v>
      </c>
    </row>
    <row r="40" spans="1:23">
      <c r="A40" s="1"/>
      <c r="B40" s="1"/>
      <c r="C40" s="1"/>
      <c r="D40" s="13" t="s">
        <v>185</v>
      </c>
      <c r="E40" t="s">
        <v>186</v>
      </c>
      <c r="K40" s="12">
        <f t="shared" si="0"/>
        <v>5440</v>
      </c>
      <c r="M40" s="12">
        <v>5440</v>
      </c>
      <c r="U40" s="12">
        <f t="shared" si="1"/>
        <v>5440</v>
      </c>
      <c r="V40" t="s">
        <v>539</v>
      </c>
      <c r="W40" t="s">
        <v>539</v>
      </c>
    </row>
    <row r="41" spans="1:23">
      <c r="A41" s="1"/>
      <c r="B41" s="1"/>
      <c r="C41" s="1"/>
      <c r="D41" s="13" t="s">
        <v>191</v>
      </c>
      <c r="E41" t="s">
        <v>72</v>
      </c>
      <c r="F41" s="12">
        <v>24000</v>
      </c>
      <c r="H41" s="12">
        <v>36000</v>
      </c>
      <c r="K41" s="12">
        <f t="shared" si="0"/>
        <v>0</v>
      </c>
      <c r="U41" s="12">
        <f t="shared" si="1"/>
        <v>60000</v>
      </c>
      <c r="V41" t="s">
        <v>545</v>
      </c>
      <c r="W41" t="s">
        <v>545</v>
      </c>
    </row>
    <row r="42" spans="1:23">
      <c r="A42" s="1"/>
      <c r="B42" s="1"/>
      <c r="C42" s="1"/>
      <c r="D42" s="13" t="s">
        <v>193</v>
      </c>
      <c r="E42" s="13" t="s">
        <v>72</v>
      </c>
      <c r="F42" s="12">
        <v>80000</v>
      </c>
      <c r="K42" s="12">
        <f t="shared" si="0"/>
        <v>0</v>
      </c>
      <c r="U42" s="12">
        <f t="shared" si="1"/>
        <v>80000</v>
      </c>
      <c r="V42" t="s">
        <v>545</v>
      </c>
      <c r="W42" t="s">
        <v>545</v>
      </c>
    </row>
    <row r="43" spans="1:23">
      <c r="A43" s="1"/>
      <c r="B43" s="1"/>
      <c r="C43" s="1"/>
      <c r="D43" s="13" t="s">
        <v>347</v>
      </c>
      <c r="E43" s="13"/>
      <c r="V43" t="s">
        <v>522</v>
      </c>
      <c r="W43" t="s">
        <v>522</v>
      </c>
    </row>
    <row r="44" spans="1:23">
      <c r="A44" s="1"/>
      <c r="B44" s="1"/>
      <c r="C44" s="1"/>
      <c r="D44" s="13" t="s">
        <v>535</v>
      </c>
      <c r="E44" s="13"/>
      <c r="V44" t="s">
        <v>34</v>
      </c>
      <c r="W44" t="s">
        <v>34</v>
      </c>
    </row>
    <row r="45" spans="1:23">
      <c r="A45" s="1"/>
      <c r="B45" s="1"/>
      <c r="C45" s="1"/>
      <c r="D45" s="13" t="s">
        <v>525</v>
      </c>
      <c r="E45" s="13"/>
      <c r="V45" t="s">
        <v>14</v>
      </c>
      <c r="W45" t="s">
        <v>539</v>
      </c>
    </row>
    <row r="46" spans="1:23">
      <c r="A46" s="1"/>
      <c r="B46" s="1"/>
      <c r="C46" s="1"/>
      <c r="D46" s="13" t="s">
        <v>57</v>
      </c>
      <c r="E46" t="s">
        <v>58</v>
      </c>
      <c r="G46" s="12">
        <v>7500</v>
      </c>
      <c r="I46" s="12">
        <v>7500</v>
      </c>
      <c r="K46" s="12">
        <f t="shared" si="0"/>
        <v>0</v>
      </c>
      <c r="U46" s="12">
        <f t="shared" si="1"/>
        <v>15000</v>
      </c>
      <c r="V46" t="s">
        <v>522</v>
      </c>
      <c r="W46" t="s">
        <v>539</v>
      </c>
    </row>
    <row r="47" spans="1:23">
      <c r="A47" s="1"/>
      <c r="B47" s="1"/>
      <c r="C47" s="1"/>
      <c r="D47" s="13" t="s">
        <v>60</v>
      </c>
      <c r="E47" t="s">
        <v>61</v>
      </c>
      <c r="F47" s="12">
        <v>38500</v>
      </c>
      <c r="H47" s="12">
        <v>27500</v>
      </c>
      <c r="K47" s="12">
        <f t="shared" si="0"/>
        <v>44000</v>
      </c>
      <c r="M47" s="12">
        <v>5500</v>
      </c>
      <c r="Q47" s="12">
        <v>38500</v>
      </c>
      <c r="U47" s="12">
        <f t="shared" si="1"/>
        <v>110000</v>
      </c>
      <c r="V47" t="s">
        <v>522</v>
      </c>
      <c r="W47" t="s">
        <v>522</v>
      </c>
    </row>
    <row r="48" spans="1:23">
      <c r="A48" s="1"/>
      <c r="B48" s="1"/>
      <c r="C48" s="1"/>
      <c r="D48" s="13" t="s">
        <v>534</v>
      </c>
      <c r="V48" t="s">
        <v>14</v>
      </c>
      <c r="W48" t="s">
        <v>14</v>
      </c>
    </row>
    <row r="49" spans="1:23">
      <c r="A49" s="1"/>
      <c r="B49" s="1"/>
      <c r="C49" s="1"/>
      <c r="D49" s="13" t="s">
        <v>199</v>
      </c>
      <c r="E49" t="s">
        <v>202</v>
      </c>
      <c r="F49" s="12">
        <v>16433</v>
      </c>
      <c r="K49" s="12">
        <f t="shared" si="0"/>
        <v>0</v>
      </c>
      <c r="U49" s="12">
        <f t="shared" si="1"/>
        <v>16433</v>
      </c>
      <c r="V49" t="s">
        <v>545</v>
      </c>
      <c r="W49" t="s">
        <v>545</v>
      </c>
    </row>
    <row r="50" spans="1:23">
      <c r="A50" s="1"/>
      <c r="B50" s="1"/>
      <c r="C50" s="1"/>
      <c r="D50" s="13" t="s">
        <v>127</v>
      </c>
      <c r="K50" s="12">
        <f t="shared" si="0"/>
        <v>0</v>
      </c>
      <c r="U50" s="12">
        <f t="shared" si="1"/>
        <v>0</v>
      </c>
    </row>
    <row r="51" spans="1:23">
      <c r="A51" s="1"/>
      <c r="B51" s="1"/>
      <c r="C51" s="1"/>
      <c r="D51" s="13" t="s">
        <v>206</v>
      </c>
      <c r="E51" s="13" t="s">
        <v>458</v>
      </c>
      <c r="G51" s="12">
        <v>10000</v>
      </c>
      <c r="K51" s="12">
        <f t="shared" si="0"/>
        <v>50000</v>
      </c>
      <c r="P51" s="12">
        <v>50000</v>
      </c>
      <c r="U51" s="12">
        <f t="shared" si="1"/>
        <v>60000</v>
      </c>
      <c r="V51" t="s">
        <v>545</v>
      </c>
      <c r="W51" t="s">
        <v>545</v>
      </c>
    </row>
    <row r="52" spans="1:23">
      <c r="A52" s="1"/>
      <c r="B52" s="1"/>
      <c r="C52" s="1"/>
      <c r="D52" s="13" t="s">
        <v>472</v>
      </c>
      <c r="E52" t="s">
        <v>284</v>
      </c>
      <c r="K52" s="12">
        <f t="shared" si="0"/>
        <v>10000</v>
      </c>
      <c r="O52" s="12">
        <v>10000</v>
      </c>
      <c r="U52" s="12">
        <f t="shared" si="1"/>
        <v>10000</v>
      </c>
      <c r="V52" t="s">
        <v>14</v>
      </c>
      <c r="W52" t="s">
        <v>14</v>
      </c>
    </row>
    <row r="53" spans="1:23">
      <c r="A53" s="1"/>
      <c r="B53" s="1"/>
      <c r="C53" s="1"/>
      <c r="D53" s="13" t="s">
        <v>524</v>
      </c>
      <c r="V53" t="s">
        <v>522</v>
      </c>
      <c r="W53" t="s">
        <v>522</v>
      </c>
    </row>
    <row r="54" spans="1:23">
      <c r="A54" s="1"/>
      <c r="B54" s="1"/>
      <c r="C54" s="1"/>
      <c r="D54" s="13" t="s">
        <v>211</v>
      </c>
      <c r="V54" t="s">
        <v>14</v>
      </c>
      <c r="W54" t="s">
        <v>14</v>
      </c>
    </row>
    <row r="55" spans="1:23">
      <c r="A55" s="1"/>
      <c r="B55" s="1"/>
      <c r="C55" s="1"/>
      <c r="D55" s="13" t="s">
        <v>542</v>
      </c>
      <c r="E55" s="13" t="s">
        <v>459</v>
      </c>
      <c r="F55" s="12">
        <v>20000</v>
      </c>
      <c r="H55" s="12">
        <v>30000</v>
      </c>
      <c r="K55" s="12">
        <f t="shared" si="0"/>
        <v>0</v>
      </c>
      <c r="U55" s="12">
        <f t="shared" si="1"/>
        <v>50000</v>
      </c>
      <c r="V55" t="s">
        <v>14</v>
      </c>
      <c r="W55" t="s">
        <v>14</v>
      </c>
    </row>
    <row r="56" spans="1:23">
      <c r="A56" s="1"/>
      <c r="B56" s="1"/>
      <c r="C56" s="1"/>
      <c r="D56" s="13" t="s">
        <v>212</v>
      </c>
      <c r="E56" s="13" t="s">
        <v>214</v>
      </c>
      <c r="F56" s="12">
        <v>5000</v>
      </c>
      <c r="K56" s="12">
        <f t="shared" si="0"/>
        <v>0</v>
      </c>
      <c r="U56" s="12">
        <f t="shared" si="1"/>
        <v>5000</v>
      </c>
      <c r="V56" t="s">
        <v>14</v>
      </c>
      <c r="W56" t="s">
        <v>14</v>
      </c>
    </row>
    <row r="57" spans="1:23">
      <c r="A57" s="1"/>
      <c r="B57" s="1"/>
      <c r="C57" s="1"/>
      <c r="D57" s="13" t="s">
        <v>215</v>
      </c>
      <c r="E57" s="13" t="s">
        <v>154</v>
      </c>
      <c r="F57" s="12">
        <v>65000</v>
      </c>
      <c r="H57" s="12">
        <v>65000</v>
      </c>
      <c r="K57" s="12">
        <f t="shared" si="0"/>
        <v>0</v>
      </c>
      <c r="U57" s="12">
        <f t="shared" si="1"/>
        <v>130000</v>
      </c>
      <c r="V57" t="s">
        <v>14</v>
      </c>
      <c r="W57" t="s">
        <v>545</v>
      </c>
    </row>
    <row r="58" spans="1:23">
      <c r="A58" s="1"/>
      <c r="B58" s="1"/>
      <c r="C58" s="1"/>
      <c r="D58" s="13" t="s">
        <v>479</v>
      </c>
      <c r="K58" s="12">
        <f t="shared" si="0"/>
        <v>250000</v>
      </c>
      <c r="L58" s="12">
        <v>250000</v>
      </c>
      <c r="U58" s="12">
        <f t="shared" si="1"/>
        <v>250000</v>
      </c>
      <c r="V58" t="s">
        <v>523</v>
      </c>
      <c r="W58" t="s">
        <v>523</v>
      </c>
    </row>
    <row r="59" spans="1:23">
      <c r="A59" s="1"/>
      <c r="B59" s="1"/>
      <c r="C59" s="1"/>
      <c r="D59" s="13" t="s">
        <v>494</v>
      </c>
      <c r="E59" t="s">
        <v>69</v>
      </c>
      <c r="K59" s="12">
        <f t="shared" si="0"/>
        <v>20000</v>
      </c>
      <c r="O59" s="12">
        <v>20000</v>
      </c>
      <c r="U59" s="12">
        <f t="shared" si="1"/>
        <v>20000</v>
      </c>
      <c r="V59" t="s">
        <v>522</v>
      </c>
      <c r="W59" t="s">
        <v>522</v>
      </c>
    </row>
    <row r="60" spans="1:23">
      <c r="A60" s="1"/>
      <c r="B60" s="1"/>
      <c r="C60" s="1"/>
      <c r="D60" s="13" t="s">
        <v>540</v>
      </c>
      <c r="V60" t="s">
        <v>539</v>
      </c>
      <c r="W60" t="s">
        <v>539</v>
      </c>
    </row>
    <row r="61" spans="1:23">
      <c r="A61" s="1"/>
      <c r="B61" s="1"/>
      <c r="C61" s="1"/>
      <c r="D61" s="13" t="s">
        <v>68</v>
      </c>
      <c r="E61" t="s">
        <v>69</v>
      </c>
      <c r="F61" s="12">
        <v>200000</v>
      </c>
      <c r="H61" s="12">
        <v>300000</v>
      </c>
      <c r="J61" s="12">
        <v>300000</v>
      </c>
      <c r="K61" s="12">
        <f t="shared" si="0"/>
        <v>200000</v>
      </c>
      <c r="O61" s="12">
        <v>200000</v>
      </c>
      <c r="U61" s="12">
        <f t="shared" si="1"/>
        <v>1000000</v>
      </c>
      <c r="V61" t="s">
        <v>14</v>
      </c>
      <c r="W61" t="s">
        <v>539</v>
      </c>
    </row>
    <row r="62" spans="1:23">
      <c r="A62" s="1"/>
      <c r="B62" s="1"/>
      <c r="C62" s="1"/>
      <c r="D62" s="13" t="s">
        <v>543</v>
      </c>
      <c r="V62" t="s">
        <v>14</v>
      </c>
      <c r="W62" t="s">
        <v>539</v>
      </c>
    </row>
    <row r="63" spans="1:23">
      <c r="A63" s="1"/>
      <c r="B63" s="1"/>
      <c r="C63" s="1"/>
      <c r="D63" s="13" t="s">
        <v>430</v>
      </c>
      <c r="E63" s="13" t="s">
        <v>221</v>
      </c>
      <c r="F63" s="12">
        <v>3000</v>
      </c>
      <c r="K63" s="12">
        <f t="shared" si="0"/>
        <v>2600</v>
      </c>
      <c r="M63" s="12">
        <v>1500</v>
      </c>
      <c r="S63" s="12">
        <v>1100</v>
      </c>
      <c r="U63" s="12">
        <f t="shared" si="1"/>
        <v>5600</v>
      </c>
      <c r="V63" t="s">
        <v>545</v>
      </c>
      <c r="W63" t="s">
        <v>545</v>
      </c>
    </row>
    <row r="64" spans="1:23">
      <c r="A64" s="1"/>
      <c r="B64" s="1"/>
      <c r="C64" s="1"/>
      <c r="D64" s="13" t="s">
        <v>381</v>
      </c>
      <c r="E64" s="13"/>
      <c r="V64" t="s">
        <v>14</v>
      </c>
      <c r="W64" t="s">
        <v>539</v>
      </c>
    </row>
    <row r="65" spans="1:23">
      <c r="A65" s="1"/>
      <c r="B65" s="1"/>
      <c r="C65" s="1"/>
      <c r="D65" s="13" t="s">
        <v>222</v>
      </c>
      <c r="E65" t="s">
        <v>230</v>
      </c>
      <c r="F65" s="12">
        <f>34000*0.2</f>
        <v>6800</v>
      </c>
      <c r="G65" s="12">
        <f>34000*0.2</f>
        <v>6800</v>
      </c>
      <c r="H65" s="12">
        <f>34000*0.2</f>
        <v>6800</v>
      </c>
      <c r="I65" s="12">
        <f>34000*0.2</f>
        <v>6800</v>
      </c>
      <c r="J65" s="12">
        <f>34000*0.2</f>
        <v>6800</v>
      </c>
      <c r="K65" s="12">
        <f t="shared" si="0"/>
        <v>0</v>
      </c>
      <c r="U65" s="12">
        <f t="shared" si="1"/>
        <v>34000</v>
      </c>
      <c r="V65" t="s">
        <v>14</v>
      </c>
      <c r="W65" t="s">
        <v>14</v>
      </c>
    </row>
    <row r="66" spans="1:23">
      <c r="A66" s="1"/>
      <c r="B66" s="1"/>
      <c r="C66" s="1"/>
      <c r="D66" s="13" t="s">
        <v>465</v>
      </c>
      <c r="E66" s="13"/>
      <c r="F66" s="12">
        <v>5000</v>
      </c>
      <c r="H66" s="12">
        <v>5000</v>
      </c>
      <c r="K66" s="12">
        <f t="shared" si="0"/>
        <v>0</v>
      </c>
      <c r="U66" s="12">
        <f t="shared" si="1"/>
        <v>10000</v>
      </c>
      <c r="V66" t="s">
        <v>522</v>
      </c>
      <c r="W66" t="s">
        <v>559</v>
      </c>
    </row>
    <row r="67" spans="1:23">
      <c r="A67" s="1"/>
      <c r="B67" s="1"/>
      <c r="C67" s="1"/>
      <c r="D67" s="13" t="s">
        <v>224</v>
      </c>
      <c r="E67" t="s">
        <v>23</v>
      </c>
      <c r="F67" s="12">
        <v>3000</v>
      </c>
      <c r="K67" s="12">
        <f t="shared" si="0"/>
        <v>9000</v>
      </c>
      <c r="O67" s="12">
        <v>9000</v>
      </c>
      <c r="U67" s="12">
        <f t="shared" si="1"/>
        <v>12000</v>
      </c>
      <c r="V67" t="s">
        <v>522</v>
      </c>
      <c r="W67" t="s">
        <v>559</v>
      </c>
    </row>
    <row r="68" spans="1:23">
      <c r="A68" s="1"/>
      <c r="B68" s="1"/>
      <c r="C68" s="1"/>
      <c r="D68" s="13" t="s">
        <v>232</v>
      </c>
      <c r="F68" s="12">
        <v>35000</v>
      </c>
      <c r="K68" s="12">
        <f t="shared" si="0"/>
        <v>0</v>
      </c>
      <c r="U68" s="12">
        <f t="shared" si="1"/>
        <v>35000</v>
      </c>
      <c r="V68" t="s">
        <v>522</v>
      </c>
      <c r="W68" t="s">
        <v>522</v>
      </c>
    </row>
    <row r="69" spans="1:23">
      <c r="A69" s="1"/>
      <c r="B69" s="1"/>
      <c r="C69" s="1"/>
      <c r="D69" s="13" t="s">
        <v>555</v>
      </c>
      <c r="V69" t="s">
        <v>545</v>
      </c>
      <c r="W69" t="s">
        <v>545</v>
      </c>
    </row>
    <row r="70" spans="1:23">
      <c r="A70" s="1"/>
      <c r="B70" s="1"/>
      <c r="C70" s="1"/>
      <c r="D70" s="13" t="s">
        <v>120</v>
      </c>
      <c r="E70" t="s">
        <v>122</v>
      </c>
      <c r="H70" s="12">
        <v>15000</v>
      </c>
      <c r="K70" s="12">
        <f t="shared" si="0"/>
        <v>75000</v>
      </c>
      <c r="M70" s="12">
        <v>75000</v>
      </c>
      <c r="U70" s="12">
        <f t="shared" si="1"/>
        <v>90000</v>
      </c>
      <c r="V70" t="s">
        <v>522</v>
      </c>
      <c r="W70" t="s">
        <v>539</v>
      </c>
    </row>
    <row r="71" spans="1:23">
      <c r="A71" s="1"/>
      <c r="B71" s="1"/>
      <c r="C71" s="1"/>
      <c r="D71" s="13" t="s">
        <v>553</v>
      </c>
      <c r="V71" t="s">
        <v>539</v>
      </c>
      <c r="W71" t="s">
        <v>539</v>
      </c>
    </row>
    <row r="72" spans="1:23">
      <c r="A72" s="1"/>
      <c r="B72" s="1"/>
      <c r="C72" s="1"/>
      <c r="D72" s="13" t="s">
        <v>71</v>
      </c>
      <c r="E72" t="s">
        <v>72</v>
      </c>
      <c r="F72" s="12">
        <f>75000/2</f>
        <v>37500</v>
      </c>
      <c r="G72" s="12">
        <f>75000/2</f>
        <v>37500</v>
      </c>
      <c r="K72" s="12">
        <f t="shared" si="0"/>
        <v>0</v>
      </c>
      <c r="U72" s="12">
        <f t="shared" si="1"/>
        <v>75000</v>
      </c>
      <c r="V72" t="s">
        <v>559</v>
      </c>
      <c r="W72" t="s">
        <v>559</v>
      </c>
    </row>
    <row r="73" spans="1:23">
      <c r="A73" s="1"/>
      <c r="B73" s="1"/>
      <c r="C73" s="1"/>
      <c r="D73" s="13" t="s">
        <v>236</v>
      </c>
      <c r="E73" t="s">
        <v>237</v>
      </c>
      <c r="F73" s="12">
        <v>30000</v>
      </c>
      <c r="K73" s="12">
        <f t="shared" si="0"/>
        <v>0</v>
      </c>
      <c r="U73" s="12">
        <f t="shared" si="1"/>
        <v>30000</v>
      </c>
      <c r="V73" t="s">
        <v>545</v>
      </c>
      <c r="W73" t="s">
        <v>545</v>
      </c>
    </row>
    <row r="74" spans="1:23">
      <c r="A74" s="1"/>
      <c r="B74" s="1"/>
      <c r="C74" s="1"/>
      <c r="D74" s="13" t="s">
        <v>551</v>
      </c>
      <c r="V74" t="s">
        <v>539</v>
      </c>
      <c r="W74" t="s">
        <v>539</v>
      </c>
    </row>
    <row r="75" spans="1:23">
      <c r="A75" s="1"/>
      <c r="B75" s="1"/>
      <c r="C75" s="1"/>
      <c r="D75" s="13" t="s">
        <v>552</v>
      </c>
      <c r="V75" t="s">
        <v>539</v>
      </c>
      <c r="W75" t="s">
        <v>539</v>
      </c>
    </row>
    <row r="76" spans="1:23">
      <c r="A76" s="1"/>
      <c r="B76" s="1"/>
      <c r="C76" s="1"/>
      <c r="D76" s="13" t="s">
        <v>536</v>
      </c>
      <c r="V76" t="s">
        <v>522</v>
      </c>
      <c r="W76" t="s">
        <v>559</v>
      </c>
    </row>
    <row r="77" spans="1:23">
      <c r="A77" s="1"/>
      <c r="B77" s="1"/>
      <c r="C77" s="1"/>
      <c r="D77" s="13" t="s">
        <v>73</v>
      </c>
      <c r="E77" s="13" t="s">
        <v>55</v>
      </c>
      <c r="F77" s="12">
        <v>24000</v>
      </c>
      <c r="H77" s="12">
        <v>24000</v>
      </c>
      <c r="K77" s="12">
        <f t="shared" si="0"/>
        <v>0</v>
      </c>
      <c r="U77" s="12">
        <f t="shared" si="1"/>
        <v>48000</v>
      </c>
      <c r="V77" t="s">
        <v>545</v>
      </c>
      <c r="W77" t="s">
        <v>545</v>
      </c>
    </row>
    <row r="78" spans="1:23">
      <c r="A78" s="1"/>
      <c r="B78" s="1"/>
      <c r="C78" s="1"/>
      <c r="D78" s="13" t="s">
        <v>451</v>
      </c>
      <c r="E78" t="s">
        <v>147</v>
      </c>
      <c r="K78" s="12">
        <f t="shared" si="0"/>
        <v>12000</v>
      </c>
      <c r="R78" s="12">
        <v>12000</v>
      </c>
      <c r="U78" s="12">
        <f t="shared" si="1"/>
        <v>12000</v>
      </c>
      <c r="V78" t="s">
        <v>14</v>
      </c>
      <c r="W78" t="s">
        <v>14</v>
      </c>
    </row>
    <row r="79" spans="1:23">
      <c r="A79" s="1"/>
      <c r="B79" s="1"/>
      <c r="C79" s="1"/>
      <c r="D79" s="13" t="s">
        <v>244</v>
      </c>
      <c r="E79" t="s">
        <v>245</v>
      </c>
      <c r="F79" s="12">
        <v>16000</v>
      </c>
      <c r="H79" s="12">
        <v>16000</v>
      </c>
      <c r="K79" s="12">
        <f t="shared" si="0"/>
        <v>0</v>
      </c>
      <c r="U79" s="12">
        <f t="shared" si="1"/>
        <v>32000</v>
      </c>
      <c r="V79" t="s">
        <v>545</v>
      </c>
      <c r="W79" t="s">
        <v>545</v>
      </c>
    </row>
    <row r="80" spans="1:23">
      <c r="A80" s="1"/>
      <c r="B80" s="1"/>
      <c r="C80" s="1"/>
      <c r="D80" s="13" t="s">
        <v>248</v>
      </c>
      <c r="E80" t="s">
        <v>250</v>
      </c>
      <c r="G80" s="12">
        <v>28000</v>
      </c>
      <c r="H80" s="12">
        <v>7500</v>
      </c>
      <c r="K80" s="12">
        <f t="shared" si="0"/>
        <v>0</v>
      </c>
      <c r="U80" s="12">
        <f t="shared" si="1"/>
        <v>35500</v>
      </c>
      <c r="V80" t="s">
        <v>522</v>
      </c>
      <c r="W80" t="s">
        <v>522</v>
      </c>
    </row>
    <row r="81" spans="1:23">
      <c r="A81" s="1"/>
      <c r="B81" s="1"/>
      <c r="C81" s="1"/>
      <c r="D81" s="13" t="s">
        <v>251</v>
      </c>
      <c r="F81" s="12">
        <v>25000</v>
      </c>
      <c r="H81" s="12">
        <v>25000</v>
      </c>
      <c r="K81" s="12">
        <f t="shared" si="0"/>
        <v>0</v>
      </c>
      <c r="U81" s="12">
        <f t="shared" si="1"/>
        <v>50000</v>
      </c>
      <c r="V81" t="s">
        <v>522</v>
      </c>
      <c r="W81" t="s">
        <v>522</v>
      </c>
    </row>
    <row r="82" spans="1:23">
      <c r="A82" s="1"/>
      <c r="B82" s="1"/>
      <c r="C82" s="1"/>
      <c r="D82" s="13" t="s">
        <v>474</v>
      </c>
      <c r="E82" t="s">
        <v>154</v>
      </c>
      <c r="K82" s="12">
        <f t="shared" si="0"/>
        <v>0</v>
      </c>
      <c r="U82" s="12">
        <f t="shared" si="1"/>
        <v>0</v>
      </c>
      <c r="V82" t="s">
        <v>522</v>
      </c>
      <c r="W82" t="s">
        <v>522</v>
      </c>
    </row>
    <row r="83" spans="1:23">
      <c r="A83" s="1"/>
      <c r="B83" s="1"/>
      <c r="C83" s="1"/>
      <c r="D83" s="13" t="s">
        <v>259</v>
      </c>
      <c r="E83" t="s">
        <v>260</v>
      </c>
      <c r="F83" s="12">
        <v>7000</v>
      </c>
      <c r="K83" s="12">
        <f t="shared" si="0"/>
        <v>25000</v>
      </c>
      <c r="O83" s="12">
        <v>25000</v>
      </c>
      <c r="U83" s="12">
        <f t="shared" si="1"/>
        <v>32000</v>
      </c>
      <c r="V83" t="s">
        <v>522</v>
      </c>
      <c r="W83" t="s">
        <v>522</v>
      </c>
    </row>
    <row r="84" spans="1:23">
      <c r="A84" s="1"/>
      <c r="B84" s="1"/>
      <c r="C84" s="1"/>
      <c r="D84" s="13" t="s">
        <v>262</v>
      </c>
      <c r="E84" t="s">
        <v>146</v>
      </c>
      <c r="F84" s="12">
        <v>5000</v>
      </c>
      <c r="K84" s="12">
        <f t="shared" si="0"/>
        <v>0</v>
      </c>
      <c r="U84" s="12">
        <f t="shared" si="1"/>
        <v>5000</v>
      </c>
      <c r="V84" t="s">
        <v>522</v>
      </c>
      <c r="W84" t="s">
        <v>522</v>
      </c>
    </row>
    <row r="85" spans="1:23">
      <c r="A85" s="1"/>
      <c r="B85" s="1"/>
      <c r="C85" s="1"/>
      <c r="D85" s="13" t="s">
        <v>468</v>
      </c>
      <c r="E85" t="s">
        <v>49</v>
      </c>
      <c r="K85" s="12">
        <f t="shared" si="0"/>
        <v>70000</v>
      </c>
      <c r="O85" s="12">
        <v>70000</v>
      </c>
      <c r="U85" s="12">
        <f t="shared" si="1"/>
        <v>70000</v>
      </c>
      <c r="V85" t="s">
        <v>522</v>
      </c>
      <c r="W85" t="s">
        <v>522</v>
      </c>
    </row>
    <row r="86" spans="1:23">
      <c r="A86" s="1"/>
      <c r="B86" s="1"/>
      <c r="C86" s="1"/>
      <c r="D86" s="13" t="s">
        <v>452</v>
      </c>
      <c r="E86" s="13" t="s">
        <v>480</v>
      </c>
      <c r="F86" s="21"/>
      <c r="G86" s="21">
        <f>120000*0.3</f>
        <v>36000</v>
      </c>
      <c r="H86" s="21"/>
      <c r="I86" s="21">
        <f>120000*0.7</f>
        <v>84000</v>
      </c>
      <c r="J86" s="21"/>
      <c r="K86" s="12">
        <f t="shared" si="0"/>
        <v>0</v>
      </c>
      <c r="L86" s="21"/>
      <c r="M86" s="21"/>
      <c r="N86" s="21"/>
      <c r="O86" s="21"/>
      <c r="P86" s="21"/>
      <c r="Q86" s="21"/>
      <c r="R86" s="21"/>
      <c r="S86" s="21"/>
      <c r="T86" s="21"/>
      <c r="U86" s="12">
        <f t="shared" si="1"/>
        <v>120000</v>
      </c>
      <c r="V86" t="s">
        <v>14</v>
      </c>
      <c r="W86" t="s">
        <v>14</v>
      </c>
    </row>
    <row r="87" spans="1:23">
      <c r="A87" s="1"/>
      <c r="B87" s="1"/>
      <c r="C87" s="1"/>
      <c r="D87" s="13" t="s">
        <v>526</v>
      </c>
      <c r="E87" s="13"/>
      <c r="F87" s="21"/>
      <c r="G87" s="21"/>
      <c r="H87" s="21"/>
      <c r="I87" s="21"/>
      <c r="J87" s="21"/>
      <c r="L87" s="21"/>
      <c r="M87" s="21"/>
      <c r="N87" s="21"/>
      <c r="O87" s="21"/>
      <c r="P87" s="21"/>
      <c r="Q87" s="21"/>
      <c r="R87" s="21"/>
      <c r="S87" s="21"/>
      <c r="T87" s="21"/>
      <c r="V87" t="s">
        <v>14</v>
      </c>
      <c r="W87" t="s">
        <v>14</v>
      </c>
    </row>
    <row r="88" spans="1:23">
      <c r="A88" s="1"/>
      <c r="B88" s="1"/>
      <c r="C88" s="1"/>
      <c r="D88" s="13" t="s">
        <v>266</v>
      </c>
      <c r="E88" t="s">
        <v>260</v>
      </c>
      <c r="F88" s="12">
        <v>5000</v>
      </c>
      <c r="K88" s="12">
        <f t="shared" si="0"/>
        <v>0</v>
      </c>
      <c r="U88" s="12">
        <f t="shared" si="1"/>
        <v>5000</v>
      </c>
      <c r="V88" t="s">
        <v>522</v>
      </c>
      <c r="W88" t="s">
        <v>522</v>
      </c>
    </row>
    <row r="89" spans="1:23">
      <c r="A89" s="1"/>
      <c r="B89" s="1"/>
      <c r="C89" s="1"/>
      <c r="D89" s="13" t="s">
        <v>541</v>
      </c>
      <c r="V89" t="s">
        <v>539</v>
      </c>
      <c r="W89" t="s">
        <v>539</v>
      </c>
    </row>
    <row r="90" spans="1:23">
      <c r="A90" s="1"/>
      <c r="B90" s="1"/>
      <c r="C90" s="1"/>
      <c r="D90" s="13" t="s">
        <v>268</v>
      </c>
      <c r="V90" t="s">
        <v>522</v>
      </c>
      <c r="W90" t="s">
        <v>522</v>
      </c>
    </row>
    <row r="91" spans="1:23">
      <c r="A91" s="1"/>
      <c r="B91" s="1"/>
      <c r="C91" s="1"/>
      <c r="D91" s="13" t="s">
        <v>271</v>
      </c>
      <c r="E91" t="s">
        <v>273</v>
      </c>
      <c r="K91" s="12">
        <f t="shared" si="0"/>
        <v>30000</v>
      </c>
      <c r="M91" s="12">
        <v>30000</v>
      </c>
      <c r="U91" s="12">
        <f t="shared" si="1"/>
        <v>30000</v>
      </c>
      <c r="V91" t="s">
        <v>522</v>
      </c>
      <c r="W91" t="s">
        <v>522</v>
      </c>
    </row>
    <row r="92" spans="1:23">
      <c r="A92" s="1"/>
      <c r="B92" s="1"/>
      <c r="C92" s="1"/>
      <c r="D92" s="13" t="s">
        <v>76</v>
      </c>
      <c r="E92" s="13" t="s">
        <v>69</v>
      </c>
      <c r="F92" s="12">
        <v>500000</v>
      </c>
      <c r="H92" s="12">
        <v>200000</v>
      </c>
      <c r="J92" s="12">
        <v>450000</v>
      </c>
      <c r="K92" s="12">
        <f t="shared" si="0"/>
        <v>350000</v>
      </c>
      <c r="O92" s="12">
        <v>350000</v>
      </c>
      <c r="U92" s="12">
        <f t="shared" si="1"/>
        <v>1500000</v>
      </c>
      <c r="V92" t="s">
        <v>522</v>
      </c>
      <c r="W92" t="s">
        <v>539</v>
      </c>
    </row>
    <row r="93" spans="1:23">
      <c r="A93" s="1"/>
      <c r="B93" s="1"/>
      <c r="C93" s="1"/>
      <c r="D93" s="13" t="s">
        <v>277</v>
      </c>
      <c r="E93" t="s">
        <v>280</v>
      </c>
      <c r="F93" s="12">
        <v>6000</v>
      </c>
      <c r="G93" s="12">
        <v>6000</v>
      </c>
      <c r="H93" s="12">
        <v>6000</v>
      </c>
      <c r="I93" s="12">
        <f>30000*0.4</f>
        <v>12000</v>
      </c>
      <c r="K93" s="12">
        <f t="shared" si="0"/>
        <v>0</v>
      </c>
      <c r="U93" s="12">
        <f t="shared" si="1"/>
        <v>30000</v>
      </c>
      <c r="V93" t="s">
        <v>545</v>
      </c>
      <c r="W93" t="s">
        <v>545</v>
      </c>
    </row>
    <row r="94" spans="1:23">
      <c r="A94" s="1"/>
      <c r="B94" s="1"/>
      <c r="C94" s="1"/>
      <c r="D94" s="13" t="s">
        <v>276</v>
      </c>
      <c r="V94" t="s">
        <v>34</v>
      </c>
      <c r="W94" t="s">
        <v>34</v>
      </c>
    </row>
    <row r="95" spans="1:23">
      <c r="A95" s="1"/>
      <c r="B95" s="1"/>
      <c r="C95" s="1"/>
      <c r="D95" s="13" t="s">
        <v>556</v>
      </c>
      <c r="E95" t="s">
        <v>79</v>
      </c>
      <c r="F95" s="12">
        <v>125000</v>
      </c>
      <c r="K95" s="12">
        <f t="shared" si="0"/>
        <v>0</v>
      </c>
      <c r="U95" s="12">
        <f t="shared" si="1"/>
        <v>125000</v>
      </c>
      <c r="V95" t="s">
        <v>14</v>
      </c>
      <c r="W95" t="s">
        <v>539</v>
      </c>
    </row>
    <row r="96" spans="1:23">
      <c r="A96" s="1"/>
      <c r="B96" s="1"/>
      <c r="C96" s="1"/>
      <c r="D96" s="13" t="s">
        <v>463</v>
      </c>
      <c r="E96" t="s">
        <v>284</v>
      </c>
      <c r="H96" s="12">
        <v>80000</v>
      </c>
      <c r="K96" s="12">
        <f t="shared" si="0"/>
        <v>30000</v>
      </c>
      <c r="O96" s="12">
        <v>30000</v>
      </c>
      <c r="U96" s="12">
        <f t="shared" si="1"/>
        <v>110000</v>
      </c>
      <c r="V96" t="s">
        <v>14</v>
      </c>
      <c r="W96" t="s">
        <v>539</v>
      </c>
    </row>
    <row r="97" spans="1:23">
      <c r="A97" s="1"/>
      <c r="B97" s="1"/>
      <c r="C97" s="1"/>
      <c r="D97" s="13" t="s">
        <v>81</v>
      </c>
      <c r="E97" t="s">
        <v>82</v>
      </c>
      <c r="F97" s="12">
        <v>35000</v>
      </c>
      <c r="K97" s="12">
        <f t="shared" si="0"/>
        <v>0</v>
      </c>
      <c r="U97" s="12">
        <f t="shared" si="1"/>
        <v>35000</v>
      </c>
      <c r="V97" t="s">
        <v>539</v>
      </c>
      <c r="W97" t="s">
        <v>539</v>
      </c>
    </row>
    <row r="98" spans="1:23">
      <c r="A98" s="1"/>
      <c r="B98" s="1"/>
      <c r="C98" s="1"/>
      <c r="D98" s="13" t="s">
        <v>285</v>
      </c>
      <c r="E98" t="s">
        <v>290</v>
      </c>
      <c r="G98" s="12">
        <v>9000</v>
      </c>
      <c r="K98" s="12">
        <f t="shared" si="0"/>
        <v>25000</v>
      </c>
      <c r="M98" s="12">
        <v>25000</v>
      </c>
      <c r="U98" s="12">
        <f t="shared" ref="U98:U120" si="2">SUM(F98:K98)</f>
        <v>34000</v>
      </c>
      <c r="V98" t="s">
        <v>522</v>
      </c>
      <c r="W98" t="s">
        <v>522</v>
      </c>
    </row>
    <row r="99" spans="1:23">
      <c r="A99" s="1"/>
      <c r="B99" s="1"/>
      <c r="C99" s="1"/>
      <c r="D99" s="13" t="s">
        <v>529</v>
      </c>
      <c r="V99" t="s">
        <v>522</v>
      </c>
      <c r="W99" t="s">
        <v>522</v>
      </c>
    </row>
    <row r="100" spans="1:23">
      <c r="A100" s="1"/>
      <c r="B100" s="1"/>
      <c r="C100" s="1"/>
      <c r="D100" s="13" t="s">
        <v>294</v>
      </c>
      <c r="V100" t="s">
        <v>522</v>
      </c>
      <c r="W100" t="s">
        <v>522</v>
      </c>
    </row>
    <row r="101" spans="1:23">
      <c r="A101" s="1"/>
      <c r="B101" s="1"/>
      <c r="C101" s="1"/>
      <c r="D101" s="13" t="s">
        <v>467</v>
      </c>
      <c r="E101" t="s">
        <v>55</v>
      </c>
      <c r="F101" s="12">
        <f>38000/2</f>
        <v>19000</v>
      </c>
      <c r="G101" s="12">
        <v>12000</v>
      </c>
      <c r="H101" s="12">
        <f>38000/2</f>
        <v>19000</v>
      </c>
      <c r="K101" s="12">
        <f t="shared" ref="K101:K120" si="3">SUM(L101:T101)</f>
        <v>0</v>
      </c>
      <c r="U101" s="12">
        <f t="shared" si="2"/>
        <v>50000</v>
      </c>
      <c r="V101" t="s">
        <v>14</v>
      </c>
      <c r="W101" t="s">
        <v>14</v>
      </c>
    </row>
    <row r="102" spans="1:23">
      <c r="A102" s="1"/>
      <c r="B102" s="1"/>
      <c r="C102" s="1"/>
      <c r="D102" s="13" t="s">
        <v>528</v>
      </c>
      <c r="V102" t="s">
        <v>14</v>
      </c>
      <c r="W102" t="s">
        <v>559</v>
      </c>
    </row>
    <row r="103" spans="1:23">
      <c r="A103" s="1"/>
      <c r="B103" s="1"/>
      <c r="C103" s="1"/>
      <c r="D103" s="13" t="s">
        <v>301</v>
      </c>
      <c r="E103" s="13"/>
      <c r="F103" s="12">
        <v>2500</v>
      </c>
      <c r="H103" s="12">
        <v>1000</v>
      </c>
      <c r="K103" s="12">
        <f t="shared" si="3"/>
        <v>3000</v>
      </c>
      <c r="S103" s="12">
        <v>3000</v>
      </c>
      <c r="U103" s="12">
        <f t="shared" si="2"/>
        <v>6500</v>
      </c>
      <c r="V103" t="s">
        <v>545</v>
      </c>
      <c r="W103" t="s">
        <v>545</v>
      </c>
    </row>
    <row r="104" spans="1:23">
      <c r="A104" s="1"/>
      <c r="B104" s="1"/>
      <c r="C104" s="1"/>
      <c r="D104" s="13" t="s">
        <v>300</v>
      </c>
      <c r="E104" s="13" t="s">
        <v>306</v>
      </c>
      <c r="F104" s="12">
        <v>4000</v>
      </c>
      <c r="H104" s="12">
        <v>4000</v>
      </c>
      <c r="K104" s="12">
        <f t="shared" si="3"/>
        <v>0</v>
      </c>
      <c r="U104" s="12">
        <f t="shared" si="2"/>
        <v>8000</v>
      </c>
      <c r="V104" t="s">
        <v>522</v>
      </c>
      <c r="W104" t="s">
        <v>522</v>
      </c>
    </row>
    <row r="105" spans="1:23">
      <c r="A105" s="1"/>
      <c r="B105" s="1"/>
      <c r="C105" s="1"/>
      <c r="D105" s="13" t="s">
        <v>466</v>
      </c>
      <c r="E105" s="13"/>
      <c r="F105" s="12">
        <v>40000</v>
      </c>
      <c r="H105" s="12">
        <v>60000</v>
      </c>
      <c r="K105" s="12">
        <f t="shared" si="3"/>
        <v>0</v>
      </c>
      <c r="U105" s="12">
        <f t="shared" si="2"/>
        <v>100000</v>
      </c>
      <c r="V105" t="s">
        <v>14</v>
      </c>
      <c r="W105" t="s">
        <v>14</v>
      </c>
    </row>
    <row r="106" spans="1:23">
      <c r="A106" s="1"/>
      <c r="B106" s="1"/>
      <c r="C106" s="1"/>
      <c r="D106" s="13" t="s">
        <v>83</v>
      </c>
      <c r="E106" t="s">
        <v>84</v>
      </c>
      <c r="F106" s="12">
        <v>150000</v>
      </c>
      <c r="H106" s="12">
        <v>150000</v>
      </c>
      <c r="K106" s="12">
        <f t="shared" si="3"/>
        <v>0</v>
      </c>
      <c r="U106" s="12">
        <f t="shared" si="2"/>
        <v>300000</v>
      </c>
      <c r="V106" t="s">
        <v>14</v>
      </c>
      <c r="W106" t="s">
        <v>14</v>
      </c>
    </row>
    <row r="107" spans="1:23">
      <c r="A107" s="1"/>
      <c r="B107" s="1"/>
      <c r="C107" s="1"/>
      <c r="D107" s="13" t="s">
        <v>307</v>
      </c>
      <c r="V107" t="s">
        <v>14</v>
      </c>
      <c r="W107" t="s">
        <v>14</v>
      </c>
    </row>
    <row r="108" spans="1:23">
      <c r="A108" s="1"/>
      <c r="B108" s="1"/>
      <c r="C108" s="1"/>
      <c r="D108" s="13" t="s">
        <v>87</v>
      </c>
      <c r="E108" s="13" t="s">
        <v>88</v>
      </c>
      <c r="K108" s="12">
        <f t="shared" si="3"/>
        <v>100000</v>
      </c>
      <c r="O108" s="12">
        <v>100000</v>
      </c>
      <c r="U108" s="12">
        <f t="shared" si="2"/>
        <v>100000</v>
      </c>
      <c r="V108" t="s">
        <v>14</v>
      </c>
      <c r="W108" t="s">
        <v>14</v>
      </c>
    </row>
    <row r="109" spans="1:23">
      <c r="A109" s="1"/>
      <c r="B109" s="1"/>
      <c r="C109" s="1"/>
      <c r="D109" s="13" t="s">
        <v>310</v>
      </c>
      <c r="E109" s="13" t="s">
        <v>154</v>
      </c>
      <c r="H109" s="12">
        <f>0.4*140000</f>
        <v>56000</v>
      </c>
      <c r="K109" s="12">
        <f t="shared" si="3"/>
        <v>0</v>
      </c>
      <c r="U109" s="12">
        <f t="shared" si="2"/>
        <v>56000</v>
      </c>
      <c r="V109" t="s">
        <v>14</v>
      </c>
      <c r="W109" t="s">
        <v>14</v>
      </c>
    </row>
    <row r="110" spans="1:23">
      <c r="A110" s="1"/>
      <c r="B110" s="1"/>
      <c r="C110" s="1"/>
      <c r="D110" s="13" t="s">
        <v>558</v>
      </c>
      <c r="E110" s="13"/>
      <c r="V110" t="s">
        <v>545</v>
      </c>
      <c r="W110" t="s">
        <v>545</v>
      </c>
    </row>
    <row r="111" spans="1:23">
      <c r="A111" s="1"/>
      <c r="B111" s="1"/>
      <c r="C111" s="1"/>
      <c r="D111" s="13" t="s">
        <v>89</v>
      </c>
      <c r="E111" t="s">
        <v>72</v>
      </c>
      <c r="F111" s="12">
        <f>0.4*368083</f>
        <v>147233.20000000001</v>
      </c>
      <c r="G111" s="12">
        <f>(368083-$F$101)/4</f>
        <v>87270.75</v>
      </c>
      <c r="H111" s="12">
        <f>(368083-$F$101)/4</f>
        <v>87270.75</v>
      </c>
      <c r="I111" s="12">
        <f>(368083-$F$101)/4</f>
        <v>87270.75</v>
      </c>
      <c r="J111" s="12">
        <f>(368083-$F$101)/4</f>
        <v>87270.75</v>
      </c>
      <c r="K111" s="12">
        <f t="shared" si="3"/>
        <v>0</v>
      </c>
      <c r="U111" s="12">
        <f t="shared" si="2"/>
        <v>496316.2</v>
      </c>
      <c r="V111" t="s">
        <v>14</v>
      </c>
      <c r="W111" t="s">
        <v>14</v>
      </c>
    </row>
    <row r="112" spans="1:23">
      <c r="A112" s="1"/>
      <c r="B112" s="1"/>
      <c r="C112" s="1"/>
      <c r="D112" s="13" t="s">
        <v>181</v>
      </c>
      <c r="F112" s="12">
        <v>9000</v>
      </c>
      <c r="G112" s="12">
        <v>5000</v>
      </c>
      <c r="H112" s="12">
        <v>1500</v>
      </c>
      <c r="U112" s="12">
        <f t="shared" si="2"/>
        <v>15500</v>
      </c>
      <c r="V112" t="s">
        <v>545</v>
      </c>
      <c r="W112" t="s">
        <v>545</v>
      </c>
    </row>
    <row r="113" spans="1:25">
      <c r="A113" s="1"/>
      <c r="B113" s="1"/>
      <c r="C113" s="1"/>
      <c r="D113" s="13" t="s">
        <v>557</v>
      </c>
      <c r="V113" t="s">
        <v>522</v>
      </c>
      <c r="W113" t="s">
        <v>522</v>
      </c>
    </row>
    <row r="114" spans="1:25">
      <c r="A114" s="1"/>
      <c r="B114" s="1"/>
      <c r="C114" s="1"/>
      <c r="D114" s="13" t="s">
        <v>453</v>
      </c>
      <c r="E114" t="s">
        <v>18</v>
      </c>
      <c r="F114" s="12">
        <f>110000*0.33</f>
        <v>36300</v>
      </c>
      <c r="H114" s="12">
        <f>110000*0.67</f>
        <v>73700</v>
      </c>
      <c r="K114" s="12">
        <f t="shared" si="3"/>
        <v>0</v>
      </c>
      <c r="U114" s="12">
        <f t="shared" si="2"/>
        <v>110000</v>
      </c>
      <c r="V114" t="s">
        <v>522</v>
      </c>
      <c r="W114" t="s">
        <v>522</v>
      </c>
    </row>
    <row r="115" spans="1:25">
      <c r="A115" s="1"/>
      <c r="B115" s="1"/>
      <c r="C115" s="1"/>
      <c r="D115" s="13" t="s">
        <v>319</v>
      </c>
      <c r="E115" t="s">
        <v>327</v>
      </c>
      <c r="K115" s="12">
        <f t="shared" si="3"/>
        <v>0</v>
      </c>
      <c r="U115" s="12">
        <f t="shared" si="2"/>
        <v>0</v>
      </c>
      <c r="V115" t="s">
        <v>522</v>
      </c>
      <c r="W115" t="s">
        <v>522</v>
      </c>
    </row>
    <row r="116" spans="1:25">
      <c r="A116" s="1"/>
      <c r="B116" s="1"/>
      <c r="C116" s="1"/>
      <c r="D116" s="13" t="s">
        <v>318</v>
      </c>
      <c r="V116" t="s">
        <v>559</v>
      </c>
      <c r="W116" t="s">
        <v>559</v>
      </c>
    </row>
    <row r="117" spans="1:25">
      <c r="A117" s="1"/>
      <c r="B117" s="1"/>
      <c r="C117" s="1"/>
      <c r="D117" s="13" t="s">
        <v>531</v>
      </c>
      <c r="V117" t="s">
        <v>522</v>
      </c>
      <c r="W117" t="s">
        <v>522</v>
      </c>
    </row>
    <row r="118" spans="1:25">
      <c r="A118" s="1"/>
      <c r="B118" s="1"/>
      <c r="C118" s="1"/>
      <c r="D118" s="13" t="s">
        <v>322</v>
      </c>
      <c r="V118" t="s">
        <v>545</v>
      </c>
      <c r="W118" t="s">
        <v>545</v>
      </c>
    </row>
    <row r="119" spans="1:25">
      <c r="A119" s="1"/>
      <c r="B119" s="1"/>
      <c r="C119" s="1"/>
      <c r="D119" s="13" t="s">
        <v>320</v>
      </c>
      <c r="F119" s="12">
        <v>19000</v>
      </c>
      <c r="K119" s="12">
        <f t="shared" si="3"/>
        <v>2000</v>
      </c>
      <c r="M119" s="12">
        <v>2000</v>
      </c>
      <c r="U119" s="12">
        <f t="shared" si="2"/>
        <v>21000</v>
      </c>
      <c r="V119" t="s">
        <v>522</v>
      </c>
      <c r="W119" t="s">
        <v>522</v>
      </c>
    </row>
    <row r="120" spans="1:25">
      <c r="A120" s="1"/>
      <c r="B120" s="1"/>
      <c r="C120" s="1"/>
      <c r="D120" s="13" t="s">
        <v>321</v>
      </c>
      <c r="E120" t="s">
        <v>328</v>
      </c>
      <c r="K120" s="12">
        <f t="shared" si="3"/>
        <v>0</v>
      </c>
      <c r="U120" s="12">
        <f t="shared" si="2"/>
        <v>0</v>
      </c>
      <c r="V120" t="s">
        <v>522</v>
      </c>
      <c r="W120" t="s">
        <v>522</v>
      </c>
    </row>
    <row r="121" spans="1:25">
      <c r="A121" s="1"/>
      <c r="B121" s="1"/>
      <c r="C121" s="1"/>
      <c r="D121" s="31" t="s">
        <v>487</v>
      </c>
      <c r="F121" s="32">
        <f t="shared" ref="F121:U121" si="4">SUM(F2:F120)</f>
        <v>2299966.2000000002</v>
      </c>
      <c r="G121" s="32">
        <f t="shared" si="4"/>
        <v>377570.75</v>
      </c>
      <c r="H121" s="32">
        <f t="shared" si="4"/>
        <v>1828270.75</v>
      </c>
      <c r="I121" s="32">
        <f t="shared" si="4"/>
        <v>204670.75</v>
      </c>
      <c r="J121" s="32">
        <f t="shared" si="4"/>
        <v>867070.75</v>
      </c>
      <c r="K121" s="32">
        <f t="shared" si="4"/>
        <v>1578240</v>
      </c>
      <c r="L121" s="32">
        <f t="shared" si="4"/>
        <v>250000</v>
      </c>
      <c r="M121" s="32">
        <f t="shared" si="4"/>
        <v>222140</v>
      </c>
      <c r="N121" s="32">
        <f t="shared" si="4"/>
        <v>38500</v>
      </c>
      <c r="O121" s="32">
        <f t="shared" si="4"/>
        <v>924000</v>
      </c>
      <c r="P121" s="32">
        <f t="shared" si="4"/>
        <v>61000</v>
      </c>
      <c r="Q121" s="32">
        <f t="shared" si="4"/>
        <v>38500</v>
      </c>
      <c r="R121" s="32">
        <f t="shared" si="4"/>
        <v>12000</v>
      </c>
      <c r="S121" s="32">
        <f t="shared" si="4"/>
        <v>32100</v>
      </c>
      <c r="T121" s="32">
        <f t="shared" si="4"/>
        <v>0</v>
      </c>
      <c r="U121" s="32">
        <f t="shared" si="4"/>
        <v>7155789.2000000002</v>
      </c>
    </row>
    <row r="122" spans="1:25">
      <c r="A122" s="1"/>
      <c r="B122" s="1"/>
      <c r="C122" s="1"/>
      <c r="D122" s="31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1:25">
      <c r="A123" s="1"/>
      <c r="B123" s="1"/>
      <c r="C123" s="1"/>
      <c r="D123" s="36" t="s">
        <v>496</v>
      </c>
      <c r="E123" s="24" t="s">
        <v>521</v>
      </c>
    </row>
    <row r="124" spans="1:25">
      <c r="A124" s="1"/>
      <c r="B124" s="1"/>
      <c r="C124" s="1"/>
      <c r="E124" s="24" t="s">
        <v>520</v>
      </c>
    </row>
    <row r="125" spans="1:25" ht="18">
      <c r="A125" t="s">
        <v>9</v>
      </c>
      <c r="B125" t="s">
        <v>16</v>
      </c>
      <c r="C125" s="35" t="s">
        <v>495</v>
      </c>
      <c r="D125" s="24" t="s">
        <v>493</v>
      </c>
      <c r="X125">
        <f>IF(C125&lt;&gt;"",U2,0)</f>
        <v>25000</v>
      </c>
      <c r="Y125">
        <f t="shared" ref="Y125:Y210" si="5">IF(C125&lt;&gt;"",1,0)</f>
        <v>1</v>
      </c>
    </row>
    <row r="126" spans="1:25" ht="18">
      <c r="C126" s="35"/>
    </row>
    <row r="127" spans="1:25" ht="18">
      <c r="A127" s="13" t="s">
        <v>34</v>
      </c>
      <c r="B127" t="s">
        <v>35</v>
      </c>
      <c r="C127" s="35" t="s">
        <v>495</v>
      </c>
      <c r="X127">
        <f>IF(C127&lt;&gt;"",U6,0)</f>
        <v>40000</v>
      </c>
      <c r="Y127">
        <f t="shared" si="5"/>
        <v>1</v>
      </c>
    </row>
    <row r="128" spans="1:25" ht="18">
      <c r="A128" t="s">
        <v>15</v>
      </c>
      <c r="B128" s="13" t="s">
        <v>16</v>
      </c>
      <c r="C128" s="35" t="s">
        <v>495</v>
      </c>
      <c r="D128" s="24" t="s">
        <v>492</v>
      </c>
      <c r="X128">
        <f>IF(C128&lt;&gt;"",U8,0)</f>
        <v>287000</v>
      </c>
      <c r="Y128">
        <f t="shared" si="5"/>
        <v>1</v>
      </c>
    </row>
    <row r="129" spans="1:25" ht="18">
      <c r="A129" t="s">
        <v>15</v>
      </c>
      <c r="B129" s="13" t="s">
        <v>16</v>
      </c>
      <c r="C129" s="35" t="s">
        <v>495</v>
      </c>
      <c r="D129" s="13" t="s">
        <v>40</v>
      </c>
      <c r="E129" t="s">
        <v>481</v>
      </c>
      <c r="F129" s="12">
        <v>20000</v>
      </c>
      <c r="K129" s="12">
        <f>SUM(L129:T129)</f>
        <v>0</v>
      </c>
      <c r="U129" s="12">
        <f>SUM(F129:K129)</f>
        <v>20000</v>
      </c>
      <c r="X129">
        <f>IF(C129&lt;&gt;"",U9,0)</f>
        <v>130000</v>
      </c>
      <c r="Y129">
        <f t="shared" si="5"/>
        <v>1</v>
      </c>
    </row>
    <row r="130" spans="1:25" ht="18">
      <c r="B130" t="s">
        <v>471</v>
      </c>
      <c r="C130" s="35" t="s">
        <v>495</v>
      </c>
      <c r="X130">
        <f>IF(C130&lt;&gt;"",U10,0)</f>
        <v>75800</v>
      </c>
      <c r="Y130">
        <f t="shared" si="5"/>
        <v>1</v>
      </c>
    </row>
    <row r="131" spans="1:25">
      <c r="A131" t="s">
        <v>25</v>
      </c>
      <c r="B131" t="s">
        <v>10</v>
      </c>
      <c r="X131">
        <f>IF(C131&lt;&gt;"",U11,0)</f>
        <v>0</v>
      </c>
      <c r="Y131">
        <f t="shared" si="5"/>
        <v>0</v>
      </c>
    </row>
    <row r="132" spans="1:25" ht="18">
      <c r="C132" s="35" t="s">
        <v>495</v>
      </c>
      <c r="X132">
        <f>IF(C132&lt;&gt;"",U12,0)</f>
        <v>35000</v>
      </c>
      <c r="Y132">
        <f t="shared" si="5"/>
        <v>1</v>
      </c>
    </row>
    <row r="133" spans="1:25" ht="18">
      <c r="C133" s="35"/>
    </row>
    <row r="134" spans="1:25" ht="18">
      <c r="C134" s="35"/>
      <c r="F134" s="12" t="s">
        <v>97</v>
      </c>
      <c r="G134" s="12" t="s">
        <v>363</v>
      </c>
      <c r="H134" s="12" t="s">
        <v>368</v>
      </c>
      <c r="I134" s="12" t="s">
        <v>205</v>
      </c>
      <c r="J134" s="12" t="s">
        <v>335</v>
      </c>
      <c r="S134" s="12" t="s">
        <v>488</v>
      </c>
      <c r="V134" s="12"/>
      <c r="W134" s="12"/>
    </row>
    <row r="135" spans="1:25" ht="18">
      <c r="C135" s="35"/>
      <c r="F135" s="12">
        <f>F121</f>
        <v>2299966.2000000002</v>
      </c>
      <c r="G135" s="12">
        <f>H121</f>
        <v>1828270.75</v>
      </c>
      <c r="H135" s="12">
        <f>J121</f>
        <v>867070.75</v>
      </c>
      <c r="I135" s="12">
        <f>G121</f>
        <v>377570.75</v>
      </c>
      <c r="J135" s="12">
        <f>S121</f>
        <v>32100</v>
      </c>
      <c r="S135" s="12">
        <f>K121</f>
        <v>1578240</v>
      </c>
      <c r="V135" s="12"/>
      <c r="W135" s="12"/>
    </row>
    <row r="136" spans="1:25">
      <c r="A136" t="s">
        <v>157</v>
      </c>
      <c r="B136" t="s">
        <v>35</v>
      </c>
      <c r="X136">
        <f>IF(C136&lt;&gt;"",U16,0)</f>
        <v>0</v>
      </c>
      <c r="Y136">
        <f t="shared" si="5"/>
        <v>0</v>
      </c>
    </row>
    <row r="138" spans="1:25" ht="18">
      <c r="A138" t="s">
        <v>134</v>
      </c>
      <c r="B138" t="s">
        <v>16</v>
      </c>
      <c r="C138" s="35" t="s">
        <v>495</v>
      </c>
      <c r="X138">
        <f>IF(C138&lt;&gt;"",U18,0)</f>
        <v>174000</v>
      </c>
      <c r="Y138">
        <f t="shared" si="5"/>
        <v>1</v>
      </c>
    </row>
    <row r="139" spans="1:25" ht="18">
      <c r="C139" s="35"/>
    </row>
    <row r="140" spans="1:25">
      <c r="A140" t="s">
        <v>34</v>
      </c>
      <c r="B140" t="s">
        <v>35</v>
      </c>
      <c r="X140">
        <f>IF(C140&lt;&gt;"",U21,0)</f>
        <v>0</v>
      </c>
      <c r="Y140">
        <f t="shared" si="5"/>
        <v>0</v>
      </c>
    </row>
    <row r="141" spans="1:25" ht="18">
      <c r="B141" t="s">
        <v>35</v>
      </c>
      <c r="C141" s="35" t="s">
        <v>495</v>
      </c>
      <c r="X141">
        <f>IF(C141&lt;&gt;"",U22,0)</f>
        <v>155000</v>
      </c>
      <c r="Y141">
        <f t="shared" si="5"/>
        <v>1</v>
      </c>
    </row>
    <row r="142" spans="1:25" ht="18">
      <c r="C142" s="35"/>
    </row>
    <row r="143" spans="1:25">
      <c r="B143" t="s">
        <v>35</v>
      </c>
      <c r="X143">
        <f>IF(C143&lt;&gt;"",U24,0)</f>
        <v>0</v>
      </c>
      <c r="Y143">
        <f t="shared" si="5"/>
        <v>0</v>
      </c>
    </row>
    <row r="144" spans="1:25">
      <c r="B144" t="s">
        <v>35</v>
      </c>
      <c r="X144">
        <f>IF(C144&lt;&gt;"",U25,0)</f>
        <v>0</v>
      </c>
      <c r="Y144">
        <f t="shared" si="5"/>
        <v>0</v>
      </c>
    </row>
    <row r="145" spans="1:25">
      <c r="D145" s="24" t="s">
        <v>486</v>
      </c>
    </row>
    <row r="146" spans="1:25">
      <c r="B146" t="s">
        <v>35</v>
      </c>
      <c r="D146" s="13" t="s">
        <v>477</v>
      </c>
      <c r="E146" t="s">
        <v>480</v>
      </c>
      <c r="G146" s="12">
        <v>80000</v>
      </c>
      <c r="I146" s="12">
        <f>200000*0.6</f>
        <v>120000</v>
      </c>
      <c r="U146" s="12">
        <f t="shared" ref="U146:U151" si="6">SUM(F146:T146)</f>
        <v>200000</v>
      </c>
      <c r="X146">
        <f>IF(C146&lt;&gt;"",U26,0)</f>
        <v>0</v>
      </c>
      <c r="Y146">
        <f t="shared" si="5"/>
        <v>0</v>
      </c>
    </row>
    <row r="147" spans="1:25">
      <c r="B147" t="s">
        <v>35</v>
      </c>
      <c r="D147" s="13" t="s">
        <v>475</v>
      </c>
      <c r="E147" t="s">
        <v>284</v>
      </c>
      <c r="O147" s="12">
        <v>3000</v>
      </c>
      <c r="U147" s="12">
        <f t="shared" si="6"/>
        <v>3000</v>
      </c>
      <c r="X147">
        <f>IF(C147&lt;&gt;"",U27,0)</f>
        <v>0</v>
      </c>
      <c r="Y147">
        <f t="shared" si="5"/>
        <v>0</v>
      </c>
    </row>
    <row r="148" spans="1:25">
      <c r="A148" t="s">
        <v>34</v>
      </c>
      <c r="B148" t="s">
        <v>35</v>
      </c>
      <c r="D148" s="13" t="s">
        <v>478</v>
      </c>
      <c r="E148" t="s">
        <v>284</v>
      </c>
      <c r="F148" s="12">
        <v>30000</v>
      </c>
      <c r="U148" s="12">
        <f t="shared" si="6"/>
        <v>30000</v>
      </c>
      <c r="X148">
        <f>IF(C148&lt;&gt;"",U28,0)</f>
        <v>0</v>
      </c>
      <c r="Y148">
        <f t="shared" si="5"/>
        <v>0</v>
      </c>
    </row>
    <row r="149" spans="1:25" ht="18">
      <c r="A149" t="s">
        <v>9</v>
      </c>
      <c r="B149" t="s">
        <v>16</v>
      </c>
      <c r="C149" s="35" t="s">
        <v>495</v>
      </c>
      <c r="D149" s="13" t="s">
        <v>476</v>
      </c>
      <c r="E149" t="s">
        <v>284</v>
      </c>
      <c r="G149" s="12">
        <v>50000</v>
      </c>
      <c r="I149" s="12">
        <v>50000</v>
      </c>
      <c r="U149" s="12">
        <f t="shared" si="6"/>
        <v>100000</v>
      </c>
      <c r="X149">
        <f>IF(C149&lt;&gt;"",U29,0)</f>
        <v>101000</v>
      </c>
      <c r="Y149">
        <f t="shared" si="5"/>
        <v>1</v>
      </c>
    </row>
    <row r="150" spans="1:25" ht="18">
      <c r="C150" s="35"/>
      <c r="D150" s="13" t="s">
        <v>485</v>
      </c>
      <c r="E150" t="s">
        <v>284</v>
      </c>
      <c r="F150" s="12">
        <v>50000</v>
      </c>
      <c r="U150" s="12">
        <f t="shared" si="6"/>
        <v>50000</v>
      </c>
    </row>
    <row r="151" spans="1:25" ht="18">
      <c r="B151" t="s">
        <v>16</v>
      </c>
      <c r="C151" s="35" t="s">
        <v>495</v>
      </c>
      <c r="D151" s="13" t="s">
        <v>484</v>
      </c>
      <c r="E151" t="s">
        <v>284</v>
      </c>
      <c r="F151" s="12">
        <v>50000</v>
      </c>
      <c r="U151" s="12">
        <f t="shared" si="6"/>
        <v>50000</v>
      </c>
      <c r="X151">
        <f>IF(C151&lt;&gt;"",U33,0)</f>
        <v>75000</v>
      </c>
      <c r="Y151">
        <f t="shared" si="5"/>
        <v>1</v>
      </c>
    </row>
    <row r="152" spans="1:25" ht="18">
      <c r="B152" t="s">
        <v>16</v>
      </c>
      <c r="C152" s="35" t="s">
        <v>495</v>
      </c>
      <c r="D152" s="31" t="s">
        <v>487</v>
      </c>
      <c r="F152" s="32">
        <f>SUM(F146:F151)</f>
        <v>130000</v>
      </c>
      <c r="G152" s="32">
        <f t="shared" ref="G152:U152" si="7">SUM(G146:G151)</f>
        <v>130000</v>
      </c>
      <c r="H152" s="32">
        <f t="shared" si="7"/>
        <v>0</v>
      </c>
      <c r="I152" s="32">
        <f t="shared" si="7"/>
        <v>170000</v>
      </c>
      <c r="J152" s="32">
        <f>SUM(J146:J151)</f>
        <v>0</v>
      </c>
      <c r="K152" s="32"/>
      <c r="L152" s="32">
        <f t="shared" si="7"/>
        <v>0</v>
      </c>
      <c r="M152" s="32">
        <f t="shared" si="7"/>
        <v>0</v>
      </c>
      <c r="N152" s="32">
        <f t="shared" si="7"/>
        <v>0</v>
      </c>
      <c r="O152" s="32">
        <f t="shared" si="7"/>
        <v>3000</v>
      </c>
      <c r="P152" s="32">
        <f t="shared" si="7"/>
        <v>0</v>
      </c>
      <c r="Q152" s="32">
        <f t="shared" si="7"/>
        <v>0</v>
      </c>
      <c r="R152" s="32">
        <f t="shared" si="7"/>
        <v>0</v>
      </c>
      <c r="S152" s="32">
        <f>SUM(S146:S151)</f>
        <v>0</v>
      </c>
      <c r="T152" s="32">
        <f t="shared" si="7"/>
        <v>0</v>
      </c>
      <c r="U152" s="32">
        <f t="shared" si="7"/>
        <v>433000</v>
      </c>
      <c r="X152">
        <f>IF(C152&lt;&gt;"",U34,0)</f>
        <v>30000</v>
      </c>
      <c r="Y152">
        <f t="shared" si="5"/>
        <v>1</v>
      </c>
    </row>
    <row r="153" spans="1:25" ht="18">
      <c r="B153" t="s">
        <v>35</v>
      </c>
      <c r="C153" s="35" t="s">
        <v>495</v>
      </c>
      <c r="X153">
        <f>IF(C153&lt;&gt;"",U35,0)</f>
        <v>50000</v>
      </c>
      <c r="Y153">
        <f t="shared" si="5"/>
        <v>1</v>
      </c>
    </row>
    <row r="154" spans="1:25">
      <c r="A154" t="s">
        <v>34</v>
      </c>
      <c r="B154" t="s">
        <v>16</v>
      </c>
      <c r="X154">
        <f>IF(C154&lt;&gt;"",#REF!,0)</f>
        <v>0</v>
      </c>
      <c r="Y154">
        <f t="shared" si="5"/>
        <v>0</v>
      </c>
    </row>
    <row r="155" spans="1:25" ht="18">
      <c r="A155" s="13" t="s">
        <v>9</v>
      </c>
      <c r="B155" s="13" t="s">
        <v>16</v>
      </c>
      <c r="C155" s="35" t="s">
        <v>495</v>
      </c>
      <c r="X155">
        <f>IF(C155&lt;&gt;"",U36,0)</f>
        <v>100000</v>
      </c>
      <c r="Y155">
        <f t="shared" si="5"/>
        <v>1</v>
      </c>
    </row>
    <row r="156" spans="1:25" ht="18">
      <c r="B156" t="s">
        <v>471</v>
      </c>
      <c r="C156" s="35" t="s">
        <v>495</v>
      </c>
      <c r="X156">
        <f>IF(C156&lt;&gt;"",U37,0)</f>
        <v>36000</v>
      </c>
      <c r="Y156">
        <f t="shared" si="5"/>
        <v>1</v>
      </c>
    </row>
    <row r="157" spans="1:25">
      <c r="B157" t="s">
        <v>35</v>
      </c>
      <c r="X157">
        <f>IF(C157&lt;&gt;"",U38,0)</f>
        <v>0</v>
      </c>
      <c r="Y157">
        <f t="shared" si="5"/>
        <v>0</v>
      </c>
    </row>
    <row r="159" spans="1:25">
      <c r="B159" t="s">
        <v>16</v>
      </c>
      <c r="X159">
        <f>IF(C159&lt;&gt;"",U40,0)</f>
        <v>0</v>
      </c>
      <c r="Y159">
        <f t="shared" si="5"/>
        <v>0</v>
      </c>
    </row>
    <row r="160" spans="1:25" ht="18">
      <c r="A160" s="13"/>
      <c r="B160" s="13" t="s">
        <v>16</v>
      </c>
      <c r="C160" s="35" t="s">
        <v>495</v>
      </c>
      <c r="X160">
        <f>IF(C160&lt;&gt;"",U41,0)</f>
        <v>60000</v>
      </c>
      <c r="Y160">
        <f t="shared" si="5"/>
        <v>1</v>
      </c>
    </row>
    <row r="161" spans="1:25" ht="18">
      <c r="A161" t="s">
        <v>34</v>
      </c>
      <c r="B161" t="s">
        <v>35</v>
      </c>
      <c r="C161" s="35" t="s">
        <v>495</v>
      </c>
      <c r="X161">
        <f>IF(C161&lt;&gt;"",U42,0)</f>
        <v>80000</v>
      </c>
      <c r="Y161">
        <f t="shared" si="5"/>
        <v>1</v>
      </c>
    </row>
    <row r="162" spans="1:25" ht="18">
      <c r="C162" s="35"/>
    </row>
    <row r="163" spans="1:25" ht="18">
      <c r="C163" s="35"/>
    </row>
    <row r="164" spans="1:25" ht="18">
      <c r="C164" s="35"/>
    </row>
    <row r="165" spans="1:25" ht="18">
      <c r="A165" t="s">
        <v>9</v>
      </c>
      <c r="B165" t="s">
        <v>35</v>
      </c>
      <c r="C165" s="35" t="s">
        <v>495</v>
      </c>
      <c r="X165">
        <f>IF(C165&lt;&gt;"",U46,0)</f>
        <v>15000</v>
      </c>
      <c r="Y165">
        <f t="shared" si="5"/>
        <v>1</v>
      </c>
    </row>
    <row r="166" spans="1:25" ht="18">
      <c r="A166" s="13" t="s">
        <v>15</v>
      </c>
      <c r="B166" t="s">
        <v>35</v>
      </c>
      <c r="C166" s="35" t="s">
        <v>495</v>
      </c>
      <c r="X166">
        <f>IF(C166&lt;&gt;"",U47,0)</f>
        <v>110000</v>
      </c>
      <c r="Y166">
        <f t="shared" si="5"/>
        <v>1</v>
      </c>
    </row>
    <row r="167" spans="1:25" ht="18">
      <c r="A167" s="13"/>
      <c r="C167" s="35"/>
    </row>
    <row r="168" spans="1:25" ht="18">
      <c r="B168" t="s">
        <v>35</v>
      </c>
      <c r="C168" s="35" t="s">
        <v>495</v>
      </c>
      <c r="X168">
        <f>IF(C168&lt;&gt;"",U49,0)</f>
        <v>16433</v>
      </c>
      <c r="Y168">
        <f t="shared" si="5"/>
        <v>1</v>
      </c>
    </row>
    <row r="169" spans="1:25">
      <c r="A169" s="13"/>
      <c r="B169" s="13" t="s">
        <v>35</v>
      </c>
      <c r="X169">
        <f>IF(C169&lt;&gt;"",U50,0)</f>
        <v>0</v>
      </c>
      <c r="Y169">
        <f t="shared" si="5"/>
        <v>0</v>
      </c>
    </row>
    <row r="170" spans="1:25">
      <c r="B170" t="s">
        <v>471</v>
      </c>
      <c r="C170" s="13"/>
      <c r="X170">
        <f>IF(C170&lt;&gt;"",U51,0)</f>
        <v>0</v>
      </c>
      <c r="Y170">
        <f t="shared" si="5"/>
        <v>0</v>
      </c>
    </row>
    <row r="171" spans="1:25" ht="18">
      <c r="A171" s="13"/>
      <c r="B171" s="13" t="s">
        <v>16</v>
      </c>
      <c r="C171" s="35" t="s">
        <v>495</v>
      </c>
      <c r="X171">
        <f>IF(C171&lt;&gt;"",U52,0)</f>
        <v>10000</v>
      </c>
      <c r="Y171">
        <f t="shared" si="5"/>
        <v>1</v>
      </c>
    </row>
    <row r="172" spans="1:25" ht="18">
      <c r="A172" s="13"/>
      <c r="B172" s="13"/>
      <c r="C172" s="35"/>
    </row>
    <row r="173" spans="1:25" ht="18">
      <c r="A173" s="13"/>
      <c r="B173" s="13"/>
      <c r="C173" s="35"/>
    </row>
    <row r="174" spans="1:25">
      <c r="A174" s="13" t="s">
        <v>134</v>
      </c>
      <c r="B174" s="13" t="s">
        <v>16</v>
      </c>
      <c r="C174" s="13"/>
      <c r="X174">
        <f>IF(C174&lt;&gt;"",U55,0)</f>
        <v>0</v>
      </c>
      <c r="Y174">
        <f t="shared" si="5"/>
        <v>0</v>
      </c>
    </row>
    <row r="175" spans="1:25">
      <c r="A175" s="13"/>
      <c r="B175" s="13" t="s">
        <v>16</v>
      </c>
      <c r="C175" s="13"/>
      <c r="X175">
        <f>IF(C175&lt;&gt;"",U56,0)</f>
        <v>0</v>
      </c>
      <c r="Y175">
        <f t="shared" si="5"/>
        <v>0</v>
      </c>
    </row>
    <row r="176" spans="1:25">
      <c r="C176" s="13"/>
      <c r="X176">
        <f>IF(C176&lt;&gt;"",U57,0)</f>
        <v>0</v>
      </c>
      <c r="Y176">
        <f t="shared" si="5"/>
        <v>0</v>
      </c>
    </row>
    <row r="177" spans="1:25" ht="18">
      <c r="C177" s="35" t="s">
        <v>495</v>
      </c>
      <c r="X177">
        <f>IF(C177&lt;&gt;"",U58,0)</f>
        <v>250000</v>
      </c>
      <c r="Y177">
        <f t="shared" si="5"/>
        <v>1</v>
      </c>
    </row>
    <row r="178" spans="1:25">
      <c r="A178" t="s">
        <v>15</v>
      </c>
      <c r="B178" t="s">
        <v>16</v>
      </c>
      <c r="X178">
        <f>IF(C178&lt;&gt;"",U59,0)</f>
        <v>0</v>
      </c>
      <c r="Y178">
        <f t="shared" si="5"/>
        <v>0</v>
      </c>
    </row>
    <row r="180" spans="1:25" ht="18">
      <c r="A180" s="13"/>
      <c r="B180" s="13" t="s">
        <v>35</v>
      </c>
      <c r="C180" s="35" t="s">
        <v>495</v>
      </c>
      <c r="X180">
        <f>IF(C180&lt;&gt;"",U61,0)</f>
        <v>1000000</v>
      </c>
      <c r="Y180">
        <f t="shared" si="5"/>
        <v>1</v>
      </c>
    </row>
    <row r="181" spans="1:25" ht="18">
      <c r="A181" s="13"/>
      <c r="B181" s="13"/>
      <c r="C181" s="35"/>
    </row>
    <row r="182" spans="1:25">
      <c r="A182" t="s">
        <v>134</v>
      </c>
      <c r="B182" t="s">
        <v>16</v>
      </c>
      <c r="C182" s="13"/>
      <c r="X182">
        <f>IF(C182&lt;&gt;"",U63,0)</f>
        <v>0</v>
      </c>
      <c r="Y182">
        <f t="shared" si="5"/>
        <v>0</v>
      </c>
    </row>
    <row r="183" spans="1:25">
      <c r="C183" s="13"/>
    </row>
    <row r="184" spans="1:25" ht="18">
      <c r="A184" s="13"/>
      <c r="B184" s="13"/>
      <c r="C184" s="35" t="s">
        <v>495</v>
      </c>
      <c r="X184">
        <f>IF(C184&lt;&gt;"",U65,0)</f>
        <v>34000</v>
      </c>
      <c r="Y184">
        <f t="shared" si="5"/>
        <v>1</v>
      </c>
    </row>
    <row r="185" spans="1:25">
      <c r="B185" t="s">
        <v>35</v>
      </c>
      <c r="C185" s="13"/>
      <c r="X185">
        <f>IF(C185&lt;&gt;"",U66,0)</f>
        <v>0</v>
      </c>
      <c r="Y185">
        <f t="shared" si="5"/>
        <v>0</v>
      </c>
    </row>
    <row r="186" spans="1:25">
      <c r="B186" t="s">
        <v>35</v>
      </c>
      <c r="X186">
        <f>IF(C186&lt;&gt;"",U67,0)</f>
        <v>0</v>
      </c>
      <c r="Y186">
        <f t="shared" si="5"/>
        <v>0</v>
      </c>
    </row>
    <row r="187" spans="1:25">
      <c r="X187">
        <f>IF(C187&lt;&gt;"",U68,0)</f>
        <v>0</v>
      </c>
      <c r="Y187">
        <f>IF(C187&lt;&gt;"",1,0)</f>
        <v>0</v>
      </c>
    </row>
    <row r="188" spans="1:25" ht="18">
      <c r="A188" t="s">
        <v>34</v>
      </c>
      <c r="B188" t="s">
        <v>35</v>
      </c>
      <c r="C188" s="35" t="s">
        <v>495</v>
      </c>
      <c r="X188">
        <f>IF(C188&lt;&gt;"",U70,0)</f>
        <v>90000</v>
      </c>
      <c r="Y188">
        <f t="shared" si="5"/>
        <v>1</v>
      </c>
    </row>
    <row r="189" spans="1:25" ht="18">
      <c r="A189" t="s">
        <v>34</v>
      </c>
      <c r="B189" t="s">
        <v>16</v>
      </c>
      <c r="C189" s="35" t="s">
        <v>495</v>
      </c>
      <c r="X189">
        <f>IF(C189&lt;&gt;"",U72,0)</f>
        <v>75000</v>
      </c>
      <c r="Y189">
        <f t="shared" si="5"/>
        <v>1</v>
      </c>
    </row>
    <row r="190" spans="1:25">
      <c r="B190" t="s">
        <v>16</v>
      </c>
      <c r="X190">
        <f>IF(C190&lt;&gt;"",U73,0)</f>
        <v>0</v>
      </c>
      <c r="Y190">
        <f t="shared" si="5"/>
        <v>0</v>
      </c>
    </row>
    <row r="192" spans="1:25">
      <c r="B192" t="s">
        <v>35</v>
      </c>
      <c r="X192">
        <f>IF(C192&lt;&gt;"",#REF!,0)</f>
        <v>0</v>
      </c>
      <c r="Y192">
        <f t="shared" si="5"/>
        <v>0</v>
      </c>
    </row>
    <row r="193" spans="1:25" ht="18">
      <c r="A193" s="13" t="s">
        <v>25</v>
      </c>
      <c r="B193" s="13" t="s">
        <v>16</v>
      </c>
      <c r="C193" s="35" t="s">
        <v>495</v>
      </c>
      <c r="X193">
        <f t="shared" ref="X193:X202" si="8">IF(C193&lt;&gt;"",U77,0)</f>
        <v>48000</v>
      </c>
      <c r="Y193">
        <f t="shared" si="5"/>
        <v>1</v>
      </c>
    </row>
    <row r="194" spans="1:25" ht="18">
      <c r="B194" t="s">
        <v>16</v>
      </c>
      <c r="C194" s="35" t="s">
        <v>495</v>
      </c>
      <c r="X194">
        <f t="shared" si="8"/>
        <v>12000</v>
      </c>
      <c r="Y194">
        <f t="shared" si="5"/>
        <v>1</v>
      </c>
    </row>
    <row r="195" spans="1:25">
      <c r="A195" t="s">
        <v>25</v>
      </c>
      <c r="B195" t="s">
        <v>35</v>
      </c>
      <c r="X195">
        <f t="shared" si="8"/>
        <v>0</v>
      </c>
      <c r="Y195">
        <f t="shared" si="5"/>
        <v>0</v>
      </c>
    </row>
    <row r="196" spans="1:25">
      <c r="B196" t="s">
        <v>35</v>
      </c>
      <c r="X196">
        <f t="shared" si="8"/>
        <v>0</v>
      </c>
      <c r="Y196">
        <f t="shared" si="5"/>
        <v>0</v>
      </c>
    </row>
    <row r="197" spans="1:25">
      <c r="B197" t="s">
        <v>35</v>
      </c>
      <c r="X197">
        <f t="shared" si="8"/>
        <v>0</v>
      </c>
      <c r="Y197">
        <f t="shared" si="5"/>
        <v>0</v>
      </c>
    </row>
    <row r="198" spans="1:25" ht="18">
      <c r="C198" s="35" t="s">
        <v>495</v>
      </c>
      <c r="X198">
        <f t="shared" si="8"/>
        <v>0</v>
      </c>
      <c r="Y198">
        <f t="shared" si="5"/>
        <v>1</v>
      </c>
    </row>
    <row r="199" spans="1:25" ht="18">
      <c r="B199" t="s">
        <v>16</v>
      </c>
      <c r="C199" s="35" t="s">
        <v>495</v>
      </c>
      <c r="X199">
        <f t="shared" si="8"/>
        <v>32000</v>
      </c>
      <c r="Y199">
        <f t="shared" si="5"/>
        <v>1</v>
      </c>
    </row>
    <row r="200" spans="1:25" ht="18">
      <c r="B200" t="s">
        <v>16</v>
      </c>
      <c r="C200" s="35" t="s">
        <v>495</v>
      </c>
      <c r="X200">
        <f t="shared" si="8"/>
        <v>5000</v>
      </c>
      <c r="Y200">
        <f t="shared" si="5"/>
        <v>1</v>
      </c>
    </row>
    <row r="201" spans="1:25" ht="18">
      <c r="A201" t="s">
        <v>34</v>
      </c>
      <c r="B201" t="s">
        <v>35</v>
      </c>
      <c r="C201" s="35" t="s">
        <v>495</v>
      </c>
      <c r="X201">
        <f t="shared" si="8"/>
        <v>70000</v>
      </c>
      <c r="Y201">
        <f t="shared" si="5"/>
        <v>1</v>
      </c>
    </row>
    <row r="202" spans="1:25" ht="18">
      <c r="A202" s="13" t="s">
        <v>9</v>
      </c>
      <c r="B202" s="13" t="s">
        <v>16</v>
      </c>
      <c r="C202" s="35" t="s">
        <v>495</v>
      </c>
      <c r="X202">
        <f t="shared" si="8"/>
        <v>120000</v>
      </c>
      <c r="Y202">
        <f t="shared" si="5"/>
        <v>1</v>
      </c>
    </row>
    <row r="203" spans="1:25" ht="18">
      <c r="A203" s="13"/>
      <c r="B203" s="13"/>
      <c r="C203" s="35"/>
    </row>
    <row r="204" spans="1:25">
      <c r="B204" t="s">
        <v>35</v>
      </c>
      <c r="X204">
        <f>IF(C204&lt;&gt;"",U88,0)</f>
        <v>0</v>
      </c>
      <c r="Y204">
        <f t="shared" si="5"/>
        <v>0</v>
      </c>
    </row>
    <row r="206" spans="1:25" ht="18">
      <c r="A206" t="s">
        <v>25</v>
      </c>
      <c r="B206" t="s">
        <v>35</v>
      </c>
      <c r="C206" s="35" t="s">
        <v>495</v>
      </c>
      <c r="X206">
        <f>IF(C206&lt;&gt;"",U91,0)</f>
        <v>30000</v>
      </c>
      <c r="Y206">
        <f t="shared" si="5"/>
        <v>1</v>
      </c>
    </row>
    <row r="207" spans="1:25" ht="18">
      <c r="A207" s="13" t="s">
        <v>34</v>
      </c>
      <c r="B207" s="13" t="s">
        <v>35</v>
      </c>
      <c r="C207" s="35" t="s">
        <v>495</v>
      </c>
      <c r="X207">
        <f>IF(C207&lt;&gt;"",U92,0)</f>
        <v>1500000</v>
      </c>
      <c r="Y207">
        <f t="shared" si="5"/>
        <v>1</v>
      </c>
    </row>
    <row r="208" spans="1:25" ht="18">
      <c r="A208" t="s">
        <v>134</v>
      </c>
      <c r="B208" t="s">
        <v>35</v>
      </c>
      <c r="C208" s="35" t="s">
        <v>495</v>
      </c>
      <c r="X208">
        <f>IF(C208&lt;&gt;"",U93,0)</f>
        <v>30000</v>
      </c>
      <c r="Y208">
        <f t="shared" si="5"/>
        <v>1</v>
      </c>
    </row>
    <row r="209" spans="1:25" ht="18">
      <c r="A209" t="s">
        <v>15</v>
      </c>
      <c r="B209" t="s">
        <v>16</v>
      </c>
      <c r="C209" s="35" t="s">
        <v>495</v>
      </c>
      <c r="X209">
        <f>IF(C209&lt;&gt;"",U95,0)</f>
        <v>125000</v>
      </c>
      <c r="Y209">
        <f t="shared" si="5"/>
        <v>1</v>
      </c>
    </row>
    <row r="210" spans="1:25">
      <c r="B210" t="s">
        <v>16</v>
      </c>
      <c r="X210">
        <f>IF(C210&lt;&gt;"",U96,0)</f>
        <v>0</v>
      </c>
      <c r="Y210">
        <f t="shared" si="5"/>
        <v>0</v>
      </c>
    </row>
    <row r="211" spans="1:25" ht="18">
      <c r="A211" t="s">
        <v>25</v>
      </c>
      <c r="B211" t="s">
        <v>16</v>
      </c>
      <c r="C211" s="35" t="s">
        <v>495</v>
      </c>
      <c r="X211">
        <f>IF(C211&lt;&gt;"",U97,0)</f>
        <v>35000</v>
      </c>
      <c r="Y211">
        <f t="shared" ref="Y211:Y229" si="9">IF(C211&lt;&gt;"",1,0)</f>
        <v>1</v>
      </c>
    </row>
    <row r="212" spans="1:25">
      <c r="B212" t="s">
        <v>35</v>
      </c>
      <c r="X212">
        <f>IF(C212&lt;&gt;"",U98,0)</f>
        <v>0</v>
      </c>
      <c r="Y212">
        <f t="shared" si="9"/>
        <v>0</v>
      </c>
    </row>
    <row r="215" spans="1:25" ht="18">
      <c r="A215" t="s">
        <v>9</v>
      </c>
      <c r="B215" t="s">
        <v>85</v>
      </c>
      <c r="C215" s="35" t="s">
        <v>495</v>
      </c>
      <c r="X215">
        <f>IF(C215&lt;&gt;"",U101,0)</f>
        <v>50000</v>
      </c>
      <c r="Y215">
        <f t="shared" si="9"/>
        <v>1</v>
      </c>
    </row>
    <row r="216" spans="1:25" ht="18">
      <c r="C216" s="35"/>
    </row>
    <row r="217" spans="1:25">
      <c r="A217" s="13" t="s">
        <v>15</v>
      </c>
      <c r="B217" s="13" t="s">
        <v>35</v>
      </c>
      <c r="C217" s="13"/>
      <c r="X217">
        <f>IF(C217&lt;&gt;"",U103,0)</f>
        <v>0</v>
      </c>
      <c r="Y217">
        <f t="shared" si="9"/>
        <v>0</v>
      </c>
    </row>
    <row r="218" spans="1:25">
      <c r="A218" s="13" t="s">
        <v>134</v>
      </c>
      <c r="B218" s="13" t="s">
        <v>16</v>
      </c>
      <c r="C218" s="13"/>
      <c r="X218">
        <f>IF(C218&lt;&gt;"",U104,0)</f>
        <v>0</v>
      </c>
      <c r="Y218">
        <f t="shared" si="9"/>
        <v>0</v>
      </c>
    </row>
    <row r="219" spans="1:25" ht="18">
      <c r="A219" s="13"/>
      <c r="B219" s="13" t="s">
        <v>16</v>
      </c>
      <c r="C219" s="35" t="s">
        <v>495</v>
      </c>
      <c r="X219">
        <f>IF(C219&lt;&gt;"",U105,0)</f>
        <v>100000</v>
      </c>
      <c r="Y219">
        <f t="shared" si="9"/>
        <v>1</v>
      </c>
    </row>
    <row r="220" spans="1:25" ht="18">
      <c r="A220" t="s">
        <v>15</v>
      </c>
      <c r="B220" t="s">
        <v>16</v>
      </c>
      <c r="C220" s="35" t="s">
        <v>495</v>
      </c>
      <c r="X220">
        <f>IF(C220&lt;&gt;"",U106,0)</f>
        <v>300000</v>
      </c>
      <c r="Y220">
        <f t="shared" si="9"/>
        <v>1</v>
      </c>
    </row>
    <row r="221" spans="1:25" ht="18">
      <c r="A221" s="13" t="s">
        <v>34</v>
      </c>
      <c r="B221" s="13" t="s">
        <v>16</v>
      </c>
      <c r="C221" s="35" t="s">
        <v>495</v>
      </c>
      <c r="X221">
        <f>IF(C221&lt;&gt;"",U108,0)</f>
        <v>100000</v>
      </c>
      <c r="Y221">
        <f t="shared" si="9"/>
        <v>1</v>
      </c>
    </row>
    <row r="222" spans="1:25" ht="18">
      <c r="A222" s="13"/>
      <c r="B222" s="13" t="s">
        <v>16</v>
      </c>
      <c r="C222" s="35" t="s">
        <v>495</v>
      </c>
      <c r="X222">
        <f>IF(C222&lt;&gt;"",U109,0)</f>
        <v>56000</v>
      </c>
      <c r="Y222">
        <f t="shared" si="9"/>
        <v>1</v>
      </c>
    </row>
    <row r="223" spans="1:25" ht="18">
      <c r="A223" t="s">
        <v>15</v>
      </c>
      <c r="B223" t="s">
        <v>16</v>
      </c>
      <c r="C223" s="35" t="s">
        <v>495</v>
      </c>
      <c r="X223">
        <f>IF(C223&lt;&gt;"",U111,0)</f>
        <v>496316.2</v>
      </c>
      <c r="Y223">
        <f t="shared" si="9"/>
        <v>1</v>
      </c>
    </row>
    <row r="224" spans="1:25" ht="18">
      <c r="A224" t="s">
        <v>9</v>
      </c>
      <c r="B224" t="s">
        <v>16</v>
      </c>
      <c r="C224" s="35" t="s">
        <v>495</v>
      </c>
      <c r="X224">
        <f>IF(C224&lt;&gt;"",U114,0)</f>
        <v>110000</v>
      </c>
      <c r="Y224">
        <f t="shared" si="9"/>
        <v>1</v>
      </c>
    </row>
    <row r="225" spans="2:25" ht="18">
      <c r="B225" t="s">
        <v>35</v>
      </c>
      <c r="C225" s="35" t="s">
        <v>495</v>
      </c>
      <c r="X225">
        <f>IF(C225&lt;&gt;"",U115,0)</f>
        <v>0</v>
      </c>
      <c r="Y225">
        <f t="shared" si="9"/>
        <v>1</v>
      </c>
    </row>
    <row r="226" spans="2:25" ht="18">
      <c r="C226" s="35"/>
    </row>
    <row r="227" spans="2:25" ht="18">
      <c r="C227" s="35"/>
    </row>
    <row r="228" spans="2:25">
      <c r="B228" t="s">
        <v>35</v>
      </c>
      <c r="X228">
        <f>IF(C228&lt;&gt;"",U119,0)</f>
        <v>0</v>
      </c>
      <c r="Y228">
        <f t="shared" si="9"/>
        <v>0</v>
      </c>
    </row>
    <row r="229" spans="2:25" ht="18">
      <c r="B229" t="s">
        <v>35</v>
      </c>
      <c r="C229" s="35" t="s">
        <v>495</v>
      </c>
      <c r="X229">
        <f>IF(C229&lt;&gt;"",U120,0)</f>
        <v>0</v>
      </c>
      <c r="Y229">
        <f t="shared" si="9"/>
        <v>1</v>
      </c>
    </row>
    <row r="230" spans="2:25">
      <c r="X230" s="32">
        <f>SUM(X125:X229)</f>
        <v>6273549.2000000002</v>
      </c>
      <c r="Y230" s="32">
        <f>SUM(Y125:Y229)</f>
        <v>46</v>
      </c>
    </row>
    <row r="231" spans="2:25">
      <c r="X231" s="32"/>
    </row>
    <row r="232" spans="2:25" ht="18">
      <c r="C232" s="35" t="s">
        <v>495</v>
      </c>
      <c r="X232">
        <f>X230/U121</f>
        <v>0.87670961576117978</v>
      </c>
      <c r="Y232">
        <f>Y230/78</f>
        <v>0.58974358974358976</v>
      </c>
    </row>
    <row r="243" spans="2:24">
      <c r="X243" s="12"/>
    </row>
    <row r="244" spans="2:24">
      <c r="X244" s="12"/>
    </row>
    <row r="255" spans="2:24">
      <c r="B255" t="s">
        <v>471</v>
      </c>
    </row>
    <row r="256" spans="2:24">
      <c r="B256" t="s">
        <v>471</v>
      </c>
    </row>
    <row r="258" spans="2:2">
      <c r="B258" t="s">
        <v>471</v>
      </c>
    </row>
  </sheetData>
  <phoneticPr fontId="0" type="noConversion"/>
  <printOptions gridLines="1"/>
  <pageMargins left="0.75" right="0.75" top="1" bottom="1" header="0.5" footer="0.5"/>
  <pageSetup scale="80" fitToHeight="0" orientation="landscape" r:id="rId1"/>
  <headerFooter alignWithMargins="0"/>
  <rowBreaks count="1" manualBreakCount="1">
    <brk id="67" min="3" max="2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/>
  </sheetViews>
  <sheetFormatPr defaultRowHeight="12.75"/>
  <cols>
    <col min="1" max="1" width="18" bestFit="1" customWidth="1"/>
    <col min="2" max="2" width="9.7109375" bestFit="1" customWidth="1"/>
  </cols>
  <sheetData>
    <row r="1" spans="1:31">
      <c r="B1" t="s">
        <v>375</v>
      </c>
      <c r="R1" t="s">
        <v>376</v>
      </c>
    </row>
    <row r="2" spans="1:31">
      <c r="B2" t="s">
        <v>97</v>
      </c>
      <c r="C2" t="s">
        <v>205</v>
      </c>
      <c r="D2" t="s">
        <v>363</v>
      </c>
      <c r="E2" t="s">
        <v>364</v>
      </c>
      <c r="F2" t="s">
        <v>365</v>
      </c>
      <c r="G2" t="s">
        <v>366</v>
      </c>
      <c r="H2" t="s">
        <v>367</v>
      </c>
      <c r="I2" t="s">
        <v>368</v>
      </c>
      <c r="J2" t="s">
        <v>369</v>
      </c>
      <c r="K2" t="s">
        <v>335</v>
      </c>
      <c r="L2" t="s">
        <v>370</v>
      </c>
      <c r="M2" t="s">
        <v>371</v>
      </c>
      <c r="N2" t="s">
        <v>372</v>
      </c>
      <c r="O2" t="s">
        <v>373</v>
      </c>
      <c r="P2" t="s">
        <v>374</v>
      </c>
      <c r="R2" t="s">
        <v>97</v>
      </c>
      <c r="S2" t="s">
        <v>205</v>
      </c>
      <c r="T2" t="s">
        <v>363</v>
      </c>
      <c r="U2" t="s">
        <v>364</v>
      </c>
      <c r="V2" t="s">
        <v>365</v>
      </c>
      <c r="W2" t="s">
        <v>366</v>
      </c>
      <c r="X2" t="s">
        <v>367</v>
      </c>
      <c r="Y2" t="s">
        <v>368</v>
      </c>
      <c r="Z2" t="s">
        <v>369</v>
      </c>
      <c r="AA2" t="s">
        <v>335</v>
      </c>
      <c r="AB2" t="s">
        <v>370</v>
      </c>
      <c r="AC2" t="s">
        <v>371</v>
      </c>
      <c r="AD2" t="s">
        <v>372</v>
      </c>
      <c r="AE2" t="s">
        <v>373</v>
      </c>
    </row>
    <row r="3" spans="1:31">
      <c r="A3" t="s">
        <v>124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>
        <f t="shared" ref="P3:P51" si="0">SUM(B3:O3)</f>
        <v>0</v>
      </c>
      <c r="Q3" s="12"/>
      <c r="R3" s="22" t="e">
        <f t="shared" ref="R3:R18" si="1">B3/$P3</f>
        <v>#DIV/0!</v>
      </c>
      <c r="S3" s="22" t="e">
        <f t="shared" ref="S3:S34" si="2">C3/$P3</f>
        <v>#DIV/0!</v>
      </c>
      <c r="T3" s="22" t="e">
        <f t="shared" ref="T3:T34" si="3">D3/$P3</f>
        <v>#DIV/0!</v>
      </c>
      <c r="U3" s="22" t="e">
        <f t="shared" ref="U3:U34" si="4">E3/$P3</f>
        <v>#DIV/0!</v>
      </c>
      <c r="V3" s="22" t="e">
        <f t="shared" ref="V3:V34" si="5">F3/$P3</f>
        <v>#DIV/0!</v>
      </c>
      <c r="W3" s="22" t="e">
        <f t="shared" ref="W3:W34" si="6">G3/$P3</f>
        <v>#DIV/0!</v>
      </c>
      <c r="X3" s="22" t="e">
        <f t="shared" ref="X3:X34" si="7">H3/$P3</f>
        <v>#DIV/0!</v>
      </c>
      <c r="Y3" s="22" t="e">
        <f t="shared" ref="Y3:Y34" si="8">I3/$P3</f>
        <v>#DIV/0!</v>
      </c>
      <c r="Z3" s="22" t="e">
        <f t="shared" ref="Z3:Z34" si="9">J3/$P3</f>
        <v>#DIV/0!</v>
      </c>
      <c r="AA3" s="22" t="e">
        <f t="shared" ref="AA3:AA34" si="10">K3/$P3</f>
        <v>#DIV/0!</v>
      </c>
      <c r="AB3" s="22" t="e">
        <f t="shared" ref="AB3:AB34" si="11">L3/$P3</f>
        <v>#DIV/0!</v>
      </c>
      <c r="AC3" s="22" t="e">
        <f t="shared" ref="AC3:AC34" si="12">M3/$P3</f>
        <v>#DIV/0!</v>
      </c>
      <c r="AD3" s="22" t="e">
        <f t="shared" ref="AD3:AD51" si="13">N3/$P3</f>
        <v>#DIV/0!</v>
      </c>
      <c r="AE3" s="22" t="e">
        <f t="shared" ref="AE3:AE51" si="14">O3/$P3</f>
        <v>#DIV/0!</v>
      </c>
    </row>
    <row r="4" spans="1:31">
      <c r="A4" t="s">
        <v>127</v>
      </c>
      <c r="B4" s="12"/>
      <c r="C4" s="12"/>
      <c r="D4" s="12"/>
      <c r="E4" s="12"/>
      <c r="F4" s="12"/>
      <c r="G4" s="12"/>
      <c r="H4" s="12"/>
      <c r="I4" s="12"/>
      <c r="J4" s="12"/>
      <c r="K4" s="12">
        <v>8008</v>
      </c>
      <c r="L4" s="12"/>
      <c r="M4" s="12"/>
      <c r="N4" s="12"/>
      <c r="O4" s="12"/>
      <c r="P4" s="12">
        <f t="shared" si="0"/>
        <v>8008</v>
      </c>
      <c r="Q4" s="12"/>
      <c r="R4" s="22">
        <f t="shared" si="1"/>
        <v>0</v>
      </c>
      <c r="S4" s="22">
        <f t="shared" si="2"/>
        <v>0</v>
      </c>
      <c r="T4" s="22">
        <f t="shared" si="3"/>
        <v>0</v>
      </c>
      <c r="U4" s="22">
        <f t="shared" si="4"/>
        <v>0</v>
      </c>
      <c r="V4" s="22">
        <f t="shared" si="5"/>
        <v>0</v>
      </c>
      <c r="W4" s="22">
        <f t="shared" si="6"/>
        <v>0</v>
      </c>
      <c r="X4" s="22">
        <f t="shared" si="7"/>
        <v>0</v>
      </c>
      <c r="Y4" s="22">
        <f t="shared" si="8"/>
        <v>0</v>
      </c>
      <c r="Z4" s="22">
        <f t="shared" si="9"/>
        <v>0</v>
      </c>
      <c r="AA4" s="22">
        <f t="shared" si="10"/>
        <v>1</v>
      </c>
      <c r="AB4" s="22">
        <f t="shared" si="11"/>
        <v>0</v>
      </c>
      <c r="AC4" s="22">
        <f t="shared" si="12"/>
        <v>0</v>
      </c>
      <c r="AD4" s="22">
        <f t="shared" si="13"/>
        <v>0</v>
      </c>
      <c r="AE4" s="22">
        <f t="shared" si="14"/>
        <v>0</v>
      </c>
    </row>
    <row r="5" spans="1:31">
      <c r="A5" t="s">
        <v>141</v>
      </c>
      <c r="B5" s="12">
        <v>105540</v>
      </c>
      <c r="C5" s="12"/>
      <c r="D5" s="12"/>
      <c r="E5" s="12"/>
      <c r="F5" s="12">
        <v>11367</v>
      </c>
      <c r="G5" s="12"/>
      <c r="H5" s="12">
        <v>21001</v>
      </c>
      <c r="I5" s="12"/>
      <c r="J5" s="12"/>
      <c r="K5" s="12"/>
      <c r="L5" s="12"/>
      <c r="M5" s="12"/>
      <c r="N5" s="12"/>
      <c r="O5" s="12"/>
      <c r="P5" s="12">
        <f t="shared" si="0"/>
        <v>137908</v>
      </c>
      <c r="Q5" s="12"/>
      <c r="R5" s="22">
        <f t="shared" si="1"/>
        <v>0.76529280389825105</v>
      </c>
      <c r="S5" s="22">
        <f t="shared" si="2"/>
        <v>0</v>
      </c>
      <c r="T5" s="22">
        <f t="shared" si="3"/>
        <v>0</v>
      </c>
      <c r="U5" s="22">
        <f t="shared" si="4"/>
        <v>0</v>
      </c>
      <c r="V5" s="22">
        <f t="shared" si="5"/>
        <v>8.2424514893987291E-2</v>
      </c>
      <c r="W5" s="22">
        <f t="shared" si="6"/>
        <v>0</v>
      </c>
      <c r="X5" s="22">
        <f t="shared" si="7"/>
        <v>0.1522826812077617</v>
      </c>
      <c r="Y5" s="22">
        <f t="shared" si="8"/>
        <v>0</v>
      </c>
      <c r="Z5" s="22">
        <f t="shared" si="9"/>
        <v>0</v>
      </c>
      <c r="AA5" s="22">
        <f t="shared" si="10"/>
        <v>0</v>
      </c>
      <c r="AB5" s="22">
        <f t="shared" si="11"/>
        <v>0</v>
      </c>
      <c r="AC5" s="22">
        <f t="shared" si="12"/>
        <v>0</v>
      </c>
      <c r="AD5" s="22">
        <f t="shared" si="13"/>
        <v>0</v>
      </c>
      <c r="AE5" s="22">
        <f t="shared" si="14"/>
        <v>0</v>
      </c>
    </row>
    <row r="6" spans="1:31">
      <c r="A6" t="s">
        <v>336</v>
      </c>
      <c r="B6" s="12">
        <v>15877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>
        <f t="shared" si="0"/>
        <v>15877</v>
      </c>
      <c r="Q6" s="12"/>
      <c r="R6" s="22">
        <f t="shared" si="1"/>
        <v>1</v>
      </c>
      <c r="S6" s="22">
        <f t="shared" si="2"/>
        <v>0</v>
      </c>
      <c r="T6" s="22">
        <f t="shared" si="3"/>
        <v>0</v>
      </c>
      <c r="U6" s="22">
        <f t="shared" si="4"/>
        <v>0</v>
      </c>
      <c r="V6" s="22">
        <f t="shared" si="5"/>
        <v>0</v>
      </c>
      <c r="W6" s="22">
        <f t="shared" si="6"/>
        <v>0</v>
      </c>
      <c r="X6" s="22">
        <f t="shared" si="7"/>
        <v>0</v>
      </c>
      <c r="Y6" s="22">
        <f t="shared" si="8"/>
        <v>0</v>
      </c>
      <c r="Z6" s="22">
        <f t="shared" si="9"/>
        <v>0</v>
      </c>
      <c r="AA6" s="22">
        <f t="shared" si="10"/>
        <v>0</v>
      </c>
      <c r="AB6" s="22">
        <f t="shared" si="11"/>
        <v>0</v>
      </c>
      <c r="AC6" s="22">
        <f t="shared" si="12"/>
        <v>0</v>
      </c>
      <c r="AD6" s="22">
        <f t="shared" si="13"/>
        <v>0</v>
      </c>
      <c r="AE6" s="22">
        <f t="shared" si="14"/>
        <v>0</v>
      </c>
    </row>
    <row r="7" spans="1:31">
      <c r="A7" t="s">
        <v>337</v>
      </c>
      <c r="B7" s="12">
        <v>40718</v>
      </c>
      <c r="C7" s="12"/>
      <c r="D7" s="12"/>
      <c r="E7" s="12"/>
      <c r="F7" s="12">
        <v>93448</v>
      </c>
      <c r="G7" s="12"/>
      <c r="H7" s="12">
        <v>54461</v>
      </c>
      <c r="I7" s="12"/>
      <c r="J7" s="12"/>
      <c r="K7" s="12"/>
      <c r="L7" s="12">
        <v>13373</v>
      </c>
      <c r="M7" s="12"/>
      <c r="N7" s="12">
        <v>12658</v>
      </c>
      <c r="O7" s="12"/>
      <c r="P7" s="12">
        <f t="shared" si="0"/>
        <v>214658</v>
      </c>
      <c r="Q7" s="12"/>
      <c r="R7" s="22">
        <f t="shared" si="1"/>
        <v>0.18968778242599857</v>
      </c>
      <c r="S7" s="22">
        <f t="shared" si="2"/>
        <v>0</v>
      </c>
      <c r="T7" s="22">
        <f t="shared" si="3"/>
        <v>0</v>
      </c>
      <c r="U7" s="22">
        <f t="shared" si="4"/>
        <v>0</v>
      </c>
      <c r="V7" s="22">
        <f t="shared" si="5"/>
        <v>0.43533434579656943</v>
      </c>
      <c r="W7" s="22">
        <f t="shared" si="6"/>
        <v>0</v>
      </c>
      <c r="X7" s="22">
        <f t="shared" si="7"/>
        <v>0.25371055353166433</v>
      </c>
      <c r="Y7" s="22">
        <f t="shared" si="8"/>
        <v>0</v>
      </c>
      <c r="Z7" s="22">
        <f t="shared" si="9"/>
        <v>0</v>
      </c>
      <c r="AA7" s="22">
        <f t="shared" si="10"/>
        <v>0</v>
      </c>
      <c r="AB7" s="22">
        <f t="shared" si="11"/>
        <v>6.2299099031948496E-2</v>
      </c>
      <c r="AC7" s="22">
        <f t="shared" si="12"/>
        <v>0</v>
      </c>
      <c r="AD7" s="22">
        <f t="shared" si="13"/>
        <v>5.8968219213819194E-2</v>
      </c>
      <c r="AE7" s="22">
        <f t="shared" si="14"/>
        <v>0</v>
      </c>
    </row>
    <row r="8" spans="1:31">
      <c r="A8" t="s">
        <v>338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>
        <v>35250</v>
      </c>
      <c r="N8" s="12"/>
      <c r="O8" s="12"/>
      <c r="P8" s="12">
        <f t="shared" si="0"/>
        <v>35250</v>
      </c>
      <c r="Q8" s="12"/>
      <c r="R8" s="22">
        <f t="shared" si="1"/>
        <v>0</v>
      </c>
      <c r="S8" s="22">
        <f t="shared" si="2"/>
        <v>0</v>
      </c>
      <c r="T8" s="22">
        <f t="shared" si="3"/>
        <v>0</v>
      </c>
      <c r="U8" s="22">
        <f t="shared" si="4"/>
        <v>0</v>
      </c>
      <c r="V8" s="22">
        <f t="shared" si="5"/>
        <v>0</v>
      </c>
      <c r="W8" s="22">
        <f t="shared" si="6"/>
        <v>0</v>
      </c>
      <c r="X8" s="22">
        <f t="shared" si="7"/>
        <v>0</v>
      </c>
      <c r="Y8" s="22">
        <f t="shared" si="8"/>
        <v>0</v>
      </c>
      <c r="Z8" s="22">
        <f t="shared" si="9"/>
        <v>0</v>
      </c>
      <c r="AA8" s="22">
        <f t="shared" si="10"/>
        <v>0</v>
      </c>
      <c r="AB8" s="22">
        <f t="shared" si="11"/>
        <v>0</v>
      </c>
      <c r="AC8" s="22">
        <f t="shared" si="12"/>
        <v>1</v>
      </c>
      <c r="AD8" s="22">
        <f t="shared" si="13"/>
        <v>0</v>
      </c>
      <c r="AE8" s="22">
        <f t="shared" si="14"/>
        <v>0</v>
      </c>
    </row>
    <row r="9" spans="1:31">
      <c r="A9" t="s">
        <v>339</v>
      </c>
      <c r="B9" s="12"/>
      <c r="C9" s="12">
        <v>1969</v>
      </c>
      <c r="D9" s="12">
        <v>1969</v>
      </c>
      <c r="E9" s="12"/>
      <c r="F9" s="12"/>
      <c r="G9" s="12">
        <v>13313</v>
      </c>
      <c r="H9" s="12"/>
      <c r="I9" s="12"/>
      <c r="J9" s="12"/>
      <c r="K9" s="12">
        <v>27757</v>
      </c>
      <c r="L9" s="12"/>
      <c r="M9" s="12"/>
      <c r="N9" s="12"/>
      <c r="O9" s="12">
        <v>10650</v>
      </c>
      <c r="P9" s="12">
        <f t="shared" si="0"/>
        <v>55658</v>
      </c>
      <c r="Q9" s="12"/>
      <c r="R9" s="22">
        <f t="shared" si="1"/>
        <v>0</v>
      </c>
      <c r="S9" s="22">
        <f t="shared" si="2"/>
        <v>3.5376765244888426E-2</v>
      </c>
      <c r="T9" s="22">
        <f t="shared" si="3"/>
        <v>3.5376765244888426E-2</v>
      </c>
      <c r="U9" s="22">
        <f t="shared" si="4"/>
        <v>0</v>
      </c>
      <c r="V9" s="22">
        <f t="shared" si="5"/>
        <v>0</v>
      </c>
      <c r="W9" s="22">
        <f t="shared" si="6"/>
        <v>0.23919292824032484</v>
      </c>
      <c r="X9" s="22">
        <f t="shared" si="7"/>
        <v>0</v>
      </c>
      <c r="Y9" s="22">
        <f t="shared" si="8"/>
        <v>0</v>
      </c>
      <c r="Z9" s="22">
        <f t="shared" si="9"/>
        <v>0</v>
      </c>
      <c r="AA9" s="22">
        <f t="shared" si="10"/>
        <v>0.49870638542527579</v>
      </c>
      <c r="AB9" s="22">
        <f t="shared" si="11"/>
        <v>0</v>
      </c>
      <c r="AC9" s="22">
        <f t="shared" si="12"/>
        <v>0</v>
      </c>
      <c r="AD9" s="22">
        <f t="shared" si="13"/>
        <v>0</v>
      </c>
      <c r="AE9" s="22">
        <f t="shared" si="14"/>
        <v>0.19134715584462253</v>
      </c>
    </row>
    <row r="10" spans="1:31">
      <c r="A10" t="s">
        <v>168</v>
      </c>
      <c r="B10" s="12"/>
      <c r="C10" s="12"/>
      <c r="D10" s="12"/>
      <c r="E10" s="12"/>
      <c r="F10" s="12"/>
      <c r="G10" s="12"/>
      <c r="H10" s="12">
        <v>35500</v>
      </c>
      <c r="I10" s="12"/>
      <c r="J10" s="12"/>
      <c r="K10" s="12"/>
      <c r="L10" s="12"/>
      <c r="M10" s="12"/>
      <c r="N10" s="12"/>
      <c r="O10" s="12"/>
      <c r="P10" s="12">
        <f t="shared" si="0"/>
        <v>35500</v>
      </c>
      <c r="Q10" s="12"/>
      <c r="R10" s="22">
        <f t="shared" si="1"/>
        <v>0</v>
      </c>
      <c r="S10" s="22">
        <f t="shared" si="2"/>
        <v>0</v>
      </c>
      <c r="T10" s="22">
        <f t="shared" si="3"/>
        <v>0</v>
      </c>
      <c r="U10" s="22">
        <f t="shared" si="4"/>
        <v>0</v>
      </c>
      <c r="V10" s="22">
        <f t="shared" si="5"/>
        <v>0</v>
      </c>
      <c r="W10" s="22">
        <f t="shared" si="6"/>
        <v>0</v>
      </c>
      <c r="X10" s="22">
        <f t="shared" si="7"/>
        <v>1</v>
      </c>
      <c r="Y10" s="22">
        <f t="shared" si="8"/>
        <v>0</v>
      </c>
      <c r="Z10" s="22">
        <f t="shared" si="9"/>
        <v>0</v>
      </c>
      <c r="AA10" s="22">
        <f t="shared" si="10"/>
        <v>0</v>
      </c>
      <c r="AB10" s="22">
        <f t="shared" si="11"/>
        <v>0</v>
      </c>
      <c r="AC10" s="22">
        <f t="shared" si="12"/>
        <v>0</v>
      </c>
      <c r="AD10" s="22">
        <f t="shared" si="13"/>
        <v>0</v>
      </c>
      <c r="AE10" s="22">
        <f t="shared" si="14"/>
        <v>0</v>
      </c>
    </row>
    <row r="11" spans="1:31">
      <c r="A11" t="s">
        <v>340</v>
      </c>
      <c r="B11" s="12">
        <v>10200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>
        <f>SUM(B11:O11)</f>
        <v>10200</v>
      </c>
      <c r="Q11" s="12"/>
      <c r="R11" s="22">
        <f t="shared" si="1"/>
        <v>1</v>
      </c>
      <c r="S11" s="22">
        <f t="shared" si="2"/>
        <v>0</v>
      </c>
      <c r="T11" s="22">
        <f t="shared" si="3"/>
        <v>0</v>
      </c>
      <c r="U11" s="22">
        <f t="shared" si="4"/>
        <v>0</v>
      </c>
      <c r="V11" s="22">
        <f t="shared" si="5"/>
        <v>0</v>
      </c>
      <c r="W11" s="22">
        <f t="shared" si="6"/>
        <v>0</v>
      </c>
      <c r="X11" s="22">
        <f t="shared" si="7"/>
        <v>0</v>
      </c>
      <c r="Y11" s="22">
        <f t="shared" si="8"/>
        <v>0</v>
      </c>
      <c r="Z11" s="22">
        <f t="shared" si="9"/>
        <v>0</v>
      </c>
      <c r="AA11" s="22">
        <f t="shared" si="10"/>
        <v>0</v>
      </c>
      <c r="AB11" s="22">
        <f t="shared" si="11"/>
        <v>0</v>
      </c>
      <c r="AC11" s="22">
        <f t="shared" si="12"/>
        <v>0</v>
      </c>
      <c r="AD11" s="22">
        <f t="shared" si="13"/>
        <v>0</v>
      </c>
      <c r="AE11" s="22">
        <f t="shared" si="14"/>
        <v>0</v>
      </c>
    </row>
    <row r="12" spans="1:31">
      <c r="A12" t="s">
        <v>172</v>
      </c>
      <c r="B12" s="12">
        <v>109515</v>
      </c>
      <c r="C12" s="12">
        <v>16927</v>
      </c>
      <c r="D12" s="12">
        <v>55179</v>
      </c>
      <c r="E12" s="12">
        <v>19671</v>
      </c>
      <c r="F12" s="12"/>
      <c r="G12" s="12">
        <v>5326</v>
      </c>
      <c r="H12" s="12">
        <v>21154</v>
      </c>
      <c r="I12" s="12">
        <v>16462</v>
      </c>
      <c r="J12" s="12"/>
      <c r="K12" s="12"/>
      <c r="L12" s="12"/>
      <c r="M12" s="12"/>
      <c r="N12" s="12">
        <v>5326</v>
      </c>
      <c r="O12" s="12"/>
      <c r="P12" s="12">
        <f t="shared" si="0"/>
        <v>249560</v>
      </c>
      <c r="Q12" s="12"/>
      <c r="R12" s="22">
        <f t="shared" si="1"/>
        <v>0.43883234492707163</v>
      </c>
      <c r="S12" s="22">
        <f t="shared" si="2"/>
        <v>6.7827376182080457E-2</v>
      </c>
      <c r="T12" s="22">
        <f t="shared" si="3"/>
        <v>0.22110514505529733</v>
      </c>
      <c r="U12" s="22">
        <f t="shared" si="4"/>
        <v>7.8822728001282261E-2</v>
      </c>
      <c r="V12" s="22">
        <f t="shared" si="5"/>
        <v>0</v>
      </c>
      <c r="W12" s="22">
        <f t="shared" si="6"/>
        <v>2.1341561147619811E-2</v>
      </c>
      <c r="X12" s="22">
        <f t="shared" si="7"/>
        <v>8.4765186728642417E-2</v>
      </c>
      <c r="Y12" s="22">
        <f t="shared" si="8"/>
        <v>6.5964096810386286E-2</v>
      </c>
      <c r="Z12" s="22">
        <f t="shared" si="9"/>
        <v>0</v>
      </c>
      <c r="AA12" s="22">
        <f t="shared" si="10"/>
        <v>0</v>
      </c>
      <c r="AB12" s="22">
        <f t="shared" si="11"/>
        <v>0</v>
      </c>
      <c r="AC12" s="22">
        <f t="shared" si="12"/>
        <v>0</v>
      </c>
      <c r="AD12" s="22">
        <f t="shared" si="13"/>
        <v>2.1341561147619811E-2</v>
      </c>
      <c r="AE12" s="22">
        <f t="shared" si="14"/>
        <v>0</v>
      </c>
    </row>
    <row r="13" spans="1:31">
      <c r="A13" t="s">
        <v>173</v>
      </c>
      <c r="B13" s="12">
        <v>4715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>
        <f t="shared" si="0"/>
        <v>4715</v>
      </c>
      <c r="Q13" s="12"/>
      <c r="R13" s="22">
        <f t="shared" si="1"/>
        <v>1</v>
      </c>
      <c r="S13" s="22">
        <f t="shared" si="2"/>
        <v>0</v>
      </c>
      <c r="T13" s="22">
        <f t="shared" si="3"/>
        <v>0</v>
      </c>
      <c r="U13" s="22">
        <f t="shared" si="4"/>
        <v>0</v>
      </c>
      <c r="V13" s="22">
        <f t="shared" si="5"/>
        <v>0</v>
      </c>
      <c r="W13" s="22">
        <f t="shared" si="6"/>
        <v>0</v>
      </c>
      <c r="X13" s="22">
        <f t="shared" si="7"/>
        <v>0</v>
      </c>
      <c r="Y13" s="22">
        <f t="shared" si="8"/>
        <v>0</v>
      </c>
      <c r="Z13" s="22">
        <f t="shared" si="9"/>
        <v>0</v>
      </c>
      <c r="AA13" s="22">
        <f t="shared" si="10"/>
        <v>0</v>
      </c>
      <c r="AB13" s="22">
        <f t="shared" si="11"/>
        <v>0</v>
      </c>
      <c r="AC13" s="22">
        <f t="shared" si="12"/>
        <v>0</v>
      </c>
      <c r="AD13" s="22">
        <f t="shared" si="13"/>
        <v>0</v>
      </c>
      <c r="AE13" s="22">
        <f t="shared" si="14"/>
        <v>0</v>
      </c>
    </row>
    <row r="14" spans="1:31">
      <c r="A14" t="s">
        <v>341</v>
      </c>
      <c r="B14" s="12">
        <v>4420</v>
      </c>
      <c r="C14" s="12">
        <v>32</v>
      </c>
      <c r="D14" s="12">
        <v>10387</v>
      </c>
      <c r="E14" s="12"/>
      <c r="F14" s="12"/>
      <c r="G14" s="12"/>
      <c r="H14" s="12"/>
      <c r="I14" s="12">
        <v>2374</v>
      </c>
      <c r="J14" s="12"/>
      <c r="K14" s="12"/>
      <c r="L14" s="12"/>
      <c r="M14" s="12"/>
      <c r="N14" s="12"/>
      <c r="O14" s="12">
        <v>5045</v>
      </c>
      <c r="P14" s="12">
        <f t="shared" si="0"/>
        <v>22258</v>
      </c>
      <c r="Q14" s="12"/>
      <c r="R14" s="22">
        <f t="shared" si="1"/>
        <v>0.19858028573995867</v>
      </c>
      <c r="S14" s="22">
        <f t="shared" si="2"/>
        <v>1.437685326624135E-3</v>
      </c>
      <c r="T14" s="22">
        <f t="shared" si="3"/>
        <v>0.46666367148890286</v>
      </c>
      <c r="U14" s="22">
        <f t="shared" si="4"/>
        <v>0</v>
      </c>
      <c r="V14" s="22">
        <f t="shared" si="5"/>
        <v>0</v>
      </c>
      <c r="W14" s="22">
        <f t="shared" si="6"/>
        <v>0</v>
      </c>
      <c r="X14" s="22">
        <f t="shared" si="7"/>
        <v>0</v>
      </c>
      <c r="Y14" s="22">
        <f t="shared" si="8"/>
        <v>0.10665828016892803</v>
      </c>
      <c r="Z14" s="22">
        <f t="shared" si="9"/>
        <v>0</v>
      </c>
      <c r="AA14" s="22">
        <f t="shared" si="10"/>
        <v>0</v>
      </c>
      <c r="AB14" s="22">
        <f t="shared" si="11"/>
        <v>0</v>
      </c>
      <c r="AC14" s="22">
        <f t="shared" si="12"/>
        <v>0</v>
      </c>
      <c r="AD14" s="22">
        <f t="shared" si="13"/>
        <v>0</v>
      </c>
      <c r="AE14" s="22">
        <f t="shared" si="14"/>
        <v>0.22666007727558632</v>
      </c>
    </row>
    <row r="15" spans="1:31">
      <c r="A15" t="s">
        <v>342</v>
      </c>
      <c r="B15" s="12">
        <v>9000</v>
      </c>
      <c r="C15" s="12">
        <v>4500</v>
      </c>
      <c r="D15" s="12">
        <v>1500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>
        <f t="shared" si="0"/>
        <v>15000</v>
      </c>
      <c r="Q15" s="12"/>
      <c r="R15" s="22">
        <f t="shared" si="1"/>
        <v>0.6</v>
      </c>
      <c r="S15" s="22">
        <f t="shared" si="2"/>
        <v>0.3</v>
      </c>
      <c r="T15" s="22">
        <f t="shared" si="3"/>
        <v>0.1</v>
      </c>
      <c r="U15" s="22">
        <f t="shared" si="4"/>
        <v>0</v>
      </c>
      <c r="V15" s="22">
        <f t="shared" si="5"/>
        <v>0</v>
      </c>
      <c r="W15" s="22">
        <f t="shared" si="6"/>
        <v>0</v>
      </c>
      <c r="X15" s="22">
        <f t="shared" si="7"/>
        <v>0</v>
      </c>
      <c r="Y15" s="22">
        <f t="shared" si="8"/>
        <v>0</v>
      </c>
      <c r="Z15" s="22">
        <f t="shared" si="9"/>
        <v>0</v>
      </c>
      <c r="AA15" s="22">
        <f t="shared" si="10"/>
        <v>0</v>
      </c>
      <c r="AB15" s="22">
        <f t="shared" si="11"/>
        <v>0</v>
      </c>
      <c r="AC15" s="22">
        <f t="shared" si="12"/>
        <v>0</v>
      </c>
      <c r="AD15" s="22">
        <f t="shared" si="13"/>
        <v>0</v>
      </c>
      <c r="AE15" s="22">
        <f t="shared" si="14"/>
        <v>0</v>
      </c>
    </row>
    <row r="16" spans="1:31">
      <c r="A16" t="s">
        <v>183</v>
      </c>
      <c r="B16" s="12"/>
      <c r="C16" s="12"/>
      <c r="D16" s="12"/>
      <c r="E16" s="12"/>
      <c r="F16" s="12"/>
      <c r="G16" s="12"/>
      <c r="H16" s="12">
        <v>53984</v>
      </c>
      <c r="I16" s="12"/>
      <c r="J16" s="12"/>
      <c r="K16" s="12"/>
      <c r="L16" s="12"/>
      <c r="M16" s="12"/>
      <c r="N16" s="12"/>
      <c r="O16" s="12"/>
      <c r="P16" s="12">
        <f t="shared" si="0"/>
        <v>53984</v>
      </c>
      <c r="Q16" s="12"/>
      <c r="R16" s="22">
        <f t="shared" si="1"/>
        <v>0</v>
      </c>
      <c r="S16" s="22">
        <f t="shared" si="2"/>
        <v>0</v>
      </c>
      <c r="T16" s="22">
        <f t="shared" si="3"/>
        <v>0</v>
      </c>
      <c r="U16" s="22">
        <f t="shared" si="4"/>
        <v>0</v>
      </c>
      <c r="V16" s="22">
        <f t="shared" si="5"/>
        <v>0</v>
      </c>
      <c r="W16" s="22">
        <f t="shared" si="6"/>
        <v>0</v>
      </c>
      <c r="X16" s="22">
        <f t="shared" si="7"/>
        <v>1</v>
      </c>
      <c r="Y16" s="22">
        <f t="shared" si="8"/>
        <v>0</v>
      </c>
      <c r="Z16" s="22">
        <f t="shared" si="9"/>
        <v>0</v>
      </c>
      <c r="AA16" s="22">
        <f t="shared" si="10"/>
        <v>0</v>
      </c>
      <c r="AB16" s="22">
        <f t="shared" si="11"/>
        <v>0</v>
      </c>
      <c r="AC16" s="22">
        <f t="shared" si="12"/>
        <v>0</v>
      </c>
      <c r="AD16" s="22">
        <f t="shared" si="13"/>
        <v>0</v>
      </c>
      <c r="AE16" s="22">
        <f t="shared" si="14"/>
        <v>0</v>
      </c>
    </row>
    <row r="17" spans="1:31">
      <c r="A17" t="s">
        <v>343</v>
      </c>
      <c r="B17" s="12">
        <v>3959</v>
      </c>
      <c r="C17" s="12"/>
      <c r="D17" s="12"/>
      <c r="E17" s="12"/>
      <c r="F17" s="12">
        <v>12001</v>
      </c>
      <c r="G17" s="12"/>
      <c r="H17" s="12">
        <v>8154</v>
      </c>
      <c r="I17" s="12"/>
      <c r="J17" s="12"/>
      <c r="K17" s="12"/>
      <c r="L17" s="12"/>
      <c r="M17" s="12"/>
      <c r="N17" s="12"/>
      <c r="O17" s="12"/>
      <c r="P17" s="12">
        <f t="shared" si="0"/>
        <v>24114</v>
      </c>
      <c r="Q17" s="12"/>
      <c r="R17" s="22">
        <f t="shared" si="1"/>
        <v>0.1641784855270797</v>
      </c>
      <c r="S17" s="22">
        <f t="shared" si="2"/>
        <v>0</v>
      </c>
      <c r="T17" s="22">
        <f t="shared" si="3"/>
        <v>0</v>
      </c>
      <c r="U17" s="22">
        <f t="shared" si="4"/>
        <v>0</v>
      </c>
      <c r="V17" s="22">
        <f t="shared" si="5"/>
        <v>0.49767769760305219</v>
      </c>
      <c r="W17" s="22">
        <f t="shared" si="6"/>
        <v>0</v>
      </c>
      <c r="X17" s="22">
        <f t="shared" si="7"/>
        <v>0.33814381686986811</v>
      </c>
      <c r="Y17" s="22">
        <f t="shared" si="8"/>
        <v>0</v>
      </c>
      <c r="Z17" s="22">
        <f t="shared" si="9"/>
        <v>0</v>
      </c>
      <c r="AA17" s="22">
        <f t="shared" si="10"/>
        <v>0</v>
      </c>
      <c r="AB17" s="22">
        <f t="shared" si="11"/>
        <v>0</v>
      </c>
      <c r="AC17" s="22">
        <f t="shared" si="12"/>
        <v>0</v>
      </c>
      <c r="AD17" s="22">
        <f t="shared" si="13"/>
        <v>0</v>
      </c>
      <c r="AE17" s="22">
        <f t="shared" si="14"/>
        <v>0</v>
      </c>
    </row>
    <row r="18" spans="1:31">
      <c r="A18" t="s">
        <v>344</v>
      </c>
      <c r="B18" s="12">
        <v>272</v>
      </c>
      <c r="C18" s="12"/>
      <c r="D18" s="12"/>
      <c r="E18" s="12">
        <v>272</v>
      </c>
      <c r="F18" s="12"/>
      <c r="G18" s="12"/>
      <c r="H18" s="12">
        <v>4896</v>
      </c>
      <c r="I18" s="12"/>
      <c r="J18" s="12"/>
      <c r="K18" s="12"/>
      <c r="L18" s="12"/>
      <c r="M18" s="12"/>
      <c r="N18" s="12"/>
      <c r="O18" s="12"/>
      <c r="P18" s="12">
        <f t="shared" si="0"/>
        <v>5440</v>
      </c>
      <c r="Q18" s="12"/>
      <c r="R18" s="22">
        <f t="shared" si="1"/>
        <v>0.05</v>
      </c>
      <c r="S18" s="22">
        <f t="shared" si="2"/>
        <v>0</v>
      </c>
      <c r="T18" s="22">
        <f t="shared" si="3"/>
        <v>0</v>
      </c>
      <c r="U18" s="22">
        <f t="shared" si="4"/>
        <v>0.05</v>
      </c>
      <c r="V18" s="22">
        <f t="shared" si="5"/>
        <v>0</v>
      </c>
      <c r="W18" s="22">
        <f t="shared" si="6"/>
        <v>0</v>
      </c>
      <c r="X18" s="22">
        <f t="shared" si="7"/>
        <v>0.9</v>
      </c>
      <c r="Y18" s="22">
        <f t="shared" si="8"/>
        <v>0</v>
      </c>
      <c r="Z18" s="22">
        <f t="shared" si="9"/>
        <v>0</v>
      </c>
      <c r="AA18" s="22">
        <f t="shared" si="10"/>
        <v>0</v>
      </c>
      <c r="AB18" s="22">
        <f t="shared" si="11"/>
        <v>0</v>
      </c>
      <c r="AC18" s="22">
        <f t="shared" si="12"/>
        <v>0</v>
      </c>
      <c r="AD18" s="22">
        <f t="shared" si="13"/>
        <v>0</v>
      </c>
      <c r="AE18" s="22">
        <f t="shared" si="14"/>
        <v>0</v>
      </c>
    </row>
    <row r="19" spans="1:31">
      <c r="A19" t="s">
        <v>345</v>
      </c>
      <c r="B19" s="12">
        <v>825</v>
      </c>
      <c r="C19" s="12"/>
      <c r="D19" s="12">
        <v>825</v>
      </c>
      <c r="E19" s="12"/>
      <c r="F19" s="12"/>
      <c r="G19" s="12"/>
      <c r="H19" s="12">
        <v>1650</v>
      </c>
      <c r="I19" s="12"/>
      <c r="J19" s="12"/>
      <c r="K19" s="12"/>
      <c r="L19" s="12"/>
      <c r="M19" s="12"/>
      <c r="N19" s="12"/>
      <c r="O19" s="12"/>
      <c r="P19" s="12">
        <f t="shared" si="0"/>
        <v>3300</v>
      </c>
      <c r="Q19" s="12"/>
      <c r="R19" s="22">
        <f t="shared" ref="R19:R51" si="15">B19/$P19</f>
        <v>0.25</v>
      </c>
      <c r="S19" s="22">
        <f t="shared" si="2"/>
        <v>0</v>
      </c>
      <c r="T19" s="22">
        <f t="shared" si="3"/>
        <v>0.25</v>
      </c>
      <c r="U19" s="22">
        <f t="shared" si="4"/>
        <v>0</v>
      </c>
      <c r="V19" s="22">
        <f t="shared" si="5"/>
        <v>0</v>
      </c>
      <c r="W19" s="22">
        <f t="shared" si="6"/>
        <v>0</v>
      </c>
      <c r="X19" s="22">
        <f t="shared" si="7"/>
        <v>0.5</v>
      </c>
      <c r="Y19" s="22">
        <f t="shared" si="8"/>
        <v>0</v>
      </c>
      <c r="Z19" s="22">
        <f t="shared" si="9"/>
        <v>0</v>
      </c>
      <c r="AA19" s="22">
        <f t="shared" si="10"/>
        <v>0</v>
      </c>
      <c r="AB19" s="22">
        <f t="shared" si="11"/>
        <v>0</v>
      </c>
      <c r="AC19" s="22">
        <f t="shared" si="12"/>
        <v>0</v>
      </c>
      <c r="AD19" s="22">
        <f t="shared" si="13"/>
        <v>0</v>
      </c>
      <c r="AE19" s="22">
        <f t="shared" si="14"/>
        <v>0</v>
      </c>
    </row>
    <row r="20" spans="1:31">
      <c r="A20" t="s">
        <v>346</v>
      </c>
      <c r="B20" s="12">
        <v>30132</v>
      </c>
      <c r="C20" s="12"/>
      <c r="D20" s="12"/>
      <c r="E20" s="12"/>
      <c r="F20" s="12">
        <v>9822</v>
      </c>
      <c r="G20" s="12"/>
      <c r="H20" s="12">
        <v>1667</v>
      </c>
      <c r="I20" s="12"/>
      <c r="J20" s="12"/>
      <c r="K20" s="12"/>
      <c r="L20" s="12"/>
      <c r="M20" s="12"/>
      <c r="N20" s="12"/>
      <c r="O20" s="12"/>
      <c r="P20" s="12">
        <f t="shared" si="0"/>
        <v>41621</v>
      </c>
      <c r="Q20" s="12"/>
      <c r="R20" s="22">
        <f t="shared" si="15"/>
        <v>0.72396146176209131</v>
      </c>
      <c r="S20" s="22">
        <f t="shared" si="2"/>
        <v>0</v>
      </c>
      <c r="T20" s="22">
        <f t="shared" si="3"/>
        <v>0</v>
      </c>
      <c r="U20" s="22">
        <f t="shared" si="4"/>
        <v>0</v>
      </c>
      <c r="V20" s="22">
        <f t="shared" si="5"/>
        <v>0.23598664135892938</v>
      </c>
      <c r="W20" s="22">
        <f t="shared" si="6"/>
        <v>0</v>
      </c>
      <c r="X20" s="22">
        <f t="shared" si="7"/>
        <v>4.0051896878979358E-2</v>
      </c>
      <c r="Y20" s="22">
        <f t="shared" si="8"/>
        <v>0</v>
      </c>
      <c r="Z20" s="22">
        <f t="shared" si="9"/>
        <v>0</v>
      </c>
      <c r="AA20" s="22">
        <f t="shared" si="10"/>
        <v>0</v>
      </c>
      <c r="AB20" s="22">
        <f t="shared" si="11"/>
        <v>0</v>
      </c>
      <c r="AC20" s="22">
        <f t="shared" si="12"/>
        <v>0</v>
      </c>
      <c r="AD20" s="22">
        <f t="shared" si="13"/>
        <v>0</v>
      </c>
      <c r="AE20" s="22">
        <f t="shared" si="14"/>
        <v>0</v>
      </c>
    </row>
    <row r="21" spans="1:31">
      <c r="A21" t="s">
        <v>347</v>
      </c>
      <c r="B21" s="12">
        <v>1397</v>
      </c>
      <c r="C21" s="12"/>
      <c r="D21" s="12"/>
      <c r="E21" s="12"/>
      <c r="F21" s="12">
        <v>12427</v>
      </c>
      <c r="G21" s="12"/>
      <c r="H21" s="12"/>
      <c r="I21" s="12"/>
      <c r="J21" s="12"/>
      <c r="K21" s="12"/>
      <c r="L21" s="12"/>
      <c r="M21" s="12"/>
      <c r="N21" s="12"/>
      <c r="O21" s="12"/>
      <c r="P21" s="12">
        <f t="shared" si="0"/>
        <v>13824</v>
      </c>
      <c r="Q21" s="12"/>
      <c r="R21" s="22">
        <f t="shared" si="15"/>
        <v>0.10105613425925926</v>
      </c>
      <c r="S21" s="22">
        <f t="shared" si="2"/>
        <v>0</v>
      </c>
      <c r="T21" s="22">
        <f t="shared" si="3"/>
        <v>0</v>
      </c>
      <c r="U21" s="22">
        <f t="shared" si="4"/>
        <v>0</v>
      </c>
      <c r="V21" s="22">
        <f t="shared" si="5"/>
        <v>0.8989438657407407</v>
      </c>
      <c r="W21" s="22">
        <f t="shared" si="6"/>
        <v>0</v>
      </c>
      <c r="X21" s="22">
        <f t="shared" si="7"/>
        <v>0</v>
      </c>
      <c r="Y21" s="22">
        <f t="shared" si="8"/>
        <v>0</v>
      </c>
      <c r="Z21" s="22">
        <f t="shared" si="9"/>
        <v>0</v>
      </c>
      <c r="AA21" s="22">
        <f t="shared" si="10"/>
        <v>0</v>
      </c>
      <c r="AB21" s="22">
        <f t="shared" si="11"/>
        <v>0</v>
      </c>
      <c r="AC21" s="22">
        <f t="shared" si="12"/>
        <v>0</v>
      </c>
      <c r="AD21" s="22">
        <f t="shared" si="13"/>
        <v>0</v>
      </c>
      <c r="AE21" s="22">
        <f t="shared" si="14"/>
        <v>0</v>
      </c>
    </row>
    <row r="22" spans="1:31">
      <c r="A22" t="s">
        <v>348</v>
      </c>
      <c r="B22" s="12">
        <v>41237</v>
      </c>
      <c r="C22" s="12"/>
      <c r="D22" s="12">
        <v>68728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>
        <f t="shared" si="0"/>
        <v>109965</v>
      </c>
      <c r="Q22" s="12"/>
      <c r="R22" s="22">
        <f t="shared" si="15"/>
        <v>0.3750011367253217</v>
      </c>
      <c r="S22" s="22">
        <f t="shared" si="2"/>
        <v>0</v>
      </c>
      <c r="T22" s="22">
        <f t="shared" si="3"/>
        <v>0.62499886327467835</v>
      </c>
      <c r="U22" s="22">
        <f t="shared" si="4"/>
        <v>0</v>
      </c>
      <c r="V22" s="22">
        <f t="shared" si="5"/>
        <v>0</v>
      </c>
      <c r="W22" s="22">
        <f t="shared" si="6"/>
        <v>0</v>
      </c>
      <c r="X22" s="22">
        <f t="shared" si="7"/>
        <v>0</v>
      </c>
      <c r="Y22" s="22">
        <f t="shared" si="8"/>
        <v>0</v>
      </c>
      <c r="Z22" s="22">
        <f t="shared" si="9"/>
        <v>0</v>
      </c>
      <c r="AA22" s="22">
        <f t="shared" si="10"/>
        <v>0</v>
      </c>
      <c r="AB22" s="22">
        <f t="shared" si="11"/>
        <v>0</v>
      </c>
      <c r="AC22" s="22">
        <f t="shared" si="12"/>
        <v>0</v>
      </c>
      <c r="AD22" s="22">
        <f t="shared" si="13"/>
        <v>0</v>
      </c>
      <c r="AE22" s="22">
        <f t="shared" si="14"/>
        <v>0</v>
      </c>
    </row>
    <row r="23" spans="1:31">
      <c r="A23" t="s">
        <v>349</v>
      </c>
      <c r="B23" s="12">
        <v>16433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>
        <f t="shared" si="0"/>
        <v>16433</v>
      </c>
      <c r="Q23" s="12"/>
      <c r="R23" s="22">
        <f t="shared" si="15"/>
        <v>1</v>
      </c>
      <c r="S23" s="22">
        <f t="shared" si="2"/>
        <v>0</v>
      </c>
      <c r="T23" s="22">
        <f t="shared" si="3"/>
        <v>0</v>
      </c>
      <c r="U23" s="22">
        <f t="shared" si="4"/>
        <v>0</v>
      </c>
      <c r="V23" s="22">
        <f t="shared" si="5"/>
        <v>0</v>
      </c>
      <c r="W23" s="22">
        <f t="shared" si="6"/>
        <v>0</v>
      </c>
      <c r="X23" s="22">
        <f t="shared" si="7"/>
        <v>0</v>
      </c>
      <c r="Y23" s="22">
        <f t="shared" si="8"/>
        <v>0</v>
      </c>
      <c r="Z23" s="22">
        <f t="shared" si="9"/>
        <v>0</v>
      </c>
      <c r="AA23" s="22">
        <f t="shared" si="10"/>
        <v>0</v>
      </c>
      <c r="AB23" s="22">
        <f t="shared" si="11"/>
        <v>0</v>
      </c>
      <c r="AC23" s="22">
        <f t="shared" si="12"/>
        <v>0</v>
      </c>
      <c r="AD23" s="22">
        <f t="shared" si="13"/>
        <v>0</v>
      </c>
      <c r="AE23" s="22">
        <f t="shared" si="14"/>
        <v>0</v>
      </c>
    </row>
    <row r="24" spans="1:31">
      <c r="A24" t="s">
        <v>350</v>
      </c>
      <c r="B24" s="12">
        <v>878</v>
      </c>
      <c r="C24" s="12">
        <v>8254</v>
      </c>
      <c r="D24" s="12">
        <v>5055</v>
      </c>
      <c r="E24" s="12"/>
      <c r="F24" s="12"/>
      <c r="G24" s="12">
        <v>8250</v>
      </c>
      <c r="H24" s="12"/>
      <c r="I24" s="12"/>
      <c r="J24" s="12"/>
      <c r="K24" s="12"/>
      <c r="L24" s="12"/>
      <c r="M24" s="12"/>
      <c r="N24" s="12"/>
      <c r="O24" s="12">
        <v>49485</v>
      </c>
      <c r="P24" s="12">
        <f t="shared" si="0"/>
        <v>71922</v>
      </c>
      <c r="Q24" s="12"/>
      <c r="R24" s="22">
        <f t="shared" si="15"/>
        <v>1.2207669419649065E-2</v>
      </c>
      <c r="S24" s="22">
        <f t="shared" si="2"/>
        <v>0.11476321570590362</v>
      </c>
      <c r="T24" s="22">
        <f t="shared" si="3"/>
        <v>7.0284474847751729E-2</v>
      </c>
      <c r="U24" s="22">
        <f t="shared" si="4"/>
        <v>0</v>
      </c>
      <c r="V24" s="22">
        <f t="shared" si="5"/>
        <v>0</v>
      </c>
      <c r="W24" s="22">
        <f t="shared" si="6"/>
        <v>0.11470759989989154</v>
      </c>
      <c r="X24" s="22">
        <f t="shared" si="7"/>
        <v>0</v>
      </c>
      <c r="Y24" s="22">
        <f t="shared" si="8"/>
        <v>0</v>
      </c>
      <c r="Z24" s="22">
        <f t="shared" si="9"/>
        <v>0</v>
      </c>
      <c r="AA24" s="22">
        <f t="shared" si="10"/>
        <v>0</v>
      </c>
      <c r="AB24" s="22">
        <f t="shared" si="11"/>
        <v>0</v>
      </c>
      <c r="AC24" s="22">
        <f t="shared" si="12"/>
        <v>0</v>
      </c>
      <c r="AD24" s="22">
        <f t="shared" si="13"/>
        <v>0</v>
      </c>
      <c r="AE24" s="22">
        <f t="shared" si="14"/>
        <v>0.688037040126804</v>
      </c>
    </row>
    <row r="25" spans="1:31">
      <c r="A25" t="s">
        <v>351</v>
      </c>
      <c r="B25" s="12"/>
      <c r="C25" s="12"/>
      <c r="D25" s="12"/>
      <c r="E25" s="12"/>
      <c r="F25" s="12"/>
      <c r="G25" s="12">
        <v>29505</v>
      </c>
      <c r="H25" s="12">
        <v>12670</v>
      </c>
      <c r="I25" s="12"/>
      <c r="J25" s="12"/>
      <c r="K25" s="12"/>
      <c r="L25" s="12"/>
      <c r="M25" s="12"/>
      <c r="N25" s="12"/>
      <c r="O25" s="12"/>
      <c r="P25" s="12">
        <f t="shared" si="0"/>
        <v>42175</v>
      </c>
      <c r="Q25" s="12"/>
      <c r="R25" s="22">
        <f t="shared" si="15"/>
        <v>0</v>
      </c>
      <c r="S25" s="22">
        <f t="shared" si="2"/>
        <v>0</v>
      </c>
      <c r="T25" s="22">
        <f t="shared" si="3"/>
        <v>0</v>
      </c>
      <c r="U25" s="22">
        <f t="shared" si="4"/>
        <v>0</v>
      </c>
      <c r="V25" s="22">
        <f t="shared" si="5"/>
        <v>0</v>
      </c>
      <c r="W25" s="22">
        <f t="shared" si="6"/>
        <v>0.69958506224066386</v>
      </c>
      <c r="X25" s="22">
        <f t="shared" si="7"/>
        <v>0.30041493775933609</v>
      </c>
      <c r="Y25" s="22">
        <f t="shared" si="8"/>
        <v>0</v>
      </c>
      <c r="Z25" s="22">
        <f t="shared" si="9"/>
        <v>0</v>
      </c>
      <c r="AA25" s="22">
        <f t="shared" si="10"/>
        <v>0</v>
      </c>
      <c r="AB25" s="22">
        <f t="shared" si="11"/>
        <v>0</v>
      </c>
      <c r="AC25" s="22">
        <f t="shared" si="12"/>
        <v>0</v>
      </c>
      <c r="AD25" s="22">
        <f t="shared" si="13"/>
        <v>0</v>
      </c>
      <c r="AE25" s="22">
        <f t="shared" si="14"/>
        <v>0</v>
      </c>
    </row>
    <row r="26" spans="1:31">
      <c r="A26" t="s">
        <v>352</v>
      </c>
      <c r="B26" s="12">
        <v>2876</v>
      </c>
      <c r="C26" s="12"/>
      <c r="D26" s="12"/>
      <c r="E26" s="12"/>
      <c r="F26" s="12"/>
      <c r="G26" s="12"/>
      <c r="H26" s="12">
        <v>1726</v>
      </c>
      <c r="I26" s="12"/>
      <c r="J26" s="12"/>
      <c r="K26" s="12">
        <v>1150</v>
      </c>
      <c r="L26" s="12"/>
      <c r="M26" s="12"/>
      <c r="N26" s="12"/>
      <c r="O26" s="12"/>
      <c r="P26" s="12">
        <f t="shared" si="0"/>
        <v>5752</v>
      </c>
      <c r="Q26" s="12"/>
      <c r="R26" s="22">
        <f t="shared" si="15"/>
        <v>0.5</v>
      </c>
      <c r="S26" s="22">
        <f t="shared" si="2"/>
        <v>0</v>
      </c>
      <c r="T26" s="22">
        <f t="shared" si="3"/>
        <v>0</v>
      </c>
      <c r="U26" s="22">
        <f t="shared" si="4"/>
        <v>0</v>
      </c>
      <c r="V26" s="22">
        <f t="shared" si="5"/>
        <v>0</v>
      </c>
      <c r="W26" s="22">
        <f t="shared" si="6"/>
        <v>0</v>
      </c>
      <c r="X26" s="22">
        <f t="shared" si="7"/>
        <v>0.30006954102920724</v>
      </c>
      <c r="Y26" s="22">
        <f t="shared" si="8"/>
        <v>0</v>
      </c>
      <c r="Z26" s="22">
        <f t="shared" si="9"/>
        <v>0</v>
      </c>
      <c r="AA26" s="22">
        <f t="shared" si="10"/>
        <v>0.19993045897079276</v>
      </c>
      <c r="AB26" s="22">
        <f t="shared" si="11"/>
        <v>0</v>
      </c>
      <c r="AC26" s="22">
        <f t="shared" si="12"/>
        <v>0</v>
      </c>
      <c r="AD26" s="22">
        <f t="shared" si="13"/>
        <v>0</v>
      </c>
      <c r="AE26" s="22">
        <f t="shared" si="14"/>
        <v>0</v>
      </c>
    </row>
    <row r="27" spans="1:31">
      <c r="A27" t="s">
        <v>224</v>
      </c>
      <c r="B27" s="12"/>
      <c r="C27" s="12"/>
      <c r="D27" s="12"/>
      <c r="E27" s="12"/>
      <c r="F27" s="12"/>
      <c r="G27" s="12">
        <v>3136</v>
      </c>
      <c r="H27" s="12"/>
      <c r="I27" s="12"/>
      <c r="J27" s="12"/>
      <c r="K27" s="12"/>
      <c r="L27" s="12"/>
      <c r="M27" s="12"/>
      <c r="N27" s="12"/>
      <c r="O27" s="12">
        <v>9006</v>
      </c>
      <c r="P27" s="12">
        <f t="shared" si="0"/>
        <v>12142</v>
      </c>
      <c r="Q27" s="12"/>
      <c r="R27" s="22">
        <f t="shared" si="15"/>
        <v>0</v>
      </c>
      <c r="S27" s="22">
        <f t="shared" si="2"/>
        <v>0</v>
      </c>
      <c r="T27" s="22">
        <f t="shared" si="3"/>
        <v>0</v>
      </c>
      <c r="U27" s="22">
        <f t="shared" si="4"/>
        <v>0</v>
      </c>
      <c r="V27" s="22">
        <f t="shared" si="5"/>
        <v>0</v>
      </c>
      <c r="W27" s="22">
        <f t="shared" si="6"/>
        <v>0.25827705485093067</v>
      </c>
      <c r="X27" s="22">
        <f t="shared" si="7"/>
        <v>0</v>
      </c>
      <c r="Y27" s="22">
        <f t="shared" si="8"/>
        <v>0</v>
      </c>
      <c r="Z27" s="22">
        <f t="shared" si="9"/>
        <v>0</v>
      </c>
      <c r="AA27" s="22">
        <f t="shared" si="10"/>
        <v>0</v>
      </c>
      <c r="AB27" s="22">
        <f t="shared" si="11"/>
        <v>0</v>
      </c>
      <c r="AC27" s="22">
        <f t="shared" si="12"/>
        <v>0</v>
      </c>
      <c r="AD27" s="22">
        <f t="shared" si="13"/>
        <v>0</v>
      </c>
      <c r="AE27" s="22">
        <f t="shared" si="14"/>
        <v>0.74172294514906933</v>
      </c>
    </row>
    <row r="28" spans="1:31">
      <c r="A28" t="s">
        <v>353</v>
      </c>
      <c r="B28" s="12">
        <v>43725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>
        <f t="shared" si="0"/>
        <v>43725</v>
      </c>
      <c r="Q28" s="12"/>
      <c r="R28" s="22">
        <f t="shared" si="15"/>
        <v>1</v>
      </c>
      <c r="S28" s="22">
        <f t="shared" si="2"/>
        <v>0</v>
      </c>
      <c r="T28" s="22">
        <f t="shared" si="3"/>
        <v>0</v>
      </c>
      <c r="U28" s="22">
        <f t="shared" si="4"/>
        <v>0</v>
      </c>
      <c r="V28" s="22">
        <f t="shared" si="5"/>
        <v>0</v>
      </c>
      <c r="W28" s="22">
        <f t="shared" si="6"/>
        <v>0</v>
      </c>
      <c r="X28" s="22">
        <f t="shared" si="7"/>
        <v>0</v>
      </c>
      <c r="Y28" s="22">
        <f t="shared" si="8"/>
        <v>0</v>
      </c>
      <c r="Z28" s="22">
        <f t="shared" si="9"/>
        <v>0</v>
      </c>
      <c r="AA28" s="22">
        <f t="shared" si="10"/>
        <v>0</v>
      </c>
      <c r="AB28" s="22">
        <f t="shared" si="11"/>
        <v>0</v>
      </c>
      <c r="AC28" s="22">
        <f t="shared" si="12"/>
        <v>0</v>
      </c>
      <c r="AD28" s="22">
        <f t="shared" si="13"/>
        <v>0</v>
      </c>
      <c r="AE28" s="22">
        <f t="shared" si="14"/>
        <v>0</v>
      </c>
    </row>
    <row r="29" spans="1:31">
      <c r="A29" t="s">
        <v>354</v>
      </c>
      <c r="B29" s="12"/>
      <c r="C29" s="12"/>
      <c r="D29" s="12">
        <v>1814</v>
      </c>
      <c r="E29" s="12"/>
      <c r="F29" s="12"/>
      <c r="G29" s="12"/>
      <c r="H29" s="12">
        <v>1210</v>
      </c>
      <c r="I29" s="12"/>
      <c r="J29" s="12"/>
      <c r="K29" s="12"/>
      <c r="L29" s="12"/>
      <c r="M29" s="12"/>
      <c r="N29" s="12"/>
      <c r="O29" s="12"/>
      <c r="P29" s="12">
        <f t="shared" si="0"/>
        <v>3024</v>
      </c>
      <c r="Q29" s="12"/>
      <c r="R29" s="22">
        <f t="shared" si="15"/>
        <v>0</v>
      </c>
      <c r="S29" s="22">
        <f t="shared" si="2"/>
        <v>0</v>
      </c>
      <c r="T29" s="22">
        <f t="shared" si="3"/>
        <v>0.59986772486772488</v>
      </c>
      <c r="U29" s="22">
        <f t="shared" si="4"/>
        <v>0</v>
      </c>
      <c r="V29" s="22">
        <f t="shared" si="5"/>
        <v>0</v>
      </c>
      <c r="W29" s="22">
        <f t="shared" si="6"/>
        <v>0</v>
      </c>
      <c r="X29" s="22">
        <f t="shared" si="7"/>
        <v>0.40013227513227512</v>
      </c>
      <c r="Y29" s="22">
        <f t="shared" si="8"/>
        <v>0</v>
      </c>
      <c r="Z29" s="22">
        <f t="shared" si="9"/>
        <v>0</v>
      </c>
      <c r="AA29" s="22">
        <f t="shared" si="10"/>
        <v>0</v>
      </c>
      <c r="AB29" s="22">
        <f t="shared" si="11"/>
        <v>0</v>
      </c>
      <c r="AC29" s="22">
        <f t="shared" si="12"/>
        <v>0</v>
      </c>
      <c r="AD29" s="22">
        <f t="shared" si="13"/>
        <v>0</v>
      </c>
      <c r="AE29" s="22">
        <f t="shared" si="14"/>
        <v>0</v>
      </c>
    </row>
    <row r="30" spans="1:31">
      <c r="A30" t="s">
        <v>355</v>
      </c>
      <c r="B30" s="12">
        <v>15975</v>
      </c>
      <c r="C30" s="12"/>
      <c r="D30" s="12">
        <v>15975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>
        <f t="shared" si="0"/>
        <v>31950</v>
      </c>
      <c r="Q30" s="12"/>
      <c r="R30" s="22">
        <f t="shared" si="15"/>
        <v>0.5</v>
      </c>
      <c r="S30" s="22">
        <f t="shared" si="2"/>
        <v>0</v>
      </c>
      <c r="T30" s="22">
        <f t="shared" si="3"/>
        <v>0.5</v>
      </c>
      <c r="U30" s="22">
        <f t="shared" si="4"/>
        <v>0</v>
      </c>
      <c r="V30" s="22">
        <f t="shared" si="5"/>
        <v>0</v>
      </c>
      <c r="W30" s="22">
        <f t="shared" si="6"/>
        <v>0</v>
      </c>
      <c r="X30" s="22">
        <f t="shared" si="7"/>
        <v>0</v>
      </c>
      <c r="Y30" s="22">
        <f t="shared" si="8"/>
        <v>0</v>
      </c>
      <c r="Z30" s="22">
        <f t="shared" si="9"/>
        <v>0</v>
      </c>
      <c r="AA30" s="22">
        <f t="shared" si="10"/>
        <v>0</v>
      </c>
      <c r="AB30" s="22">
        <f t="shared" si="11"/>
        <v>0</v>
      </c>
      <c r="AC30" s="22">
        <f t="shared" si="12"/>
        <v>0</v>
      </c>
      <c r="AD30" s="22">
        <f t="shared" si="13"/>
        <v>0</v>
      </c>
      <c r="AE30" s="22">
        <f t="shared" si="14"/>
        <v>0</v>
      </c>
    </row>
    <row r="31" spans="1:31">
      <c r="A31" t="s">
        <v>248</v>
      </c>
      <c r="C31" s="12">
        <v>7100</v>
      </c>
      <c r="D31" s="12"/>
      <c r="E31" s="12"/>
      <c r="G31" s="12"/>
      <c r="H31" s="12"/>
      <c r="I31" s="12">
        <v>28400</v>
      </c>
      <c r="J31" s="12"/>
      <c r="K31" s="12"/>
      <c r="L31" s="12"/>
      <c r="M31" s="12"/>
      <c r="N31" s="12"/>
      <c r="O31" s="12"/>
      <c r="P31" s="12">
        <f t="shared" si="0"/>
        <v>35500</v>
      </c>
      <c r="Q31" s="12"/>
      <c r="R31" s="22">
        <f t="shared" si="15"/>
        <v>0</v>
      </c>
      <c r="S31" s="22">
        <f t="shared" si="2"/>
        <v>0.2</v>
      </c>
      <c r="T31" s="22">
        <f t="shared" si="3"/>
        <v>0</v>
      </c>
      <c r="U31" s="22">
        <f t="shared" si="4"/>
        <v>0</v>
      </c>
      <c r="V31" s="22">
        <f t="shared" si="5"/>
        <v>0</v>
      </c>
      <c r="W31" s="22">
        <f t="shared" si="6"/>
        <v>0</v>
      </c>
      <c r="X31" s="22">
        <f t="shared" si="7"/>
        <v>0</v>
      </c>
      <c r="Y31" s="22">
        <f t="shared" si="8"/>
        <v>0.8</v>
      </c>
      <c r="Z31" s="22">
        <f t="shared" si="9"/>
        <v>0</v>
      </c>
      <c r="AA31" s="22">
        <f t="shared" si="10"/>
        <v>0</v>
      </c>
      <c r="AB31" s="22">
        <f t="shared" si="11"/>
        <v>0</v>
      </c>
      <c r="AC31" s="22">
        <f t="shared" si="12"/>
        <v>0</v>
      </c>
      <c r="AD31" s="22">
        <f t="shared" si="13"/>
        <v>0</v>
      </c>
      <c r="AE31" s="22">
        <f t="shared" si="14"/>
        <v>0</v>
      </c>
    </row>
    <row r="32" spans="1:31">
      <c r="A32" t="s">
        <v>251</v>
      </c>
      <c r="B32" s="12">
        <v>15341</v>
      </c>
      <c r="C32" s="12"/>
      <c r="D32" s="12"/>
      <c r="E32" s="12"/>
      <c r="F32" s="12">
        <v>15341</v>
      </c>
      <c r="G32" s="12"/>
      <c r="H32" s="12">
        <v>28937</v>
      </c>
      <c r="I32" s="12"/>
      <c r="J32" s="12"/>
      <c r="K32" s="12"/>
      <c r="L32" s="12"/>
      <c r="M32" s="12"/>
      <c r="N32" s="12"/>
      <c r="O32" s="12"/>
      <c r="P32" s="12">
        <f>SUM(B32:O32)</f>
        <v>59619</v>
      </c>
      <c r="Q32" s="12"/>
      <c r="R32" s="22">
        <f t="shared" si="15"/>
        <v>0.25731729817675575</v>
      </c>
      <c r="S32" s="22">
        <f t="shared" si="2"/>
        <v>0</v>
      </c>
      <c r="T32" s="22">
        <f t="shared" si="3"/>
        <v>0</v>
      </c>
      <c r="U32" s="22">
        <f t="shared" si="4"/>
        <v>0</v>
      </c>
      <c r="V32" s="22">
        <f t="shared" si="5"/>
        <v>0.25731729817675575</v>
      </c>
      <c r="W32" s="22">
        <f t="shared" si="6"/>
        <v>0</v>
      </c>
      <c r="X32" s="22">
        <f t="shared" si="7"/>
        <v>0.48536540364648856</v>
      </c>
      <c r="Y32" s="22">
        <f t="shared" si="8"/>
        <v>0</v>
      </c>
      <c r="Z32" s="22">
        <f t="shared" si="9"/>
        <v>0</v>
      </c>
      <c r="AA32" s="22">
        <f t="shared" si="10"/>
        <v>0</v>
      </c>
      <c r="AB32" s="22">
        <f t="shared" si="11"/>
        <v>0</v>
      </c>
      <c r="AC32" s="22">
        <f t="shared" si="12"/>
        <v>0</v>
      </c>
      <c r="AD32" s="22">
        <f t="shared" si="13"/>
        <v>0</v>
      </c>
      <c r="AE32" s="22">
        <f t="shared" si="14"/>
        <v>0</v>
      </c>
    </row>
    <row r="33" spans="1:31">
      <c r="A33" t="s">
        <v>356</v>
      </c>
      <c r="B33" s="12"/>
      <c r="C33" s="12"/>
      <c r="D33" s="12"/>
      <c r="E33" s="12"/>
      <c r="F33" s="12"/>
      <c r="G33" s="12"/>
      <c r="H33" s="12">
        <v>1260</v>
      </c>
      <c r="I33" s="12"/>
      <c r="J33" s="12"/>
      <c r="K33" s="12"/>
      <c r="L33" s="12"/>
      <c r="M33" s="12"/>
      <c r="N33" s="12">
        <v>4000</v>
      </c>
      <c r="O33" s="12">
        <v>7140</v>
      </c>
      <c r="P33" s="12">
        <f t="shared" si="0"/>
        <v>12400</v>
      </c>
      <c r="Q33" s="12"/>
      <c r="R33" s="22">
        <f t="shared" si="15"/>
        <v>0</v>
      </c>
      <c r="S33" s="22">
        <f t="shared" si="2"/>
        <v>0</v>
      </c>
      <c r="T33" s="22">
        <f t="shared" si="3"/>
        <v>0</v>
      </c>
      <c r="U33" s="22">
        <f t="shared" si="4"/>
        <v>0</v>
      </c>
      <c r="V33" s="22">
        <f t="shared" si="5"/>
        <v>0</v>
      </c>
      <c r="W33" s="22">
        <f t="shared" si="6"/>
        <v>0</v>
      </c>
      <c r="X33" s="22">
        <f t="shared" si="7"/>
        <v>0.10161290322580645</v>
      </c>
      <c r="Y33" s="22">
        <f t="shared" si="8"/>
        <v>0</v>
      </c>
      <c r="Z33" s="22">
        <f t="shared" si="9"/>
        <v>0</v>
      </c>
      <c r="AA33" s="22">
        <f t="shared" si="10"/>
        <v>0</v>
      </c>
      <c r="AB33" s="22">
        <f t="shared" si="11"/>
        <v>0</v>
      </c>
      <c r="AC33" s="22">
        <f t="shared" si="12"/>
        <v>0</v>
      </c>
      <c r="AD33" s="22">
        <f t="shared" si="13"/>
        <v>0.32258064516129031</v>
      </c>
      <c r="AE33" s="22">
        <f t="shared" si="14"/>
        <v>0.57580645161290323</v>
      </c>
    </row>
    <row r="34" spans="1:31">
      <c r="A34" t="s">
        <v>57</v>
      </c>
      <c r="C34" s="12"/>
      <c r="D34" s="12">
        <v>99543</v>
      </c>
      <c r="E34" s="12"/>
      <c r="F34" s="12">
        <v>10931</v>
      </c>
      <c r="G34" s="12"/>
      <c r="H34" s="12">
        <v>1628</v>
      </c>
      <c r="I34" s="12"/>
      <c r="J34" s="12">
        <v>22738</v>
      </c>
      <c r="K34" s="12"/>
      <c r="L34" s="12">
        <v>13643</v>
      </c>
      <c r="M34" s="12"/>
      <c r="N34" s="12"/>
      <c r="O34" s="12"/>
      <c r="P34" s="12">
        <f t="shared" si="0"/>
        <v>148483</v>
      </c>
      <c r="Q34" s="12"/>
      <c r="R34" s="22">
        <f t="shared" si="15"/>
        <v>0</v>
      </c>
      <c r="S34" s="22">
        <f t="shared" si="2"/>
        <v>0</v>
      </c>
      <c r="T34" s="22">
        <f t="shared" si="3"/>
        <v>0.67039997844871135</v>
      </c>
      <c r="U34" s="22">
        <f t="shared" si="4"/>
        <v>0</v>
      </c>
      <c r="V34" s="22">
        <f t="shared" si="5"/>
        <v>7.3617855242687713E-2</v>
      </c>
      <c r="W34" s="22">
        <f t="shared" si="6"/>
        <v>0</v>
      </c>
      <c r="X34" s="22">
        <f t="shared" si="7"/>
        <v>1.0964218125980751E-2</v>
      </c>
      <c r="Y34" s="22">
        <f t="shared" si="8"/>
        <v>0</v>
      </c>
      <c r="Z34" s="22">
        <f t="shared" si="9"/>
        <v>0.15313537576692282</v>
      </c>
      <c r="AA34" s="22">
        <f t="shared" si="10"/>
        <v>0</v>
      </c>
      <c r="AB34" s="22">
        <f t="shared" si="11"/>
        <v>9.1882572415697417E-2</v>
      </c>
      <c r="AC34" s="22">
        <f t="shared" si="12"/>
        <v>0</v>
      </c>
      <c r="AD34" s="22">
        <f t="shared" si="13"/>
        <v>0</v>
      </c>
      <c r="AE34" s="22">
        <f t="shared" si="14"/>
        <v>0</v>
      </c>
    </row>
    <row r="35" spans="1:31">
      <c r="A35" t="s">
        <v>257</v>
      </c>
      <c r="B35" s="12">
        <v>71887</v>
      </c>
      <c r="C35" s="12"/>
      <c r="D35" s="12"/>
      <c r="E35" s="12"/>
      <c r="F35" s="12"/>
      <c r="G35" s="12"/>
      <c r="H35" s="12">
        <v>62459</v>
      </c>
      <c r="I35" s="12"/>
      <c r="J35" s="12"/>
      <c r="K35" s="12"/>
      <c r="L35" s="12"/>
      <c r="M35" s="12"/>
      <c r="N35" s="12"/>
      <c r="O35" s="12"/>
      <c r="P35" s="12">
        <f>SUM(B35:O35)</f>
        <v>134346</v>
      </c>
      <c r="Q35" s="12"/>
      <c r="R35" s="22">
        <f t="shared" si="15"/>
        <v>0.5350885028210739</v>
      </c>
      <c r="S35" s="22">
        <f t="shared" ref="S35:S51" si="16">C35/$P35</f>
        <v>0</v>
      </c>
      <c r="T35" s="22">
        <f t="shared" ref="T35:T51" si="17">D35/$P35</f>
        <v>0</v>
      </c>
      <c r="U35" s="22">
        <f t="shared" ref="U35:U51" si="18">E35/$P35</f>
        <v>0</v>
      </c>
      <c r="V35" s="22">
        <f t="shared" ref="V35:V51" si="19">F35/$P35</f>
        <v>0</v>
      </c>
      <c r="W35" s="22">
        <f t="shared" ref="W35:W51" si="20">G35/$P35</f>
        <v>0</v>
      </c>
      <c r="X35" s="22">
        <f t="shared" ref="X35:X51" si="21">H35/$P35</f>
        <v>0.46491149717892605</v>
      </c>
      <c r="Y35" s="22">
        <f t="shared" ref="Y35:Y51" si="22">I35/$P35</f>
        <v>0</v>
      </c>
      <c r="Z35" s="22">
        <f t="shared" ref="Z35:Z51" si="23">J35/$P35</f>
        <v>0</v>
      </c>
      <c r="AA35" s="22">
        <f t="shared" ref="AA35:AA51" si="24">K35/$P35</f>
        <v>0</v>
      </c>
      <c r="AB35" s="22">
        <f t="shared" ref="AB35:AB51" si="25">L35/$P35</f>
        <v>0</v>
      </c>
      <c r="AC35" s="22">
        <f t="shared" ref="AC35:AC51" si="26">M35/$P35</f>
        <v>0</v>
      </c>
      <c r="AD35" s="22">
        <f t="shared" si="13"/>
        <v>0</v>
      </c>
      <c r="AE35" s="22">
        <f t="shared" si="14"/>
        <v>0</v>
      </c>
    </row>
    <row r="36" spans="1:31">
      <c r="A36" t="s">
        <v>357</v>
      </c>
      <c r="B36" s="12"/>
      <c r="C36" s="12">
        <v>1158</v>
      </c>
      <c r="D36" s="12"/>
      <c r="E36" s="12"/>
      <c r="F36" s="12"/>
      <c r="G36" s="12"/>
      <c r="H36" s="12">
        <v>6564</v>
      </c>
      <c r="I36" s="12"/>
      <c r="J36" s="12"/>
      <c r="K36" s="12"/>
      <c r="L36" s="12"/>
      <c r="M36" s="12"/>
      <c r="N36" s="12"/>
      <c r="O36" s="12"/>
      <c r="P36" s="12">
        <f t="shared" si="0"/>
        <v>7722</v>
      </c>
      <c r="Q36" s="12"/>
      <c r="R36" s="22">
        <f t="shared" si="15"/>
        <v>0</v>
      </c>
      <c r="S36" s="22">
        <f t="shared" si="16"/>
        <v>0.14996114996114995</v>
      </c>
      <c r="T36" s="22">
        <f t="shared" si="17"/>
        <v>0</v>
      </c>
      <c r="U36" s="22">
        <f t="shared" si="18"/>
        <v>0</v>
      </c>
      <c r="V36" s="22">
        <f t="shared" si="19"/>
        <v>0</v>
      </c>
      <c r="W36" s="22">
        <f t="shared" si="20"/>
        <v>0</v>
      </c>
      <c r="X36" s="22">
        <f t="shared" si="21"/>
        <v>0.85003885003885005</v>
      </c>
      <c r="Y36" s="22">
        <f t="shared" si="22"/>
        <v>0</v>
      </c>
      <c r="Z36" s="22">
        <f t="shared" si="23"/>
        <v>0</v>
      </c>
      <c r="AA36" s="22">
        <f t="shared" si="24"/>
        <v>0</v>
      </c>
      <c r="AB36" s="22">
        <f t="shared" si="25"/>
        <v>0</v>
      </c>
      <c r="AC36" s="22">
        <f t="shared" si="26"/>
        <v>0</v>
      </c>
      <c r="AD36" s="22">
        <f t="shared" si="13"/>
        <v>0</v>
      </c>
      <c r="AE36" s="22">
        <f t="shared" si="14"/>
        <v>0</v>
      </c>
    </row>
    <row r="37" spans="1:31">
      <c r="A37" t="s">
        <v>266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>
        <f t="shared" si="0"/>
        <v>0</v>
      </c>
      <c r="Q37" s="12"/>
      <c r="R37" s="22" t="e">
        <f t="shared" si="15"/>
        <v>#DIV/0!</v>
      </c>
      <c r="S37" s="22" t="e">
        <f t="shared" si="16"/>
        <v>#DIV/0!</v>
      </c>
      <c r="T37" s="22" t="e">
        <f t="shared" si="17"/>
        <v>#DIV/0!</v>
      </c>
      <c r="U37" s="22" t="e">
        <f t="shared" si="18"/>
        <v>#DIV/0!</v>
      </c>
      <c r="V37" s="22" t="e">
        <f t="shared" si="19"/>
        <v>#DIV/0!</v>
      </c>
      <c r="W37" s="22" t="e">
        <f t="shared" si="20"/>
        <v>#DIV/0!</v>
      </c>
      <c r="X37" s="22" t="e">
        <f t="shared" si="21"/>
        <v>#DIV/0!</v>
      </c>
      <c r="Y37" s="22" t="e">
        <f t="shared" si="22"/>
        <v>#DIV/0!</v>
      </c>
      <c r="Z37" s="22" t="e">
        <f t="shared" si="23"/>
        <v>#DIV/0!</v>
      </c>
      <c r="AA37" s="22" t="e">
        <f t="shared" si="24"/>
        <v>#DIV/0!</v>
      </c>
      <c r="AB37" s="22" t="e">
        <f t="shared" si="25"/>
        <v>#DIV/0!</v>
      </c>
      <c r="AC37" s="22" t="e">
        <f t="shared" si="26"/>
        <v>#DIV/0!</v>
      </c>
      <c r="AD37" s="22" t="e">
        <f t="shared" si="13"/>
        <v>#DIV/0!</v>
      </c>
      <c r="AE37" s="22" t="e">
        <f t="shared" si="14"/>
        <v>#DIV/0!</v>
      </c>
    </row>
    <row r="38" spans="1:31">
      <c r="A38" t="s">
        <v>271</v>
      </c>
      <c r="B38" s="12">
        <v>21269</v>
      </c>
      <c r="C38" s="12"/>
      <c r="D38" s="12"/>
      <c r="E38" s="12"/>
      <c r="F38" s="12">
        <v>55300</v>
      </c>
      <c r="G38" s="12"/>
      <c r="H38" s="12">
        <v>20294</v>
      </c>
      <c r="I38" s="12">
        <v>51822</v>
      </c>
      <c r="J38" s="12"/>
      <c r="K38" s="12"/>
      <c r="L38" s="12"/>
      <c r="M38" s="12"/>
      <c r="N38" s="12"/>
      <c r="O38" s="12"/>
      <c r="P38" s="12">
        <f t="shared" si="0"/>
        <v>148685</v>
      </c>
      <c r="Q38" s="12"/>
      <c r="R38" s="22">
        <f t="shared" si="15"/>
        <v>0.14304738204929884</v>
      </c>
      <c r="S38" s="22">
        <f t="shared" si="16"/>
        <v>0</v>
      </c>
      <c r="T38" s="22">
        <f t="shared" si="17"/>
        <v>0</v>
      </c>
      <c r="U38" s="22">
        <f t="shared" si="18"/>
        <v>0</v>
      </c>
      <c r="V38" s="22">
        <f t="shared" si="19"/>
        <v>0.37192722870498035</v>
      </c>
      <c r="W38" s="22">
        <f t="shared" si="20"/>
        <v>0</v>
      </c>
      <c r="X38" s="22">
        <f t="shared" si="21"/>
        <v>0.1364898947439217</v>
      </c>
      <c r="Y38" s="22">
        <f t="shared" si="22"/>
        <v>0.3485354945017991</v>
      </c>
      <c r="Z38" s="22">
        <f t="shared" si="23"/>
        <v>0</v>
      </c>
      <c r="AA38" s="22">
        <f t="shared" si="24"/>
        <v>0</v>
      </c>
      <c r="AB38" s="22">
        <f t="shared" si="25"/>
        <v>0</v>
      </c>
      <c r="AC38" s="22">
        <f t="shared" si="26"/>
        <v>0</v>
      </c>
      <c r="AD38" s="22">
        <f t="shared" si="13"/>
        <v>0</v>
      </c>
      <c r="AE38" s="22">
        <f t="shared" si="14"/>
        <v>0</v>
      </c>
    </row>
    <row r="39" spans="1:31">
      <c r="A39" t="s">
        <v>358</v>
      </c>
      <c r="B39" s="12">
        <v>49307</v>
      </c>
      <c r="C39" s="12"/>
      <c r="D39" s="12"/>
      <c r="E39" s="12"/>
      <c r="F39" s="12"/>
      <c r="G39" s="12"/>
      <c r="H39" s="12">
        <v>11131</v>
      </c>
      <c r="I39" s="12"/>
      <c r="J39" s="12"/>
      <c r="K39" s="12"/>
      <c r="L39" s="12"/>
      <c r="M39" s="12"/>
      <c r="N39" s="12"/>
      <c r="O39" s="12"/>
      <c r="P39" s="12">
        <f t="shared" si="0"/>
        <v>60438</v>
      </c>
      <c r="Q39" s="12"/>
      <c r="R39" s="22">
        <f t="shared" si="15"/>
        <v>0.81582779046295373</v>
      </c>
      <c r="S39" s="22">
        <f t="shared" si="16"/>
        <v>0</v>
      </c>
      <c r="T39" s="22">
        <f t="shared" si="17"/>
        <v>0</v>
      </c>
      <c r="U39" s="22">
        <f t="shared" si="18"/>
        <v>0</v>
      </c>
      <c r="V39" s="22">
        <f t="shared" si="19"/>
        <v>0</v>
      </c>
      <c r="W39" s="22">
        <f t="shared" si="20"/>
        <v>0</v>
      </c>
      <c r="X39" s="22">
        <f t="shared" si="21"/>
        <v>0.18417220953704622</v>
      </c>
      <c r="Y39" s="22">
        <f t="shared" si="22"/>
        <v>0</v>
      </c>
      <c r="Z39" s="22">
        <f t="shared" si="23"/>
        <v>0</v>
      </c>
      <c r="AA39" s="22">
        <f t="shared" si="24"/>
        <v>0</v>
      </c>
      <c r="AB39" s="22">
        <f t="shared" si="25"/>
        <v>0</v>
      </c>
      <c r="AC39" s="22">
        <f t="shared" si="26"/>
        <v>0</v>
      </c>
      <c r="AD39" s="22">
        <f t="shared" si="13"/>
        <v>0</v>
      </c>
      <c r="AE39" s="22">
        <f t="shared" si="14"/>
        <v>0</v>
      </c>
    </row>
    <row r="40" spans="1:31">
      <c r="A40" t="s">
        <v>359</v>
      </c>
      <c r="B40" s="12"/>
      <c r="C40" s="12">
        <v>8640</v>
      </c>
      <c r="D40" s="12"/>
      <c r="E40" s="12"/>
      <c r="F40" s="12"/>
      <c r="G40" s="12"/>
      <c r="H40" s="12">
        <v>24500</v>
      </c>
      <c r="I40" s="12"/>
      <c r="J40" s="12"/>
      <c r="K40" s="12"/>
      <c r="L40" s="12"/>
      <c r="M40" s="12"/>
      <c r="N40" s="12"/>
      <c r="O40" s="12"/>
      <c r="P40" s="12">
        <f t="shared" si="0"/>
        <v>33140</v>
      </c>
      <c r="Q40" s="12"/>
      <c r="R40" s="22">
        <f t="shared" si="15"/>
        <v>0</v>
      </c>
      <c r="S40" s="22">
        <f t="shared" si="16"/>
        <v>0.26071213035606516</v>
      </c>
      <c r="T40" s="22">
        <f t="shared" si="17"/>
        <v>0</v>
      </c>
      <c r="U40" s="22">
        <f t="shared" si="18"/>
        <v>0</v>
      </c>
      <c r="V40" s="22">
        <f t="shared" si="19"/>
        <v>0</v>
      </c>
      <c r="W40" s="22">
        <f t="shared" si="20"/>
        <v>0</v>
      </c>
      <c r="X40" s="22">
        <f t="shared" si="21"/>
        <v>0.73928786964393478</v>
      </c>
      <c r="Y40" s="22">
        <f t="shared" si="22"/>
        <v>0</v>
      </c>
      <c r="Z40" s="22">
        <f t="shared" si="23"/>
        <v>0</v>
      </c>
      <c r="AA40" s="22">
        <f t="shared" si="24"/>
        <v>0</v>
      </c>
      <c r="AB40" s="22">
        <f t="shared" si="25"/>
        <v>0</v>
      </c>
      <c r="AC40" s="22">
        <f t="shared" si="26"/>
        <v>0</v>
      </c>
      <c r="AD40" s="22">
        <f t="shared" si="13"/>
        <v>0</v>
      </c>
      <c r="AE40" s="22">
        <f t="shared" si="14"/>
        <v>0</v>
      </c>
    </row>
    <row r="41" spans="1:31">
      <c r="A41" t="s">
        <v>287</v>
      </c>
      <c r="B41" s="12">
        <v>33878</v>
      </c>
      <c r="C41" s="12">
        <v>3780</v>
      </c>
      <c r="D41" s="12">
        <v>2065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>
        <f t="shared" si="0"/>
        <v>39723</v>
      </c>
      <c r="Q41" s="12"/>
      <c r="R41" s="22">
        <f t="shared" si="15"/>
        <v>0.85285602799385751</v>
      </c>
      <c r="S41" s="22">
        <f t="shared" si="16"/>
        <v>9.5158975908164037E-2</v>
      </c>
      <c r="T41" s="22">
        <f t="shared" si="17"/>
        <v>5.1984996097978499E-2</v>
      </c>
      <c r="U41" s="22">
        <f t="shared" si="18"/>
        <v>0</v>
      </c>
      <c r="V41" s="22">
        <f t="shared" si="19"/>
        <v>0</v>
      </c>
      <c r="W41" s="22">
        <f t="shared" si="20"/>
        <v>0</v>
      </c>
      <c r="X41" s="22">
        <f t="shared" si="21"/>
        <v>0</v>
      </c>
      <c r="Y41" s="22">
        <f t="shared" si="22"/>
        <v>0</v>
      </c>
      <c r="Z41" s="22">
        <f t="shared" si="23"/>
        <v>0</v>
      </c>
      <c r="AA41" s="22">
        <f t="shared" si="24"/>
        <v>0</v>
      </c>
      <c r="AB41" s="22">
        <f t="shared" si="25"/>
        <v>0</v>
      </c>
      <c r="AC41" s="22">
        <f t="shared" si="26"/>
        <v>0</v>
      </c>
      <c r="AD41" s="22">
        <f t="shared" si="13"/>
        <v>0</v>
      </c>
      <c r="AE41" s="22">
        <f t="shared" si="14"/>
        <v>0</v>
      </c>
    </row>
    <row r="42" spans="1:31">
      <c r="A42" t="s">
        <v>288</v>
      </c>
      <c r="B42" s="12">
        <v>2070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>
        <f t="shared" si="0"/>
        <v>2070</v>
      </c>
      <c r="Q42" s="12"/>
      <c r="R42" s="22">
        <f t="shared" si="15"/>
        <v>1</v>
      </c>
      <c r="S42" s="22">
        <f t="shared" si="16"/>
        <v>0</v>
      </c>
      <c r="T42" s="22">
        <f t="shared" si="17"/>
        <v>0</v>
      </c>
      <c r="U42" s="22">
        <f t="shared" si="18"/>
        <v>0</v>
      </c>
      <c r="V42" s="22">
        <f t="shared" si="19"/>
        <v>0</v>
      </c>
      <c r="W42" s="22">
        <f t="shared" si="20"/>
        <v>0</v>
      </c>
      <c r="X42" s="22">
        <f t="shared" si="21"/>
        <v>0</v>
      </c>
      <c r="Y42" s="22">
        <f t="shared" si="22"/>
        <v>0</v>
      </c>
      <c r="Z42" s="22">
        <f t="shared" si="23"/>
        <v>0</v>
      </c>
      <c r="AA42" s="22">
        <f t="shared" si="24"/>
        <v>0</v>
      </c>
      <c r="AB42" s="22">
        <f t="shared" si="25"/>
        <v>0</v>
      </c>
      <c r="AC42" s="22">
        <f t="shared" si="26"/>
        <v>0</v>
      </c>
      <c r="AD42" s="22">
        <f t="shared" si="13"/>
        <v>0</v>
      </c>
      <c r="AE42" s="22">
        <f t="shared" si="14"/>
        <v>0</v>
      </c>
    </row>
    <row r="43" spans="1:31">
      <c r="A43" t="s">
        <v>289</v>
      </c>
      <c r="B43" s="12">
        <v>16197</v>
      </c>
      <c r="C43" s="12"/>
      <c r="D43" s="12"/>
      <c r="E43" s="12"/>
      <c r="F43" s="12">
        <v>56375</v>
      </c>
      <c r="G43" s="12"/>
      <c r="H43" s="12">
        <v>19668</v>
      </c>
      <c r="I43" s="12"/>
      <c r="J43" s="12"/>
      <c r="K43" s="12"/>
      <c r="L43" s="12"/>
      <c r="M43" s="12"/>
      <c r="N43" s="12"/>
      <c r="O43" s="12"/>
      <c r="P43" s="12">
        <f t="shared" si="0"/>
        <v>92240</v>
      </c>
      <c r="Q43" s="12"/>
      <c r="R43" s="22">
        <f t="shared" si="15"/>
        <v>0.17559627059843885</v>
      </c>
      <c r="S43" s="22">
        <f t="shared" si="16"/>
        <v>0</v>
      </c>
      <c r="T43" s="22">
        <f t="shared" si="17"/>
        <v>0</v>
      </c>
      <c r="U43" s="22">
        <f t="shared" si="18"/>
        <v>0</v>
      </c>
      <c r="V43" s="22">
        <f t="shared" si="19"/>
        <v>0.61117736339982653</v>
      </c>
      <c r="W43" s="22">
        <f t="shared" si="20"/>
        <v>0</v>
      </c>
      <c r="X43" s="22">
        <f t="shared" si="21"/>
        <v>0.21322636600173461</v>
      </c>
      <c r="Y43" s="22">
        <f t="shared" si="22"/>
        <v>0</v>
      </c>
      <c r="Z43" s="22">
        <f t="shared" si="23"/>
        <v>0</v>
      </c>
      <c r="AA43" s="22">
        <f t="shared" si="24"/>
        <v>0</v>
      </c>
      <c r="AB43" s="22">
        <f t="shared" si="25"/>
        <v>0</v>
      </c>
      <c r="AC43" s="22">
        <f t="shared" si="26"/>
        <v>0</v>
      </c>
      <c r="AD43" s="22">
        <f t="shared" si="13"/>
        <v>0</v>
      </c>
      <c r="AE43" s="22">
        <f t="shared" si="14"/>
        <v>0</v>
      </c>
    </row>
    <row r="44" spans="1:31">
      <c r="A44" t="s">
        <v>360</v>
      </c>
      <c r="B44" s="12">
        <v>2414</v>
      </c>
      <c r="C44" s="12">
        <v>59789</v>
      </c>
      <c r="D44" s="12"/>
      <c r="E44" s="12"/>
      <c r="F44" s="12"/>
      <c r="G44" s="12"/>
      <c r="H44" s="12"/>
      <c r="I44" s="12"/>
      <c r="J44" s="12"/>
      <c r="K44" s="12"/>
      <c r="L44" s="12">
        <v>23989</v>
      </c>
      <c r="M44" s="12"/>
      <c r="N44" s="12"/>
      <c r="O44" s="12"/>
      <c r="P44" s="12">
        <f t="shared" si="0"/>
        <v>86192</v>
      </c>
      <c r="Q44" s="12"/>
      <c r="R44" s="22">
        <f t="shared" si="15"/>
        <v>2.8007239651011696E-2</v>
      </c>
      <c r="S44" s="22">
        <f t="shared" si="16"/>
        <v>0.6936722665676629</v>
      </c>
      <c r="T44" s="22">
        <f t="shared" si="17"/>
        <v>0</v>
      </c>
      <c r="U44" s="22">
        <f t="shared" si="18"/>
        <v>0</v>
      </c>
      <c r="V44" s="22">
        <f t="shared" si="19"/>
        <v>0</v>
      </c>
      <c r="W44" s="22">
        <f t="shared" si="20"/>
        <v>0</v>
      </c>
      <c r="X44" s="22">
        <f t="shared" si="21"/>
        <v>0</v>
      </c>
      <c r="Y44" s="22">
        <f t="shared" si="22"/>
        <v>0</v>
      </c>
      <c r="Z44" s="22">
        <f t="shared" si="23"/>
        <v>0</v>
      </c>
      <c r="AA44" s="22">
        <f t="shared" si="24"/>
        <v>0</v>
      </c>
      <c r="AB44" s="22">
        <f t="shared" si="25"/>
        <v>0.2783204937813254</v>
      </c>
      <c r="AC44" s="22">
        <f t="shared" si="26"/>
        <v>0</v>
      </c>
      <c r="AD44" s="22">
        <f t="shared" si="13"/>
        <v>0</v>
      </c>
      <c r="AE44" s="22">
        <f t="shared" si="14"/>
        <v>0</v>
      </c>
    </row>
    <row r="45" spans="1:31">
      <c r="A45" t="s">
        <v>298</v>
      </c>
      <c r="B45" s="12">
        <v>6049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>
        <f t="shared" si="0"/>
        <v>6049</v>
      </c>
      <c r="Q45" s="12"/>
      <c r="R45" s="22">
        <f t="shared" si="15"/>
        <v>1</v>
      </c>
      <c r="S45" s="22">
        <f t="shared" si="16"/>
        <v>0</v>
      </c>
      <c r="T45" s="22">
        <f t="shared" si="17"/>
        <v>0</v>
      </c>
      <c r="U45" s="22">
        <f t="shared" si="18"/>
        <v>0</v>
      </c>
      <c r="V45" s="22">
        <f t="shared" si="19"/>
        <v>0</v>
      </c>
      <c r="W45" s="22">
        <f t="shared" si="20"/>
        <v>0</v>
      </c>
      <c r="X45" s="22">
        <f t="shared" si="21"/>
        <v>0</v>
      </c>
      <c r="Y45" s="22">
        <f t="shared" si="22"/>
        <v>0</v>
      </c>
      <c r="Z45" s="22">
        <f t="shared" si="23"/>
        <v>0</v>
      </c>
      <c r="AA45" s="22">
        <f t="shared" si="24"/>
        <v>0</v>
      </c>
      <c r="AB45" s="22">
        <f t="shared" si="25"/>
        <v>0</v>
      </c>
      <c r="AC45" s="22">
        <f t="shared" si="26"/>
        <v>0</v>
      </c>
      <c r="AD45" s="22">
        <f t="shared" si="13"/>
        <v>0</v>
      </c>
      <c r="AE45" s="22">
        <f t="shared" si="14"/>
        <v>0</v>
      </c>
    </row>
    <row r="46" spans="1:31">
      <c r="A46" t="s">
        <v>361</v>
      </c>
      <c r="B46" s="12">
        <v>2496</v>
      </c>
      <c r="C46" s="12"/>
      <c r="D46" s="12">
        <v>624</v>
      </c>
      <c r="E46" s="12"/>
      <c r="F46" s="12"/>
      <c r="G46" s="12"/>
      <c r="H46" s="12">
        <v>312</v>
      </c>
      <c r="I46" s="12"/>
      <c r="J46" s="12"/>
      <c r="K46" s="12">
        <v>2808</v>
      </c>
      <c r="L46" s="12"/>
      <c r="M46" s="12"/>
      <c r="N46" s="12"/>
      <c r="O46" s="12"/>
      <c r="P46" s="12">
        <f t="shared" si="0"/>
        <v>6240</v>
      </c>
      <c r="Q46" s="12"/>
      <c r="R46" s="22">
        <f t="shared" si="15"/>
        <v>0.4</v>
      </c>
      <c r="S46" s="22">
        <f t="shared" si="16"/>
        <v>0</v>
      </c>
      <c r="T46" s="22">
        <f t="shared" si="17"/>
        <v>0.1</v>
      </c>
      <c r="U46" s="22">
        <f t="shared" si="18"/>
        <v>0</v>
      </c>
      <c r="V46" s="22">
        <f t="shared" si="19"/>
        <v>0</v>
      </c>
      <c r="W46" s="22">
        <f t="shared" si="20"/>
        <v>0</v>
      </c>
      <c r="X46" s="22">
        <f t="shared" si="21"/>
        <v>0.05</v>
      </c>
      <c r="Y46" s="22">
        <f t="shared" si="22"/>
        <v>0</v>
      </c>
      <c r="Z46" s="22">
        <f t="shared" si="23"/>
        <v>0</v>
      </c>
      <c r="AA46" s="22">
        <f t="shared" si="24"/>
        <v>0.45</v>
      </c>
      <c r="AB46" s="22">
        <f t="shared" si="25"/>
        <v>0</v>
      </c>
      <c r="AC46" s="22">
        <f t="shared" si="26"/>
        <v>0</v>
      </c>
      <c r="AD46" s="22">
        <f t="shared" si="13"/>
        <v>0</v>
      </c>
      <c r="AE46" s="22">
        <f t="shared" si="14"/>
        <v>0</v>
      </c>
    </row>
    <row r="47" spans="1:31">
      <c r="A47" t="s">
        <v>362</v>
      </c>
      <c r="B47" s="12">
        <v>24904</v>
      </c>
      <c r="C47" s="12"/>
      <c r="D47" s="12"/>
      <c r="E47" s="12"/>
      <c r="F47" s="12">
        <v>71140</v>
      </c>
      <c r="G47" s="12"/>
      <c r="H47" s="12"/>
      <c r="I47" s="12"/>
      <c r="J47" s="12"/>
      <c r="K47" s="12"/>
      <c r="L47" s="12"/>
      <c r="M47" s="12"/>
      <c r="N47" s="12"/>
      <c r="O47" s="12"/>
      <c r="P47" s="12">
        <f t="shared" si="0"/>
        <v>96044</v>
      </c>
      <c r="Q47" s="12"/>
      <c r="R47" s="22">
        <f t="shared" si="15"/>
        <v>0.2592978218316605</v>
      </c>
      <c r="S47" s="22">
        <f t="shared" si="16"/>
        <v>0</v>
      </c>
      <c r="T47" s="22">
        <f t="shared" si="17"/>
        <v>0</v>
      </c>
      <c r="U47" s="22">
        <f t="shared" si="18"/>
        <v>0</v>
      </c>
      <c r="V47" s="22">
        <f t="shared" si="19"/>
        <v>0.7407021781683395</v>
      </c>
      <c r="W47" s="22">
        <f t="shared" si="20"/>
        <v>0</v>
      </c>
      <c r="X47" s="22">
        <f t="shared" si="21"/>
        <v>0</v>
      </c>
      <c r="Y47" s="22">
        <f t="shared" si="22"/>
        <v>0</v>
      </c>
      <c r="Z47" s="22">
        <f t="shared" si="23"/>
        <v>0</v>
      </c>
      <c r="AA47" s="22">
        <f t="shared" si="24"/>
        <v>0</v>
      </c>
      <c r="AB47" s="22">
        <f t="shared" si="25"/>
        <v>0</v>
      </c>
      <c r="AC47" s="22">
        <f t="shared" si="26"/>
        <v>0</v>
      </c>
      <c r="AD47" s="22">
        <f t="shared" si="13"/>
        <v>0</v>
      </c>
      <c r="AE47" s="22">
        <f t="shared" si="14"/>
        <v>0</v>
      </c>
    </row>
    <row r="48" spans="1:31">
      <c r="A48" t="s">
        <v>319</v>
      </c>
      <c r="B48" s="12">
        <v>57118</v>
      </c>
      <c r="C48" s="12"/>
      <c r="D48" s="12"/>
      <c r="E48" s="12"/>
      <c r="F48" s="12">
        <v>93061</v>
      </c>
      <c r="G48" s="12"/>
      <c r="H48" s="12">
        <v>26747</v>
      </c>
      <c r="I48" s="12"/>
      <c r="J48" s="12"/>
      <c r="K48" s="12"/>
      <c r="L48" s="12"/>
      <c r="M48" s="12"/>
      <c r="N48" s="12"/>
      <c r="O48" s="12"/>
      <c r="P48" s="12">
        <f t="shared" si="0"/>
        <v>176926</v>
      </c>
      <c r="Q48" s="12"/>
      <c r="R48" s="22">
        <f t="shared" si="15"/>
        <v>0.3228355357607135</v>
      </c>
      <c r="S48" s="22">
        <f t="shared" si="16"/>
        <v>0</v>
      </c>
      <c r="T48" s="22">
        <f t="shared" si="17"/>
        <v>0</v>
      </c>
      <c r="U48" s="22">
        <f t="shared" si="18"/>
        <v>0</v>
      </c>
      <c r="V48" s="22">
        <f t="shared" si="19"/>
        <v>0.52598826628081796</v>
      </c>
      <c r="W48" s="22">
        <f t="shared" si="20"/>
        <v>0</v>
      </c>
      <c r="X48" s="22">
        <f t="shared" si="21"/>
        <v>0.15117619795846851</v>
      </c>
      <c r="Y48" s="22">
        <f t="shared" si="22"/>
        <v>0</v>
      </c>
      <c r="Z48" s="22">
        <f t="shared" si="23"/>
        <v>0</v>
      </c>
      <c r="AA48" s="22">
        <f t="shared" si="24"/>
        <v>0</v>
      </c>
      <c r="AB48" s="22">
        <f t="shared" si="25"/>
        <v>0</v>
      </c>
      <c r="AC48" s="22">
        <f t="shared" si="26"/>
        <v>0</v>
      </c>
      <c r="AD48" s="22">
        <f t="shared" si="13"/>
        <v>0</v>
      </c>
      <c r="AE48" s="22">
        <f t="shared" si="14"/>
        <v>0</v>
      </c>
    </row>
    <row r="49" spans="1:31">
      <c r="A49" t="s">
        <v>320</v>
      </c>
      <c r="B49" s="12">
        <v>18814</v>
      </c>
      <c r="C49" s="12"/>
      <c r="D49" s="12"/>
      <c r="E49" s="12"/>
      <c r="F49" s="12"/>
      <c r="G49" s="12"/>
      <c r="H49" s="12">
        <v>2229</v>
      </c>
      <c r="I49" s="12"/>
      <c r="J49" s="12"/>
      <c r="K49" s="12"/>
      <c r="L49" s="12"/>
      <c r="M49" s="12"/>
      <c r="N49" s="12"/>
      <c r="O49" s="12"/>
      <c r="P49" s="12">
        <f t="shared" si="0"/>
        <v>21043</v>
      </c>
      <c r="Q49" s="12"/>
      <c r="R49" s="22">
        <f t="shared" si="15"/>
        <v>0.89407403887278425</v>
      </c>
      <c r="S49" s="22">
        <f t="shared" si="16"/>
        <v>0</v>
      </c>
      <c r="T49" s="22">
        <f t="shared" si="17"/>
        <v>0</v>
      </c>
      <c r="U49" s="22">
        <f t="shared" si="18"/>
        <v>0</v>
      </c>
      <c r="V49" s="22">
        <f t="shared" si="19"/>
        <v>0</v>
      </c>
      <c r="W49" s="22">
        <f t="shared" si="20"/>
        <v>0</v>
      </c>
      <c r="X49" s="22">
        <f t="shared" si="21"/>
        <v>0.1059259611272157</v>
      </c>
      <c r="Y49" s="22">
        <f t="shared" si="22"/>
        <v>0</v>
      </c>
      <c r="Z49" s="22">
        <f t="shared" si="23"/>
        <v>0</v>
      </c>
      <c r="AA49" s="22">
        <f t="shared" si="24"/>
        <v>0</v>
      </c>
      <c r="AB49" s="22">
        <f t="shared" si="25"/>
        <v>0</v>
      </c>
      <c r="AC49" s="22">
        <f t="shared" si="26"/>
        <v>0</v>
      </c>
      <c r="AD49" s="22">
        <f t="shared" si="13"/>
        <v>0</v>
      </c>
      <c r="AE49" s="22">
        <f t="shared" si="14"/>
        <v>0</v>
      </c>
    </row>
    <row r="50" spans="1:31">
      <c r="A50" t="s">
        <v>321</v>
      </c>
      <c r="B50" s="12">
        <v>234847</v>
      </c>
      <c r="C50" s="12"/>
      <c r="D50" s="12"/>
      <c r="E50" s="12"/>
      <c r="F50" s="12">
        <v>15023</v>
      </c>
      <c r="G50" s="12"/>
      <c r="H50" s="12">
        <v>51797</v>
      </c>
      <c r="I50" s="12"/>
      <c r="J50" s="12"/>
      <c r="K50" s="12"/>
      <c r="L50" s="12"/>
      <c r="M50" s="12"/>
      <c r="N50" s="12"/>
      <c r="O50" s="12"/>
      <c r="P50" s="12">
        <f t="shared" si="0"/>
        <v>301667</v>
      </c>
      <c r="Q50" s="12"/>
      <c r="R50" s="22">
        <f t="shared" si="15"/>
        <v>0.77849748232322391</v>
      </c>
      <c r="S50" s="22">
        <f t="shared" si="16"/>
        <v>0</v>
      </c>
      <c r="T50" s="22">
        <f t="shared" si="17"/>
        <v>0</v>
      </c>
      <c r="U50" s="22">
        <f t="shared" si="18"/>
        <v>0</v>
      </c>
      <c r="V50" s="22">
        <f t="shared" si="19"/>
        <v>4.9799944972436491E-2</v>
      </c>
      <c r="W50" s="22">
        <f t="shared" si="20"/>
        <v>0</v>
      </c>
      <c r="X50" s="22">
        <f t="shared" si="21"/>
        <v>0.17170257270433956</v>
      </c>
      <c r="Y50" s="22">
        <f t="shared" si="22"/>
        <v>0</v>
      </c>
      <c r="Z50" s="22">
        <f t="shared" si="23"/>
        <v>0</v>
      </c>
      <c r="AA50" s="22">
        <f t="shared" si="24"/>
        <v>0</v>
      </c>
      <c r="AB50" s="22">
        <f t="shared" si="25"/>
        <v>0</v>
      </c>
      <c r="AC50" s="22">
        <f t="shared" si="26"/>
        <v>0</v>
      </c>
      <c r="AD50" s="22">
        <f t="shared" si="13"/>
        <v>0</v>
      </c>
      <c r="AE50" s="22">
        <f t="shared" si="14"/>
        <v>0</v>
      </c>
    </row>
    <row r="51" spans="1:31">
      <c r="A51" t="s">
        <v>322</v>
      </c>
      <c r="B51" s="12">
        <v>3000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>
        <f t="shared" si="0"/>
        <v>3000</v>
      </c>
      <c r="Q51" s="12"/>
      <c r="R51" s="22">
        <f t="shared" si="15"/>
        <v>1</v>
      </c>
      <c r="S51" s="22">
        <f t="shared" si="16"/>
        <v>0</v>
      </c>
      <c r="T51" s="22">
        <f t="shared" si="17"/>
        <v>0</v>
      </c>
      <c r="U51" s="22">
        <f t="shared" si="18"/>
        <v>0</v>
      </c>
      <c r="V51" s="22">
        <f t="shared" si="19"/>
        <v>0</v>
      </c>
      <c r="W51" s="22">
        <f t="shared" si="20"/>
        <v>0</v>
      </c>
      <c r="X51" s="22">
        <f t="shared" si="21"/>
        <v>0</v>
      </c>
      <c r="Y51" s="22">
        <f t="shared" si="22"/>
        <v>0</v>
      </c>
      <c r="Z51" s="22">
        <f t="shared" si="23"/>
        <v>0</v>
      </c>
      <c r="AA51" s="22">
        <f t="shared" si="24"/>
        <v>0</v>
      </c>
      <c r="AB51" s="22">
        <f t="shared" si="25"/>
        <v>0</v>
      </c>
      <c r="AC51" s="22">
        <f t="shared" si="26"/>
        <v>0</v>
      </c>
      <c r="AD51" s="22">
        <f t="shared" si="13"/>
        <v>0</v>
      </c>
      <c r="AE51" s="22">
        <f t="shared" si="14"/>
        <v>0</v>
      </c>
    </row>
    <row r="52" spans="1:31">
      <c r="A52" t="s">
        <v>374</v>
      </c>
      <c r="B52" s="12">
        <f>SUM(B3:B51)</f>
        <v>1017285</v>
      </c>
      <c r="C52" s="12">
        <f t="shared" ref="C52:P52" si="27">SUM(C3:C51)</f>
        <v>112149</v>
      </c>
      <c r="D52" s="12">
        <f t="shared" si="27"/>
        <v>263664</v>
      </c>
      <c r="E52" s="12">
        <f t="shared" si="27"/>
        <v>19943</v>
      </c>
      <c r="F52" s="12">
        <f t="shared" si="27"/>
        <v>456236</v>
      </c>
      <c r="G52" s="12">
        <f t="shared" si="27"/>
        <v>59530</v>
      </c>
      <c r="H52" s="12">
        <f t="shared" si="27"/>
        <v>475599</v>
      </c>
      <c r="I52" s="12">
        <f t="shared" si="27"/>
        <v>99058</v>
      </c>
      <c r="J52" s="12">
        <f t="shared" si="27"/>
        <v>22738</v>
      </c>
      <c r="K52" s="12">
        <f t="shared" si="27"/>
        <v>39723</v>
      </c>
      <c r="L52" s="12">
        <f t="shared" si="27"/>
        <v>51005</v>
      </c>
      <c r="M52" s="12">
        <f t="shared" si="27"/>
        <v>35250</v>
      </c>
      <c r="N52" s="12">
        <f t="shared" si="27"/>
        <v>21984</v>
      </c>
      <c r="O52" s="12">
        <f t="shared" si="27"/>
        <v>81326</v>
      </c>
      <c r="P52" s="12">
        <f t="shared" si="27"/>
        <v>2755490</v>
      </c>
      <c r="Q52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/>
  </sheetViews>
  <sheetFormatPr defaultRowHeight="12.75"/>
  <cols>
    <col min="1" max="1" width="39" bestFit="1" customWidth="1"/>
    <col min="2" max="2" width="12.85546875" bestFit="1" customWidth="1"/>
    <col min="3" max="3" width="15.5703125" bestFit="1" customWidth="1"/>
    <col min="4" max="4" width="10.85546875" bestFit="1" customWidth="1"/>
  </cols>
  <sheetData>
    <row r="1" spans="1:4">
      <c r="A1" s="24" t="s">
        <v>448</v>
      </c>
    </row>
    <row r="3" spans="1:4">
      <c r="A3" s="24" t="s">
        <v>4</v>
      </c>
      <c r="B3" s="24" t="s">
        <v>377</v>
      </c>
      <c r="C3" s="24" t="s">
        <v>378</v>
      </c>
      <c r="D3" s="24" t="s">
        <v>436</v>
      </c>
    </row>
    <row r="4" spans="1:4">
      <c r="A4" t="s">
        <v>386</v>
      </c>
      <c r="B4" s="23">
        <v>3040805</v>
      </c>
      <c r="C4" s="23">
        <v>202304</v>
      </c>
      <c r="D4" s="25">
        <f>C4-B4</f>
        <v>-2838501</v>
      </c>
    </row>
    <row r="5" spans="1:4">
      <c r="A5" t="s">
        <v>427</v>
      </c>
      <c r="B5" s="23">
        <v>438897</v>
      </c>
      <c r="C5" s="23">
        <v>8957</v>
      </c>
      <c r="D5" s="25">
        <f t="shared" ref="D5:D68" si="0">C5-B5</f>
        <v>-429940</v>
      </c>
    </row>
    <row r="6" spans="1:4">
      <c r="A6" t="s">
        <v>432</v>
      </c>
      <c r="B6" s="23">
        <v>257958</v>
      </c>
      <c r="C6" s="23">
        <v>5264</v>
      </c>
      <c r="D6" s="25">
        <f t="shared" si="0"/>
        <v>-252694</v>
      </c>
    </row>
    <row r="7" spans="1:4">
      <c r="A7" t="s">
        <v>437</v>
      </c>
      <c r="B7" s="23">
        <v>0</v>
      </c>
      <c r="C7" s="23">
        <v>46160</v>
      </c>
      <c r="D7" s="25">
        <f t="shared" si="0"/>
        <v>46160</v>
      </c>
    </row>
    <row r="8" spans="1:4">
      <c r="A8" t="s">
        <v>421</v>
      </c>
      <c r="B8" s="23">
        <v>148056</v>
      </c>
      <c r="C8" s="23">
        <v>13440</v>
      </c>
      <c r="D8" s="25">
        <f t="shared" si="0"/>
        <v>-134616</v>
      </c>
    </row>
    <row r="9" spans="1:4">
      <c r="A9" t="s">
        <v>383</v>
      </c>
      <c r="B9" s="23">
        <v>161883</v>
      </c>
      <c r="C9" s="23">
        <v>249125</v>
      </c>
      <c r="D9" s="25">
        <f t="shared" si="0"/>
        <v>87242</v>
      </c>
    </row>
    <row r="10" spans="1:4">
      <c r="A10" t="s">
        <v>382</v>
      </c>
      <c r="B10" s="23">
        <v>148019</v>
      </c>
      <c r="C10" s="23">
        <v>376921</v>
      </c>
      <c r="D10" s="25">
        <f t="shared" si="0"/>
        <v>228902</v>
      </c>
    </row>
    <row r="11" spans="1:4">
      <c r="A11" t="s">
        <v>401</v>
      </c>
      <c r="B11" s="23">
        <v>0</v>
      </c>
      <c r="C11" s="23">
        <v>64685</v>
      </c>
      <c r="D11" s="25">
        <f t="shared" si="0"/>
        <v>64685</v>
      </c>
    </row>
    <row r="12" spans="1:4">
      <c r="A12" t="s">
        <v>385</v>
      </c>
      <c r="B12" s="23">
        <v>122870</v>
      </c>
      <c r="C12" s="23">
        <v>207614</v>
      </c>
      <c r="D12" s="25">
        <f t="shared" si="0"/>
        <v>84744</v>
      </c>
    </row>
    <row r="13" spans="1:4">
      <c r="A13" t="s">
        <v>404</v>
      </c>
      <c r="B13" s="23">
        <v>416431</v>
      </c>
      <c r="C13" s="23">
        <v>43088</v>
      </c>
      <c r="D13" s="25">
        <f t="shared" si="0"/>
        <v>-373343</v>
      </c>
    </row>
    <row r="14" spans="1:4">
      <c r="A14" t="s">
        <v>141</v>
      </c>
      <c r="B14" s="23">
        <v>869100</v>
      </c>
      <c r="C14" s="23">
        <v>137908</v>
      </c>
      <c r="D14" s="25">
        <f t="shared" si="0"/>
        <v>-731192</v>
      </c>
    </row>
    <row r="15" spans="1:4">
      <c r="A15" t="s">
        <v>417</v>
      </c>
      <c r="B15" s="23">
        <v>0</v>
      </c>
      <c r="C15" s="23">
        <v>17100</v>
      </c>
      <c r="D15" s="25">
        <f t="shared" si="0"/>
        <v>17100</v>
      </c>
    </row>
    <row r="16" spans="1:4">
      <c r="A16" t="s">
        <v>132</v>
      </c>
      <c r="B16" s="23">
        <v>1175946</v>
      </c>
      <c r="C16" s="23">
        <v>29237</v>
      </c>
      <c r="D16" s="25">
        <f t="shared" si="0"/>
        <v>-1146709</v>
      </c>
    </row>
    <row r="17" spans="1:4">
      <c r="A17" t="s">
        <v>418</v>
      </c>
      <c r="B17" s="23">
        <v>415432</v>
      </c>
      <c r="C17" s="23">
        <v>15877</v>
      </c>
      <c r="D17" s="25">
        <f t="shared" si="0"/>
        <v>-399555</v>
      </c>
    </row>
    <row r="18" spans="1:4">
      <c r="A18" t="s">
        <v>414</v>
      </c>
      <c r="B18" s="23">
        <v>0</v>
      </c>
      <c r="C18" s="23">
        <v>22299</v>
      </c>
      <c r="D18" s="25">
        <f t="shared" si="0"/>
        <v>22299</v>
      </c>
    </row>
    <row r="19" spans="1:4">
      <c r="A19" t="s">
        <v>399</v>
      </c>
      <c r="B19" s="23">
        <v>0</v>
      </c>
      <c r="C19" s="23">
        <v>64977</v>
      </c>
      <c r="D19" s="25">
        <f t="shared" si="0"/>
        <v>64977</v>
      </c>
    </row>
    <row r="20" spans="1:4">
      <c r="A20" t="s">
        <v>408</v>
      </c>
      <c r="B20" s="23">
        <v>0</v>
      </c>
      <c r="C20" s="23">
        <v>30510</v>
      </c>
      <c r="D20" s="25">
        <f t="shared" si="0"/>
        <v>30510</v>
      </c>
    </row>
    <row r="21" spans="1:4">
      <c r="A21" t="s">
        <v>384</v>
      </c>
      <c r="B21" s="23">
        <v>75577</v>
      </c>
      <c r="C21" s="23">
        <v>214658</v>
      </c>
      <c r="D21" s="25">
        <f t="shared" si="0"/>
        <v>139081</v>
      </c>
    </row>
    <row r="22" spans="1:4">
      <c r="A22" t="s">
        <v>158</v>
      </c>
      <c r="B22" s="23">
        <v>0</v>
      </c>
      <c r="C22" s="23">
        <v>29050</v>
      </c>
      <c r="D22" s="25">
        <f t="shared" si="0"/>
        <v>29050</v>
      </c>
    </row>
    <row r="23" spans="1:4">
      <c r="A23" t="s">
        <v>411</v>
      </c>
      <c r="B23" s="23">
        <v>0</v>
      </c>
      <c r="C23" s="23">
        <v>26460</v>
      </c>
      <c r="D23" s="25">
        <f t="shared" si="0"/>
        <v>26460</v>
      </c>
    </row>
    <row r="24" spans="1:4">
      <c r="A24" t="s">
        <v>393</v>
      </c>
      <c r="B24" s="23">
        <v>0</v>
      </c>
      <c r="C24" s="23">
        <v>89399</v>
      </c>
      <c r="D24" s="25">
        <f t="shared" si="0"/>
        <v>89399</v>
      </c>
    </row>
    <row r="25" spans="1:4">
      <c r="A25" t="s">
        <v>159</v>
      </c>
      <c r="B25" s="23">
        <v>0</v>
      </c>
      <c r="C25" s="23">
        <v>14480</v>
      </c>
      <c r="D25" s="25">
        <f t="shared" si="0"/>
        <v>14480</v>
      </c>
    </row>
    <row r="26" spans="1:4">
      <c r="A26" t="s">
        <v>407</v>
      </c>
      <c r="B26" s="23">
        <v>0</v>
      </c>
      <c r="C26" s="23">
        <v>35250</v>
      </c>
      <c r="D26" s="25">
        <f t="shared" si="0"/>
        <v>35250</v>
      </c>
    </row>
    <row r="27" spans="1:4">
      <c r="A27" t="s">
        <v>380</v>
      </c>
      <c r="B27" s="23">
        <v>468393</v>
      </c>
      <c r="C27" s="23">
        <v>696447</v>
      </c>
      <c r="D27" s="25">
        <f t="shared" si="0"/>
        <v>228054</v>
      </c>
    </row>
    <row r="28" spans="1:4">
      <c r="A28" t="s">
        <v>402</v>
      </c>
      <c r="B28" s="23">
        <v>94542</v>
      </c>
      <c r="C28" s="23">
        <v>58039</v>
      </c>
      <c r="D28" s="25">
        <f t="shared" si="0"/>
        <v>-36503</v>
      </c>
    </row>
    <row r="29" spans="1:4">
      <c r="A29" t="s">
        <v>165</v>
      </c>
      <c r="B29" s="23">
        <v>0</v>
      </c>
      <c r="C29" s="23">
        <v>55658</v>
      </c>
      <c r="D29" s="25">
        <f t="shared" si="0"/>
        <v>55658</v>
      </c>
    </row>
    <row r="30" spans="1:4">
      <c r="A30" t="s">
        <v>168</v>
      </c>
      <c r="B30" s="23">
        <v>0</v>
      </c>
      <c r="C30" s="23">
        <v>35500</v>
      </c>
      <c r="D30" s="25">
        <f t="shared" si="0"/>
        <v>35500</v>
      </c>
    </row>
    <row r="31" spans="1:4">
      <c r="A31" t="s">
        <v>425</v>
      </c>
      <c r="B31" s="23">
        <v>0</v>
      </c>
      <c r="C31" s="23">
        <v>10200</v>
      </c>
      <c r="D31" s="25">
        <f t="shared" si="0"/>
        <v>10200</v>
      </c>
    </row>
    <row r="32" spans="1:4">
      <c r="A32" t="s">
        <v>172</v>
      </c>
      <c r="B32" s="23">
        <v>0</v>
      </c>
      <c r="C32" s="23">
        <v>249560</v>
      </c>
      <c r="D32" s="25">
        <f t="shared" si="0"/>
        <v>249560</v>
      </c>
    </row>
    <row r="33" spans="1:4">
      <c r="A33" t="s">
        <v>433</v>
      </c>
      <c r="B33" s="23">
        <v>0</v>
      </c>
      <c r="C33" s="23">
        <v>4715</v>
      </c>
      <c r="D33" s="25">
        <f t="shared" si="0"/>
        <v>4715</v>
      </c>
    </row>
    <row r="34" spans="1:4">
      <c r="A34" t="s">
        <v>410</v>
      </c>
      <c r="B34" s="23">
        <v>590046</v>
      </c>
      <c r="C34" s="23">
        <v>27022</v>
      </c>
      <c r="D34" s="25">
        <f t="shared" si="0"/>
        <v>-563024</v>
      </c>
    </row>
    <row r="35" spans="1:4">
      <c r="A35" t="s">
        <v>341</v>
      </c>
      <c r="B35" s="23">
        <v>0</v>
      </c>
      <c r="C35" s="23">
        <v>22258</v>
      </c>
      <c r="D35" s="25">
        <f t="shared" si="0"/>
        <v>22258</v>
      </c>
    </row>
    <row r="36" spans="1:4">
      <c r="A36" t="s">
        <v>175</v>
      </c>
      <c r="B36" s="23">
        <v>535708</v>
      </c>
      <c r="C36" s="23">
        <v>433899</v>
      </c>
      <c r="D36" s="25">
        <f t="shared" si="0"/>
        <v>-101809</v>
      </c>
    </row>
    <row r="37" spans="1:4">
      <c r="A37" t="s">
        <v>178</v>
      </c>
      <c r="B37" s="23">
        <v>0</v>
      </c>
      <c r="C37" s="23">
        <v>104451</v>
      </c>
      <c r="D37" s="25">
        <f t="shared" si="0"/>
        <v>104451</v>
      </c>
    </row>
    <row r="38" spans="1:4">
      <c r="A38" t="s">
        <v>424</v>
      </c>
      <c r="B38" s="23">
        <v>0</v>
      </c>
      <c r="C38" s="23">
        <v>10650</v>
      </c>
      <c r="D38" s="25">
        <f t="shared" si="0"/>
        <v>10650</v>
      </c>
    </row>
    <row r="39" spans="1:4">
      <c r="A39" t="s">
        <v>419</v>
      </c>
      <c r="B39" s="23">
        <v>0</v>
      </c>
      <c r="C39" s="23">
        <v>15000</v>
      </c>
      <c r="D39" s="25">
        <f t="shared" si="0"/>
        <v>15000</v>
      </c>
    </row>
    <row r="40" spans="1:4">
      <c r="A40" t="s">
        <v>420</v>
      </c>
      <c r="B40" s="23">
        <v>0</v>
      </c>
      <c r="C40" s="23">
        <v>14700</v>
      </c>
      <c r="D40" s="25">
        <f t="shared" si="0"/>
        <v>14700</v>
      </c>
    </row>
    <row r="41" spans="1:4">
      <c r="A41" t="s">
        <v>403</v>
      </c>
      <c r="B41" s="23">
        <v>0</v>
      </c>
      <c r="C41" s="23">
        <v>47926</v>
      </c>
      <c r="D41" s="25">
        <f t="shared" si="0"/>
        <v>47926</v>
      </c>
    </row>
    <row r="42" spans="1:4">
      <c r="A42" t="s">
        <v>392</v>
      </c>
      <c r="B42" s="23">
        <v>0</v>
      </c>
      <c r="C42" s="23">
        <v>93109</v>
      </c>
      <c r="D42" s="25">
        <f t="shared" si="0"/>
        <v>93109</v>
      </c>
    </row>
    <row r="43" spans="1:4">
      <c r="A43" t="s">
        <v>397</v>
      </c>
      <c r="B43" s="23">
        <v>121308</v>
      </c>
      <c r="C43" s="23">
        <v>68236</v>
      </c>
      <c r="D43" s="25">
        <f t="shared" si="0"/>
        <v>-53072</v>
      </c>
    </row>
    <row r="44" spans="1:4">
      <c r="A44" t="s">
        <v>183</v>
      </c>
      <c r="B44" s="23">
        <v>379584</v>
      </c>
      <c r="C44" s="23">
        <v>53984</v>
      </c>
      <c r="D44" s="25">
        <f t="shared" si="0"/>
        <v>-325600</v>
      </c>
    </row>
    <row r="45" spans="1:4">
      <c r="A45" t="s">
        <v>343</v>
      </c>
      <c r="B45" s="23">
        <v>0</v>
      </c>
      <c r="C45" s="23">
        <v>24114</v>
      </c>
      <c r="D45" s="25">
        <f t="shared" si="0"/>
        <v>24114</v>
      </c>
    </row>
    <row r="46" spans="1:4">
      <c r="A46" t="s">
        <v>185</v>
      </c>
      <c r="B46" s="23">
        <v>0</v>
      </c>
      <c r="C46" s="23">
        <v>5440</v>
      </c>
      <c r="D46" s="25">
        <f t="shared" si="0"/>
        <v>5440</v>
      </c>
    </row>
    <row r="47" spans="1:4">
      <c r="A47" t="s">
        <v>387</v>
      </c>
      <c r="B47" s="23">
        <v>415748</v>
      </c>
      <c r="C47" s="23">
        <v>135276</v>
      </c>
      <c r="D47" s="25">
        <f t="shared" si="0"/>
        <v>-280472</v>
      </c>
    </row>
    <row r="48" spans="1:4">
      <c r="A48" t="s">
        <v>187</v>
      </c>
      <c r="B48" s="23">
        <v>0</v>
      </c>
      <c r="C48" s="23">
        <v>3300</v>
      </c>
      <c r="D48" s="25">
        <f t="shared" si="0"/>
        <v>3300</v>
      </c>
    </row>
    <row r="49" spans="1:4">
      <c r="A49" t="s">
        <v>191</v>
      </c>
      <c r="B49" s="23">
        <v>0</v>
      </c>
      <c r="C49" s="23">
        <v>108075</v>
      </c>
      <c r="D49" s="25">
        <f t="shared" si="0"/>
        <v>108075</v>
      </c>
    </row>
    <row r="50" spans="1:4">
      <c r="A50" t="s">
        <v>346</v>
      </c>
      <c r="B50" s="23">
        <v>287523</v>
      </c>
      <c r="C50" s="23">
        <v>41621</v>
      </c>
      <c r="D50" s="25">
        <f t="shared" si="0"/>
        <v>-245902</v>
      </c>
    </row>
    <row r="51" spans="1:4">
      <c r="A51" t="s">
        <v>347</v>
      </c>
      <c r="B51" s="23">
        <v>0</v>
      </c>
      <c r="C51" s="23">
        <v>13824</v>
      </c>
      <c r="D51" s="25">
        <f t="shared" si="0"/>
        <v>13824</v>
      </c>
    </row>
    <row r="52" spans="1:4">
      <c r="A52" t="s">
        <v>197</v>
      </c>
      <c r="B52" s="23">
        <v>413278</v>
      </c>
      <c r="C52" s="23">
        <v>891378</v>
      </c>
      <c r="D52" s="25">
        <f t="shared" si="0"/>
        <v>478100</v>
      </c>
    </row>
    <row r="53" spans="1:4">
      <c r="A53" t="s">
        <v>431</v>
      </c>
      <c r="B53" s="23">
        <v>342870</v>
      </c>
      <c r="C53" s="23">
        <v>5296</v>
      </c>
      <c r="D53" s="25">
        <f t="shared" si="0"/>
        <v>-337574</v>
      </c>
    </row>
    <row r="54" spans="1:4">
      <c r="A54" t="s">
        <v>57</v>
      </c>
      <c r="B54" s="23">
        <v>252467</v>
      </c>
      <c r="C54" s="23">
        <v>148483</v>
      </c>
      <c r="D54" s="25">
        <f t="shared" si="0"/>
        <v>-103984</v>
      </c>
    </row>
    <row r="55" spans="1:4">
      <c r="A55" t="s">
        <v>388</v>
      </c>
      <c r="B55" s="23">
        <v>0</v>
      </c>
      <c r="C55" s="23">
        <v>109965</v>
      </c>
      <c r="D55" s="25">
        <f t="shared" si="0"/>
        <v>109965</v>
      </c>
    </row>
    <row r="56" spans="1:4">
      <c r="A56" t="s">
        <v>199</v>
      </c>
      <c r="B56" s="23">
        <v>458604</v>
      </c>
      <c r="C56" s="23">
        <v>16433</v>
      </c>
      <c r="D56" s="25">
        <f t="shared" si="0"/>
        <v>-442171</v>
      </c>
    </row>
    <row r="57" spans="1:4">
      <c r="A57" t="s">
        <v>127</v>
      </c>
      <c r="B57" s="23">
        <v>0</v>
      </c>
      <c r="C57" s="23">
        <v>8848</v>
      </c>
      <c r="D57" s="25">
        <f t="shared" si="0"/>
        <v>8848</v>
      </c>
    </row>
    <row r="58" spans="1:4">
      <c r="A58" t="s">
        <v>396</v>
      </c>
      <c r="B58" s="23">
        <v>0</v>
      </c>
      <c r="C58" s="23">
        <v>71922</v>
      </c>
      <c r="D58" s="25">
        <f t="shared" si="0"/>
        <v>71922</v>
      </c>
    </row>
    <row r="59" spans="1:4">
      <c r="A59" t="s">
        <v>390</v>
      </c>
      <c r="B59" s="23">
        <v>0</v>
      </c>
      <c r="C59" s="23">
        <v>97625</v>
      </c>
      <c r="D59" s="25">
        <f t="shared" si="0"/>
        <v>97625</v>
      </c>
    </row>
    <row r="60" spans="1:4">
      <c r="A60" t="s">
        <v>210</v>
      </c>
      <c r="B60" s="23">
        <v>0</v>
      </c>
      <c r="C60" s="23">
        <v>65075</v>
      </c>
      <c r="D60" s="25">
        <f t="shared" si="0"/>
        <v>65075</v>
      </c>
    </row>
    <row r="61" spans="1:4">
      <c r="A61" t="s">
        <v>379</v>
      </c>
      <c r="B61" s="23">
        <v>2292644</v>
      </c>
      <c r="C61" s="23">
        <v>1010071</v>
      </c>
      <c r="D61" s="25">
        <f t="shared" si="0"/>
        <v>-1282573</v>
      </c>
    </row>
    <row r="62" spans="1:4">
      <c r="A62" t="s">
        <v>351</v>
      </c>
      <c r="B62" s="23">
        <v>0</v>
      </c>
      <c r="C62" s="23">
        <v>42175</v>
      </c>
      <c r="D62" s="25">
        <f t="shared" si="0"/>
        <v>42175</v>
      </c>
    </row>
    <row r="63" spans="1:4">
      <c r="A63" t="s">
        <v>394</v>
      </c>
      <c r="B63" s="23">
        <v>247105</v>
      </c>
      <c r="C63" s="23">
        <v>80698</v>
      </c>
      <c r="D63" s="25">
        <f t="shared" si="0"/>
        <v>-166407</v>
      </c>
    </row>
    <row r="64" spans="1:4">
      <c r="A64" t="s">
        <v>405</v>
      </c>
      <c r="B64" s="23">
        <v>0</v>
      </c>
      <c r="C64" s="23">
        <v>39312</v>
      </c>
      <c r="D64" s="25">
        <f t="shared" si="0"/>
        <v>39312</v>
      </c>
    </row>
    <row r="65" spans="1:4">
      <c r="A65" t="s">
        <v>68</v>
      </c>
      <c r="B65" s="23">
        <v>291060</v>
      </c>
      <c r="C65" s="23">
        <v>1209265</v>
      </c>
      <c r="D65" s="25">
        <f t="shared" si="0"/>
        <v>918205</v>
      </c>
    </row>
    <row r="66" spans="1:4">
      <c r="A66" t="s">
        <v>430</v>
      </c>
      <c r="B66" s="23">
        <v>0</v>
      </c>
      <c r="C66" s="23">
        <v>5752</v>
      </c>
      <c r="D66" s="25">
        <f t="shared" si="0"/>
        <v>5752</v>
      </c>
    </row>
    <row r="67" spans="1:4">
      <c r="A67" t="s">
        <v>381</v>
      </c>
      <c r="B67" s="23">
        <v>493220</v>
      </c>
      <c r="C67" s="23">
        <v>486689</v>
      </c>
      <c r="D67" s="25">
        <f t="shared" si="0"/>
        <v>-6531</v>
      </c>
    </row>
    <row r="68" spans="1:4">
      <c r="A68" t="s">
        <v>398</v>
      </c>
      <c r="B68" s="23">
        <v>0</v>
      </c>
      <c r="C68" s="23">
        <v>66598</v>
      </c>
      <c r="D68" s="25">
        <f t="shared" si="0"/>
        <v>66598</v>
      </c>
    </row>
    <row r="69" spans="1:4">
      <c r="A69" t="s">
        <v>422</v>
      </c>
      <c r="B69" s="23">
        <v>693489</v>
      </c>
      <c r="C69" s="23">
        <v>12575</v>
      </c>
      <c r="D69" s="25">
        <f t="shared" ref="D69:D116" si="1">C69-B69</f>
        <v>-680914</v>
      </c>
    </row>
    <row r="70" spans="1:4">
      <c r="A70" t="s">
        <v>224</v>
      </c>
      <c r="B70" s="23">
        <v>0</v>
      </c>
      <c r="C70" s="23">
        <v>12142</v>
      </c>
      <c r="D70" s="25">
        <f t="shared" si="1"/>
        <v>12142</v>
      </c>
    </row>
    <row r="71" spans="1:4">
      <c r="A71" t="s">
        <v>353</v>
      </c>
      <c r="B71" s="23">
        <v>102025</v>
      </c>
      <c r="C71" s="23">
        <v>43725</v>
      </c>
      <c r="D71" s="25">
        <f t="shared" si="1"/>
        <v>-58300</v>
      </c>
    </row>
    <row r="72" spans="1:4">
      <c r="A72" t="s">
        <v>406</v>
      </c>
      <c r="B72" s="23">
        <v>199800</v>
      </c>
      <c r="C72" s="23">
        <v>35280</v>
      </c>
      <c r="D72" s="25">
        <f t="shared" si="1"/>
        <v>-164520</v>
      </c>
    </row>
    <row r="73" spans="1:4">
      <c r="A73" t="s">
        <v>71</v>
      </c>
      <c r="B73" s="23">
        <v>229045</v>
      </c>
      <c r="C73" s="23">
        <v>226307</v>
      </c>
      <c r="D73" s="25">
        <f t="shared" si="1"/>
        <v>-2738</v>
      </c>
    </row>
    <row r="74" spans="1:4">
      <c r="A74" t="s">
        <v>236</v>
      </c>
      <c r="B74" s="23">
        <v>0</v>
      </c>
      <c r="C74" s="23">
        <v>42196</v>
      </c>
      <c r="D74" s="25">
        <f t="shared" si="1"/>
        <v>42196</v>
      </c>
    </row>
    <row r="75" spans="1:4">
      <c r="A75" t="s">
        <v>354</v>
      </c>
      <c r="B75" s="23">
        <v>0</v>
      </c>
      <c r="C75" s="23">
        <v>3024</v>
      </c>
      <c r="D75" s="25">
        <f t="shared" si="1"/>
        <v>3024</v>
      </c>
    </row>
    <row r="76" spans="1:4">
      <c r="A76" t="s">
        <v>73</v>
      </c>
      <c r="B76" s="23">
        <v>0</v>
      </c>
      <c r="C76" s="23">
        <v>33663</v>
      </c>
      <c r="D76" s="25">
        <f t="shared" si="1"/>
        <v>33663</v>
      </c>
    </row>
    <row r="77" spans="1:4">
      <c r="A77" t="s">
        <v>355</v>
      </c>
      <c r="B77" s="23">
        <v>0</v>
      </c>
      <c r="C77" s="23">
        <v>31950</v>
      </c>
      <c r="D77" s="25">
        <f t="shared" si="1"/>
        <v>31950</v>
      </c>
    </row>
    <row r="78" spans="1:4">
      <c r="A78" t="s">
        <v>248</v>
      </c>
      <c r="B78" s="23">
        <v>0</v>
      </c>
      <c r="C78" s="23">
        <v>35500</v>
      </c>
      <c r="D78" s="25">
        <f t="shared" si="1"/>
        <v>35500</v>
      </c>
    </row>
    <row r="79" spans="1:4">
      <c r="A79" t="s">
        <v>413</v>
      </c>
      <c r="B79" s="23">
        <v>168589</v>
      </c>
      <c r="C79" s="23">
        <v>23525</v>
      </c>
      <c r="D79" s="25">
        <f t="shared" si="1"/>
        <v>-145064</v>
      </c>
    </row>
    <row r="80" spans="1:4">
      <c r="A80" t="s">
        <v>251</v>
      </c>
      <c r="B80" s="23">
        <v>0</v>
      </c>
      <c r="C80" s="23">
        <v>59619</v>
      </c>
      <c r="D80" s="25">
        <f t="shared" si="1"/>
        <v>59619</v>
      </c>
    </row>
    <row r="81" spans="1:4">
      <c r="A81" t="s">
        <v>416</v>
      </c>
      <c r="B81" s="23">
        <v>178563</v>
      </c>
      <c r="C81" s="23">
        <v>19282</v>
      </c>
      <c r="D81" s="25">
        <f t="shared" si="1"/>
        <v>-159281</v>
      </c>
    </row>
    <row r="82" spans="1:4">
      <c r="A82" t="s">
        <v>423</v>
      </c>
      <c r="B82" s="23">
        <v>0</v>
      </c>
      <c r="C82" s="23">
        <v>12400</v>
      </c>
      <c r="D82" s="25">
        <f t="shared" si="1"/>
        <v>12400</v>
      </c>
    </row>
    <row r="83" spans="1:4">
      <c r="A83" t="s">
        <v>435</v>
      </c>
      <c r="B83" s="23">
        <v>0</v>
      </c>
      <c r="C83" s="23">
        <v>2189</v>
      </c>
      <c r="D83" s="25">
        <f t="shared" si="1"/>
        <v>2189</v>
      </c>
    </row>
    <row r="84" spans="1:4">
      <c r="A84" t="s">
        <v>257</v>
      </c>
      <c r="B84" s="23">
        <v>508001</v>
      </c>
      <c r="C84" s="23">
        <v>134346</v>
      </c>
      <c r="D84" s="25">
        <f t="shared" si="1"/>
        <v>-373655</v>
      </c>
    </row>
    <row r="85" spans="1:4">
      <c r="A85" t="s">
        <v>428</v>
      </c>
      <c r="B85" s="23">
        <v>0</v>
      </c>
      <c r="C85" s="23">
        <v>7722</v>
      </c>
      <c r="D85" s="25">
        <f t="shared" si="1"/>
        <v>7722</v>
      </c>
    </row>
    <row r="86" spans="1:4">
      <c r="A86" t="s">
        <v>262</v>
      </c>
      <c r="B86" s="23">
        <v>0</v>
      </c>
      <c r="C86" s="23">
        <v>35397</v>
      </c>
      <c r="D86" s="25">
        <f t="shared" si="1"/>
        <v>35397</v>
      </c>
    </row>
    <row r="87" spans="1:4">
      <c r="A87" t="s">
        <v>389</v>
      </c>
      <c r="B87" s="23">
        <v>0</v>
      </c>
      <c r="C87" s="23">
        <v>108857</v>
      </c>
      <c r="D87" s="25">
        <f t="shared" si="1"/>
        <v>108857</v>
      </c>
    </row>
    <row r="88" spans="1:4">
      <c r="A88" t="s">
        <v>271</v>
      </c>
      <c r="B88" s="23">
        <v>211283</v>
      </c>
      <c r="C88" s="23">
        <v>148685</v>
      </c>
      <c r="D88" s="25">
        <f t="shared" si="1"/>
        <v>-62598</v>
      </c>
    </row>
    <row r="89" spans="1:4">
      <c r="A89" t="s">
        <v>358</v>
      </c>
      <c r="B89" s="23">
        <v>50872</v>
      </c>
      <c r="C89" s="23">
        <v>60438</v>
      </c>
      <c r="D89" s="25">
        <f t="shared" si="1"/>
        <v>9566</v>
      </c>
    </row>
    <row r="90" spans="1:4">
      <c r="A90" t="s">
        <v>76</v>
      </c>
      <c r="B90" s="23">
        <v>0</v>
      </c>
      <c r="C90" s="23">
        <v>1480075</v>
      </c>
      <c r="D90" s="25">
        <f t="shared" si="1"/>
        <v>1480075</v>
      </c>
    </row>
    <row r="91" spans="1:4">
      <c r="A91" t="s">
        <v>415</v>
      </c>
      <c r="B91" s="23">
        <v>0</v>
      </c>
      <c r="C91" s="23">
        <v>21945</v>
      </c>
      <c r="D91" s="25">
        <f t="shared" si="1"/>
        <v>21945</v>
      </c>
    </row>
    <row r="92" spans="1:4">
      <c r="A92" t="s">
        <v>412</v>
      </c>
      <c r="B92" s="23">
        <v>0</v>
      </c>
      <c r="C92" s="23">
        <v>26200</v>
      </c>
      <c r="D92" s="25">
        <f t="shared" si="1"/>
        <v>26200</v>
      </c>
    </row>
    <row r="93" spans="1:4">
      <c r="A93" t="s">
        <v>409</v>
      </c>
      <c r="B93" s="23">
        <v>0</v>
      </c>
      <c r="C93" s="23">
        <v>29640</v>
      </c>
      <c r="D93" s="25">
        <f t="shared" si="1"/>
        <v>29640</v>
      </c>
    </row>
    <row r="94" spans="1:4">
      <c r="A94" t="s">
        <v>78</v>
      </c>
      <c r="B94" s="23">
        <v>117351</v>
      </c>
      <c r="C94" s="23">
        <v>555269</v>
      </c>
      <c r="D94" s="25">
        <f t="shared" si="1"/>
        <v>437918</v>
      </c>
    </row>
    <row r="95" spans="1:4">
      <c r="A95" t="s">
        <v>400</v>
      </c>
      <c r="B95" s="23">
        <v>0</v>
      </c>
      <c r="C95" s="23">
        <v>64784</v>
      </c>
      <c r="D95" s="25">
        <f t="shared" si="1"/>
        <v>64784</v>
      </c>
    </row>
    <row r="96" spans="1:4">
      <c r="A96" t="s">
        <v>359</v>
      </c>
      <c r="B96" s="23">
        <v>0</v>
      </c>
      <c r="C96" s="23">
        <v>33140</v>
      </c>
      <c r="D96" s="25">
        <f t="shared" si="1"/>
        <v>33140</v>
      </c>
    </row>
    <row r="97" spans="1:4">
      <c r="A97" t="s">
        <v>429</v>
      </c>
      <c r="B97" s="23">
        <v>0</v>
      </c>
      <c r="C97" s="23">
        <v>6500</v>
      </c>
      <c r="D97" s="25">
        <f t="shared" si="1"/>
        <v>6500</v>
      </c>
    </row>
    <row r="98" spans="1:4">
      <c r="A98" t="s">
        <v>287</v>
      </c>
      <c r="B98" s="23">
        <v>0</v>
      </c>
      <c r="C98" s="23">
        <v>39723</v>
      </c>
      <c r="D98" s="25">
        <f t="shared" si="1"/>
        <v>39723</v>
      </c>
    </row>
    <row r="99" spans="1:4">
      <c r="A99" t="s">
        <v>288</v>
      </c>
      <c r="B99" s="23">
        <v>0</v>
      </c>
      <c r="C99" s="23">
        <v>2070</v>
      </c>
      <c r="D99" s="25">
        <f t="shared" si="1"/>
        <v>2070</v>
      </c>
    </row>
    <row r="100" spans="1:4">
      <c r="A100" t="s">
        <v>289</v>
      </c>
      <c r="B100" s="23">
        <v>34393</v>
      </c>
      <c r="C100" s="23">
        <v>92240</v>
      </c>
      <c r="D100" s="25">
        <f t="shared" si="1"/>
        <v>57847</v>
      </c>
    </row>
    <row r="101" spans="1:4">
      <c r="A101" t="s">
        <v>298</v>
      </c>
      <c r="B101" s="23">
        <v>175099</v>
      </c>
      <c r="C101" s="23">
        <v>6049</v>
      </c>
      <c r="D101" s="25">
        <f t="shared" si="1"/>
        <v>-169050</v>
      </c>
    </row>
    <row r="102" spans="1:4">
      <c r="A102" t="s">
        <v>360</v>
      </c>
      <c r="B102" s="23">
        <v>1151814</v>
      </c>
      <c r="C102" s="23">
        <v>86192</v>
      </c>
      <c r="D102" s="25">
        <f t="shared" si="1"/>
        <v>-1065622</v>
      </c>
    </row>
    <row r="103" spans="1:4">
      <c r="A103" t="s">
        <v>361</v>
      </c>
      <c r="B103" s="23">
        <v>0</v>
      </c>
      <c r="C103" s="23">
        <v>6240</v>
      </c>
      <c r="D103" s="25">
        <f t="shared" si="1"/>
        <v>6240</v>
      </c>
    </row>
    <row r="104" spans="1:4">
      <c r="A104" t="s">
        <v>434</v>
      </c>
      <c r="B104" s="23">
        <v>379717</v>
      </c>
      <c r="C104" s="23">
        <v>3836</v>
      </c>
      <c r="D104" s="25">
        <f t="shared" si="1"/>
        <v>-375881</v>
      </c>
    </row>
    <row r="105" spans="1:4">
      <c r="A105" t="s">
        <v>300</v>
      </c>
      <c r="B105" s="23">
        <v>0</v>
      </c>
      <c r="C105" s="23">
        <v>11152</v>
      </c>
      <c r="D105" s="25">
        <f t="shared" si="1"/>
        <v>11152</v>
      </c>
    </row>
    <row r="106" spans="1:4">
      <c r="A106" t="s">
        <v>395</v>
      </c>
      <c r="B106" s="23">
        <v>357790</v>
      </c>
      <c r="C106" s="23">
        <v>74177</v>
      </c>
      <c r="D106" s="25">
        <f t="shared" si="1"/>
        <v>-283613</v>
      </c>
    </row>
    <row r="107" spans="1:4">
      <c r="A107" t="s">
        <v>307</v>
      </c>
      <c r="B107" s="23">
        <v>318447</v>
      </c>
      <c r="C107" s="23">
        <v>148351</v>
      </c>
      <c r="D107" s="25">
        <f t="shared" si="1"/>
        <v>-170096</v>
      </c>
    </row>
    <row r="108" spans="1:4">
      <c r="A108" t="s">
        <v>310</v>
      </c>
      <c r="B108" s="23">
        <v>164160</v>
      </c>
      <c r="C108" s="23">
        <v>162700</v>
      </c>
      <c r="D108" s="25">
        <f t="shared" si="1"/>
        <v>-1460</v>
      </c>
    </row>
    <row r="109" spans="1:4">
      <c r="A109" t="s">
        <v>426</v>
      </c>
      <c r="B109" s="23">
        <v>0</v>
      </c>
      <c r="C109" s="23">
        <v>9350</v>
      </c>
      <c r="D109" s="25">
        <f t="shared" si="1"/>
        <v>9350</v>
      </c>
    </row>
    <row r="110" spans="1:4">
      <c r="A110" t="s">
        <v>89</v>
      </c>
      <c r="B110" s="23">
        <v>70405</v>
      </c>
      <c r="C110" s="23">
        <v>438488</v>
      </c>
      <c r="D110" s="25">
        <f t="shared" si="1"/>
        <v>368083</v>
      </c>
    </row>
    <row r="111" spans="1:4">
      <c r="A111" t="s">
        <v>391</v>
      </c>
      <c r="B111" s="23">
        <v>10672</v>
      </c>
      <c r="C111" s="23">
        <v>96044</v>
      </c>
      <c r="D111" s="25">
        <f t="shared" si="1"/>
        <v>85372</v>
      </c>
    </row>
    <row r="112" spans="1:4">
      <c r="A112" t="s">
        <v>318</v>
      </c>
      <c r="B112" s="23">
        <v>2518471</v>
      </c>
      <c r="C112" s="23">
        <v>175879</v>
      </c>
      <c r="D112" s="25">
        <f t="shared" si="1"/>
        <v>-2342592</v>
      </c>
    </row>
    <row r="113" spans="1:4">
      <c r="A113" t="s">
        <v>319</v>
      </c>
      <c r="B113" s="23">
        <v>1868441</v>
      </c>
      <c r="C113" s="23">
        <v>176926</v>
      </c>
      <c r="D113" s="25">
        <f t="shared" si="1"/>
        <v>-1691515</v>
      </c>
    </row>
    <row r="114" spans="1:4">
      <c r="A114" t="s">
        <v>320</v>
      </c>
      <c r="B114" s="23">
        <v>30145</v>
      </c>
      <c r="C114" s="23">
        <v>21043</v>
      </c>
      <c r="D114" s="25">
        <f t="shared" si="1"/>
        <v>-9102</v>
      </c>
    </row>
    <row r="115" spans="1:4">
      <c r="A115" t="s">
        <v>321</v>
      </c>
      <c r="B115" s="23">
        <v>956678</v>
      </c>
      <c r="C115" s="23">
        <v>301667</v>
      </c>
      <c r="D115" s="25">
        <f t="shared" si="1"/>
        <v>-655011</v>
      </c>
    </row>
    <row r="116" spans="1:4">
      <c r="A116" t="s">
        <v>322</v>
      </c>
      <c r="B116" s="23">
        <v>0</v>
      </c>
      <c r="C116" s="23">
        <v>3000</v>
      </c>
      <c r="D116" s="25">
        <f t="shared" si="1"/>
        <v>3000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Longs</vt:lpstr>
      <vt:lpstr>Top 5</vt:lpstr>
      <vt:lpstr>Demand</vt:lpstr>
      <vt:lpstr>ENE Universe</vt:lpstr>
      <vt:lpstr>EIM</vt:lpstr>
      <vt:lpstr>JS</vt:lpstr>
      <vt:lpstr>'ENE Universe'!Print_Area</vt:lpstr>
      <vt:lpstr>'ENE Universe'!Print_Titles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cchenowe</dc:creator>
  <cp:lastModifiedBy>Jan Havlíček</cp:lastModifiedBy>
  <cp:lastPrinted>2001-10-08T13:33:18Z</cp:lastPrinted>
  <dcterms:created xsi:type="dcterms:W3CDTF">2001-08-01T16:03:53Z</dcterms:created>
  <dcterms:modified xsi:type="dcterms:W3CDTF">2023-09-14T18:54:18Z</dcterms:modified>
</cp:coreProperties>
</file>