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E98309D-82CC-476A-BDD0-7C44F08C806A}"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Deals!$D$91</definedName>
    <definedName name="CISOEndDate">Deals!$D$92</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Deals!$C$90</definedName>
    <definedName name="EndofDType">Deals!$B$90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3" i="2"/>
  <c r="AE73" i="2"/>
  <c r="AF73" i="2"/>
  <c r="AD74" i="2"/>
  <c r="AE74" i="2"/>
  <c r="AF74" i="2"/>
  <c r="AD76" i="2"/>
  <c r="AE76" i="2"/>
  <c r="AF76" i="2"/>
  <c r="AD77" i="2"/>
  <c r="AE77" i="2"/>
  <c r="AF77" i="2"/>
  <c r="AD79" i="2"/>
  <c r="AE79" i="2"/>
  <c r="AF79" i="2"/>
  <c r="AD80" i="2"/>
  <c r="AE80" i="2"/>
  <c r="AF80" i="2"/>
  <c r="AD82" i="2"/>
  <c r="AE82" i="2"/>
  <c r="AD83" i="2"/>
  <c r="AE83" i="2"/>
  <c r="AD85" i="2"/>
  <c r="AE85" i="2"/>
  <c r="AF85" i="2"/>
  <c r="AD86" i="2"/>
  <c r="AE86" i="2"/>
  <c r="AF86" i="2"/>
  <c r="AD87" i="2"/>
  <c r="AE87" i="2"/>
  <c r="AF87" i="2"/>
  <c r="AD88" i="2"/>
  <c r="AE88" i="2"/>
  <c r="AF88" i="2"/>
  <c r="AD96" i="2"/>
  <c r="AE96" i="2"/>
  <c r="AD97" i="2"/>
  <c r="AE97" i="2"/>
  <c r="AD101" i="2"/>
  <c r="AE101"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cdean2</author>
    <author>A satisfied Microsoft Office user</author>
  </authors>
  <commentList>
    <comment ref="B58" authorId="0" shapeId="0">
      <text>
        <r>
          <rPr>
            <b/>
            <sz val="11"/>
            <color indexed="81"/>
            <rFont val="Tahoma"/>
            <family val="2"/>
          </rPr>
          <t>cdean2: I notified dispatch twice of the 25mw going to SRP.  They did not see a preschedule, but also did not take the schedule out.</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<sst xmlns="http://schemas.openxmlformats.org/spreadsheetml/2006/main" count="751" uniqueCount="400">
  <si>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</si>
  <si>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</si>
  <si>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</si>
  <si>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</si>
  <si>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</si>
  <si>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</si>
  <si>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</si>
  <si>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</si>
  <si>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</si>
  <si>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</si>
  <si>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</si>
  <si>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</si>
  <si>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</si>
  <si>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</si>
  <si>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</si>
  <si>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</si>
  <si>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</si>
  <si>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</si>
  <si>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</si>
  <si>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</si>
  <si>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</si>
  <si>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</si>
  <si>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</si>
  <si>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</si>
  <si>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</si>
  <si>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</si>
  <si>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</si>
  <si>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</si>
  <si>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</si>
  <si>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</si>
  <si>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</si>
  <si>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</si>
  <si>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</si>
  <si>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</si>
  <si>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</si>
  <si>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</si>
  <si>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</si>
  <si>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</si>
  <si>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</si>
  <si>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</si>
  <si>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</si>
  <si>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</si>
  <si>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</si>
  <si>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</si>
  <si>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</si>
  <si>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</si>
  <si>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</si>
  <si>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</si>
  <si>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</si>
  <si>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</si>
  <si>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</si>
  <si>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</si>
  <si>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</si>
  <si>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</si>
  <si>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</si>
  <si>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</si>
  <si>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</si>
  <si>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</si>
  <si>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</si>
  <si>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</si>
  <si>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</si>
  <si>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</si>
  <si>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</si>
  <si>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</si>
  <si>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</si>
  <si>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</si>
  <si>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</si>
  <si>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</si>
  <si>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</si>
  <si>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</si>
  <si>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</si>
  <si>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</si>
  <si>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</si>
  <si>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</si>
  <si>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</si>
  <si>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</si>
  <si>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</si>
  <si>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</si>
  <si>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</si>
  <si>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</si>
  <si>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</si>
  <si>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</si>
  <si>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</si>
  <si>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</si>
  <si>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</si>
  <si>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</si>
  <si>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</si>
  <si>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</si>
  <si>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</si>
  <si>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</si>
  <si>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</si>
  <si>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</si>
  <si>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</si>
  <si>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</si>
  <si>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</si>
  <si>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</si>
  <si>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</si>
  <si>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</si>
  <si>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</si>
  <si>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</si>
  <si>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</si>
  <si>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</si>
  <si>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</si>
  <si>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</si>
  <si>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</si>
  <si>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</si>
  <si>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</si>
  <si>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</si>
  <si>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</si>
  <si>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</si>
  <si>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</si>
  <si>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</si>
  <si>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</si>
  <si>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</si>
  <si>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</si>
  <si>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</si>
  <si>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</si>
  <si>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</si>
  <si>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</si>
  <si>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</si>
  <si>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</si>
  <si>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</si>
  <si>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</si>
  <si>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</si>
  <si>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</si>
  <si>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</si>
  <si>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</si>
  <si>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</si>
  <si>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</si>
  <si>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</si>
  <si>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</si>
  <si>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</si>
  <si>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</si>
  <si>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</si>
  <si>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</si>
  <si>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</si>
  <si>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</si>
  <si>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</si>
  <si>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</si>
  <si>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</si>
  <si>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</si>
  <si>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</si>
  <si>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</si>
  <si>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</si>
  <si>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</si>
  <si>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</si>
  <si>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</si>
  <si>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</si>
  <si>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</si>
  <si>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</si>
  <si>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</si>
  <si>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</si>
  <si>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</si>
  <si>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</si>
  <si>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</si>
  <si>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</si>
  <si>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</si>
  <si>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</si>
  <si>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</si>
  <si>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</si>
  <si>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</si>
  <si>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</si>
  <si>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</si>
  <si>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</si>
  <si>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</si>
  <si>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</si>
  <si>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</si>
  <si>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</si>
  <si>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</si>
  <si>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</si>
  <si>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</si>
  <si>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</si>
  <si>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</si>
  <si>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</si>
  <si>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</si>
  <si>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</si>
  <si>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</si>
  <si>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</si>
  <si>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</si>
  <si>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</si>
  <si>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</si>
  <si>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</si>
  <si>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</si>
  <si>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</si>
  <si>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</si>
  <si>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</si>
  <si>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</si>
  <si>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</si>
  <si>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</si>
  <si>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</si>
  <si>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</si>
  <si>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</si>
  <si>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</si>
  <si>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</si>
  <si>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</si>
  <si>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</si>
  <si>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</si>
  <si>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</si>
  <si>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</si>
  <si>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</si>
  <si>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</si>
  <si>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</si>
  <si>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</si>
  <si>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</si>
  <si>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</si>
  <si>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</si>
  <si>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</si>
  <si>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</si>
  <si>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</si>
  <si>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</si>
  <si>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</si>
  <si>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</si>
  <si>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</si>
  <si>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</si>
  <si>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</si>
  <si>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</si>
  <si>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</si>
  <si>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</si>
  <si>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</si>
  <si>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</si>
  <si>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</si>
  <si>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</si>
  <si>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</si>
  <si>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</si>
  <si>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</si>
  <si>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</si>
  <si>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</si>
  <si>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</si>
  <si>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</si>
  <si>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</si>
  <si>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</si>
  <si>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</si>
  <si>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</si>
  <si>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</si>
  <si>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</si>
  <si>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</si>
  <si>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</si>
  <si>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</si>
  <si>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</si>
  <si>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</si>
  <si>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</si>
  <si>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</si>
  <si>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</si>
  <si>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</si>
  <si>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</si>
  <si>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</si>
  <si>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</si>
  <si>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</si>
  <si>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</si>
  <si>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</si>
  <si>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</si>
  <si>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</si>
  <si>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</si>
  <si>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</si>
  <si>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</si>
  <si>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</si>
  <si>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</si>
  <si>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</si>
  <si>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</si>
  <si>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</si>
  <si>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</si>
  <si>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</si>
  <si>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</si>
  <si>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</si>
  <si>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</si>
  <si>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</si>
  <si>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</si>
  <si>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</si>
  <si>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</si>
  <si>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</si>
  <si>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</si>
  <si>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</si>
  <si>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</si>
  <si>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</si>
  <si>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</si>
  <si>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</si>
  <si>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</si>
  <si>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</si>
  <si>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</si>
  <si>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</si>
  <si>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</si>
  <si>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</si>
  <si>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</si>
  <si>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</si>
  <si>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</si>
  <si>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</si>
  <si>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</si>
  <si>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</si>
  <si>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</si>
  <si>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</si>
  <si>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</si>
  <si>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</si>
  <si>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</si>
  <si>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</si>
  <si>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</si>
  <si>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</si>
  <si>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</si>
  <si>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</si>
  <si>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</si>
  <si>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</si>
  <si>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</si>
  <si>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</si>
  <si>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</si>
  <si>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</si>
  <si>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</si>
  <si>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</si>
  <si>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</si>
  <si>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</si>
  <si>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</si>
  <si>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</si>
  <si>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</si>
  <si>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</si>
  <si>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</si>
  <si>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</si>
  <si>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</si>
  <si>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</si>
  <si>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</si>
  <si>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</si>
  <si>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</si>
  <si>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</si>
  <si>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</si>
  <si>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</si>
  <si>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</si>
  <si>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</si>
  <si>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</si>
  <si>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</si>
  <si>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</si>
  <si>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</si>
  <si>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</si>
  <si>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</si>
  <si>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</si>
  <si>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</si>
  <si>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</si>
  <si>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</si>
  <si>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</si>
  <si>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</si>
  <si>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</si>
  <si>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</si>
  <si>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</si>
  <si>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</si>
  <si>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</si>
  <si>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</si>
  <si>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</si>
  <si>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</si>
  <si>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</si>
  <si>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</si>
  <si>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</si>
  <si>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</si>
  <si>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</si>
  <si>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</si>
  <si>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</si>
  <si>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</si>
  <si>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</si>
  <si>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</si>
  <si>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</si>
  <si>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</si>
  <si>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</si>
  <si>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</si>
  <si>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</si>
  <si>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</si>
  <si>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</si>
  <si>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</si>
  <si>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</si>
  <si>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</si>
  <si>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</si>
  <si>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</si>
  <si>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</si>
  <si>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</si>
  <si>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</si>
  <si>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</si>
  <si>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</si>
  <si>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</si>
  <si>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</si>
  <si>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</si>
  <si>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</si>
  <si>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</si>
  <si>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</si>
  <si>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</si>
  <si>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</si>
  <si>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</si>
  <si>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</si>
  <si>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</si>
  <si>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PNM     ,LOSS    ,WM,  ,   3,   3</t>
  </si>
  <si>
    <t>Mirant</t>
  </si>
  <si>
    <t>EPMI/bookout</t>
  </si>
  <si>
    <t>SPS/bookout</t>
  </si>
  <si>
    <t>ISO</t>
  </si>
  <si>
    <t>NEWMN/GT1,AVAL,  0  , 60  , 18  , 60  ,  0  ,1</t>
  </si>
  <si>
    <t>NEWMN/GT2,AVAL,  0  , 60  , 18  , 60  ,  0  ,1</t>
  </si>
  <si>
    <t>PALOVERDE,MANL,604  ,600  ,600  ,600  ,  0  ,1</t>
  </si>
  <si>
    <t xml:space="preserve"> x</t>
  </si>
  <si>
    <t>NEWMAN 2 ,MANL, 35  , 70  , 34  , 83  ,  0  ,1</t>
  </si>
  <si>
    <t>PGT     ,LOSS    ,LC,  ,  -1,  -2</t>
  </si>
  <si>
    <t>APS     ,FIRM    ,FC,  ,  25,  25</t>
  </si>
  <si>
    <t>IID     ,FIRM    ,PV,  ,  84,  84</t>
  </si>
  <si>
    <t>SPS     ,FIRM    ,ED,  ,-100,-100</t>
  </si>
  <si>
    <t>SRP     ,FIRM    ,PV,  ,  25,  25</t>
  </si>
  <si>
    <t>NEWMAN 4 ,ECON,130  ,215  , 86  ,214  , 86  ,1</t>
  </si>
  <si>
    <t xml:space="preserve">NEWMAN   ,, 202 ,  385,  155, 400 , 126 , </t>
  </si>
  <si>
    <t>LAMBDA, 19.79,  691,  690,  174,    1,    0, 9946,0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</si>
</sst>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2A18903-A83F-4802-EF5D-4136953EC06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0D519685-7523-ABFA-A08B-F432CEA3177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0B38DDA-DA9D-8DF2-58B7-5113C73A969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24A52BD-772A-D5C2-008C-F65B759027D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612866E4-8799-41E8-B346-41589D0E58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91</xdr:row>
      <xdr:rowOff>114300</xdr:rowOff>
    </xdr:from>
    <xdr:to>
      <xdr:col>22</xdr:col>
      <xdr:colOff>123825</xdr:colOff>
      <xdr:row>100</xdr:row>
      <xdr:rowOff>95250</xdr:rowOff>
    </xdr:to>
    <xdr:sp macro="" textlink="">
      <xdr:nvSpPr>
        <xdr:cNvPr id="2303" name="Text Box 255">
          <a:extLst>
            <a:ext uri="{FF2B5EF4-FFF2-40B4-BE49-F238E27FC236}">
              <a16:creationId xmlns:a16="http://schemas.microsoft.com/office/drawing/2014/main" id="{178B69F5-85CF-1053-49A2-CEE083A216AD}"/>
            </a:ext>
          </a:extLst>
        </xdr:cNvPr>
        <xdr:cNvSpPr txBox="1">
          <a:spLocks noChangeArrowheads="1"/>
        </xdr:cNvSpPr>
      </xdr:nvSpPr>
      <xdr:spPr bwMode="auto">
        <a:xfrm>
          <a:off x="171450" y="7305675"/>
          <a:ext cx="1123950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107</xdr:row>
      <xdr:rowOff>0</xdr:rowOff>
    </xdr:from>
    <xdr:to>
      <xdr:col>22</xdr:col>
      <xdr:colOff>66675</xdr:colOff>
      <xdr:row>113</xdr:row>
      <xdr:rowOff>47625</xdr:rowOff>
    </xdr:to>
    <xdr:sp macro="" textlink="">
      <xdr:nvSpPr>
        <xdr:cNvPr id="10463" name="Text Box 1247">
          <a:extLst>
            <a:ext uri="{FF2B5EF4-FFF2-40B4-BE49-F238E27FC236}">
              <a16:creationId xmlns:a16="http://schemas.microsoft.com/office/drawing/2014/main" id="{254D3961-64FF-BEAB-56C9-2C3374A34D24}"/>
            </a:ext>
          </a:extLst>
        </xdr:cNvPr>
        <xdr:cNvSpPr txBox="1">
          <a:spLocks noChangeArrowheads="1"/>
        </xdr:cNvSpPr>
      </xdr:nvSpPr>
      <xdr:spPr bwMode="auto">
        <a:xfrm>
          <a:off x="209550" y="99822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0A51C9A-F309-F605-865A-C33BCDEF259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19" activePane="bottomLeft" state="frozen"/>
      <selection activeCell="O4" sqref="O4:AC4"/>
      <selection pane="bottomLeft" activeCell="Y41" sqref="Y41:Y56"/>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37281</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390</v>
      </c>
      <c r="T2" s="492" t="s">
        <v>380</v>
      </c>
      <c r="U2" s="492" t="s">
        <v>380</v>
      </c>
      <c r="V2" s="492" t="s">
        <v>380</v>
      </c>
      <c r="W2" s="492" t="s">
        <v>380</v>
      </c>
      <c r="X2" s="492" t="s">
        <v>380</v>
      </c>
      <c r="Y2" s="704"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629</v>
      </c>
      <c r="C4" s="518">
        <v>632</v>
      </c>
      <c r="D4" s="518">
        <v>615</v>
      </c>
      <c r="E4" s="518">
        <v>628</v>
      </c>
      <c r="F4" s="518">
        <v>640</v>
      </c>
      <c r="G4" s="518">
        <v>674</v>
      </c>
      <c r="H4" s="518">
        <v>793</v>
      </c>
      <c r="I4" s="518">
        <v>834</v>
      </c>
      <c r="J4" s="518">
        <v>829</v>
      </c>
      <c r="K4" s="518">
        <v>834</v>
      </c>
      <c r="L4" s="518">
        <v>829</v>
      </c>
      <c r="M4" s="518">
        <v>822</v>
      </c>
      <c r="N4" s="518">
        <v>806</v>
      </c>
      <c r="O4" s="518">
        <v>780</v>
      </c>
      <c r="P4" s="518">
        <v>782</v>
      </c>
      <c r="Q4" s="518">
        <v>745</v>
      </c>
      <c r="R4" s="518">
        <v>738</v>
      </c>
      <c r="S4" s="518">
        <v>782</v>
      </c>
      <c r="T4" s="518">
        <v>843</v>
      </c>
      <c r="U4" s="518">
        <v>834</v>
      </c>
      <c r="V4" s="518">
        <v>831</v>
      </c>
      <c r="W4" s="518">
        <v>804</v>
      </c>
      <c r="X4" s="519">
        <v>732</v>
      </c>
      <c r="Y4" s="519">
        <v>690</v>
      </c>
      <c r="Z4" s="354"/>
      <c r="AA4" s="354"/>
      <c r="AB4" s="354"/>
      <c r="AC4" s="354"/>
      <c r="AD4" s="354"/>
    </row>
    <row r="5" spans="1:213" s="161" customFormat="1" thickBot="1" x14ac:dyDescent="0.25">
      <c r="A5" s="705" t="s">
        <v>64</v>
      </c>
      <c r="B5" s="706">
        <f>Deals!F4</f>
        <v>50</v>
      </c>
      <c r="C5" s="706">
        <f>Deals!G4</f>
        <v>50</v>
      </c>
      <c r="D5" s="706">
        <f>Deals!H4</f>
        <v>50</v>
      </c>
      <c r="E5" s="706">
        <f>Deals!I4</f>
        <v>55</v>
      </c>
      <c r="F5" s="706">
        <f>Deals!J4</f>
        <v>55</v>
      </c>
      <c r="G5" s="706">
        <f>Deals!K4</f>
        <v>60</v>
      </c>
      <c r="H5" s="706">
        <f>Deals!L4</f>
        <v>70</v>
      </c>
      <c r="I5" s="706">
        <f>Deals!M4</f>
        <v>75</v>
      </c>
      <c r="J5" s="706">
        <f>Deals!N4</f>
        <v>75</v>
      </c>
      <c r="K5" s="706">
        <f>Deals!O4</f>
        <v>75</v>
      </c>
      <c r="L5" s="706">
        <f>Deals!P4</f>
        <v>75</v>
      </c>
      <c r="M5" s="706">
        <f>Deals!Q4</f>
        <v>75</v>
      </c>
      <c r="N5" s="706">
        <f>Deals!R4</f>
        <v>75</v>
      </c>
      <c r="O5" s="706">
        <f>Deals!S4</f>
        <v>75</v>
      </c>
      <c r="P5" s="706">
        <f>Deals!T4</f>
        <v>70</v>
      </c>
      <c r="Q5" s="706">
        <f>Deals!U4</f>
        <v>70</v>
      </c>
      <c r="R5" s="706">
        <f>Deals!V4</f>
        <v>70</v>
      </c>
      <c r="S5" s="706">
        <f>Deals!W4</f>
        <v>75</v>
      </c>
      <c r="T5" s="706">
        <f>Deals!X4</f>
        <v>75</v>
      </c>
      <c r="U5" s="706">
        <f>Deals!Y4</f>
        <v>75</v>
      </c>
      <c r="V5" s="706">
        <f>Deals!Z4</f>
        <v>75</v>
      </c>
      <c r="W5" s="706">
        <f>Deals!AA4</f>
        <v>70</v>
      </c>
      <c r="X5" s="706">
        <f>Deals!AB4</f>
        <v>65</v>
      </c>
      <c r="Y5" s="707">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0</v>
      </c>
      <c r="C18" s="483">
        <f>Deals!G7</f>
        <v>-100</v>
      </c>
      <c r="D18" s="483">
        <f>Deals!H7</f>
        <v>-100</v>
      </c>
      <c r="E18" s="483">
        <f>Deals!I7</f>
        <v>-100</v>
      </c>
      <c r="F18" s="483">
        <f>Deals!J7</f>
        <v>-100</v>
      </c>
      <c r="G18" s="483">
        <f>Deals!K7</f>
        <v>-100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-100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84</v>
      </c>
      <c r="D22" s="418">
        <f>Deals!H3</f>
        <v>75</v>
      </c>
      <c r="E22" s="418">
        <f>Deals!I3</f>
        <v>75</v>
      </c>
      <c r="F22" s="418">
        <f>Deals!J3</f>
        <v>75</v>
      </c>
      <c r="G22" s="418">
        <f>Deals!K3</f>
        <v>75</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100</v>
      </c>
      <c r="S22" s="418">
        <f>Deals!W3</f>
        <v>100</v>
      </c>
      <c r="T22" s="418">
        <f>Deals!X3</f>
        <v>108</v>
      </c>
      <c r="U22" s="418">
        <f>Deals!Y3</f>
        <v>108</v>
      </c>
      <c r="V22" s="418">
        <f>Deals!Z3</f>
        <v>108</v>
      </c>
      <c r="W22" s="418">
        <f>Deals!AA3</f>
        <v>100</v>
      </c>
      <c r="X22" s="418">
        <f>Deals!AB3</f>
        <v>100</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25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0</v>
      </c>
      <c r="C29" s="637">
        <f t="array" aca="1" ref="C29" ca="1">SUM(IF((DelPoint= "pv")*(DType = "pre")*(OFFSET(DelPoint,0,C3+2)&gt;0),OFFSET(DelPoint,0,C3+2),0))</f>
        <v>100</v>
      </c>
      <c r="D29" s="637">
        <f t="array" aca="1" ref="D29" ca="1">SUM(IF((DelPoint= "pv")*(DType = "pre")*(OFFSET(DelPoint,0,D3+2)&gt;0),OFFSET(DelPoint,0,D3+2),0))</f>
        <v>100</v>
      </c>
      <c r="E29" s="637">
        <f t="array" aca="1" ref="E29" ca="1">SUM(IF((DelPoint= "pv")*(DType = "pre")*(OFFSET(DelPoint,0,E3+2)&gt;0),OFFSET(DelPoint,0,E3+2),0))</f>
        <v>100</v>
      </c>
      <c r="F29" s="637">
        <f t="array" aca="1" ref="F29" ca="1">SUM(IF((DelPoint= "pv")*(DType = "pre")*(OFFSET(DelPoint,0,F3+2)&gt;0),OFFSET(DelPoint,0,F3+2),0))</f>
        <v>100</v>
      </c>
      <c r="G29" s="637">
        <f t="array" aca="1" ref="G29" ca="1">SUM(IF((DelPoint= "pv")*(DType = "pre")*(OFFSET(DelPoint,0,G3+2)&gt;0),OFFSET(DelPoint,0,G3+2),0))</f>
        <v>100</v>
      </c>
      <c r="H29" s="637">
        <f t="array" aca="1" ref="H29" ca="1">SUM(IF((DelPoint= "pv")*(DType = "pre")*(OFFSET(DelPoint,0,H3+2)&gt;0),OFFSET(DelPoint,0,H3+2),0))</f>
        <v>100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100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763</v>
      </c>
      <c r="C38" s="674">
        <f t="shared" ca="1" si="4"/>
        <v>891</v>
      </c>
      <c r="D38" s="674">
        <f t="shared" ca="1" si="4"/>
        <v>865</v>
      </c>
      <c r="E38" s="674">
        <f t="shared" ca="1" si="4"/>
        <v>883</v>
      </c>
      <c r="F38" s="674">
        <f t="shared" ca="1" si="4"/>
        <v>895</v>
      </c>
      <c r="G38" s="674">
        <f t="shared" ca="1" si="4"/>
        <v>934</v>
      </c>
      <c r="H38" s="674">
        <f t="shared" ca="1" si="4"/>
        <v>1072</v>
      </c>
      <c r="I38" s="674">
        <f t="shared" ca="1" si="4"/>
        <v>1097</v>
      </c>
      <c r="J38" s="674">
        <f t="shared" ca="1" si="4"/>
        <v>1092</v>
      </c>
      <c r="K38" s="674">
        <f t="shared" ca="1" si="4"/>
        <v>1097</v>
      </c>
      <c r="L38" s="674">
        <f t="shared" ca="1" si="4"/>
        <v>1092</v>
      </c>
      <c r="M38" s="674">
        <f t="shared" ca="1" si="4"/>
        <v>1085</v>
      </c>
      <c r="N38" s="674">
        <f t="shared" ca="1" si="4"/>
        <v>1069</v>
      </c>
      <c r="O38" s="674">
        <f t="shared" ca="1" si="4"/>
        <v>1043</v>
      </c>
      <c r="P38" s="674">
        <f t="shared" ca="1" si="4"/>
        <v>1040</v>
      </c>
      <c r="Q38" s="674">
        <f t="shared" ca="1" si="4"/>
        <v>1003</v>
      </c>
      <c r="R38" s="674">
        <f t="shared" ca="1" si="4"/>
        <v>988</v>
      </c>
      <c r="S38" s="674">
        <f t="shared" ca="1" si="4"/>
        <v>1037</v>
      </c>
      <c r="T38" s="674">
        <f t="shared" ca="1" si="4"/>
        <v>1106</v>
      </c>
      <c r="U38" s="674">
        <f t="shared" ca="1" si="4"/>
        <v>1097</v>
      </c>
      <c r="V38" s="674">
        <f t="shared" ca="1" si="4"/>
        <v>1094</v>
      </c>
      <c r="W38" s="674">
        <f t="shared" ca="1" si="4"/>
        <v>1054</v>
      </c>
      <c r="X38" s="674">
        <f t="shared" ca="1" si="4"/>
        <v>977</v>
      </c>
      <c r="Y38" s="675">
        <f t="shared" ca="1" si="4"/>
        <v>959</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34</v>
      </c>
      <c r="C42" s="592">
        <v>39</v>
      </c>
      <c r="D42" s="592">
        <v>34</v>
      </c>
      <c r="E42" s="593">
        <v>35</v>
      </c>
      <c r="F42" s="592">
        <v>36</v>
      </c>
      <c r="G42" s="592">
        <v>40</v>
      </c>
      <c r="H42" s="592">
        <v>70</v>
      </c>
      <c r="I42" s="592">
        <v>34</v>
      </c>
      <c r="J42" s="592">
        <v>34</v>
      </c>
      <c r="K42" s="592">
        <v>34</v>
      </c>
      <c r="L42" s="592">
        <v>34</v>
      </c>
      <c r="M42" s="592">
        <v>34</v>
      </c>
      <c r="N42" s="592">
        <v>34</v>
      </c>
      <c r="O42" s="592">
        <v>34</v>
      </c>
      <c r="P42" s="592">
        <v>34</v>
      </c>
      <c r="Q42" s="592">
        <v>36</v>
      </c>
      <c r="R42" s="592">
        <v>35</v>
      </c>
      <c r="S42" s="592">
        <v>63</v>
      </c>
      <c r="T42" s="592">
        <v>61</v>
      </c>
      <c r="U42" s="592">
        <v>35</v>
      </c>
      <c r="V42" s="592">
        <v>35</v>
      </c>
      <c r="W42" s="592">
        <v>35</v>
      </c>
      <c r="X42" s="592">
        <v>35</v>
      </c>
      <c r="Y42" s="592">
        <v>35</v>
      </c>
      <c r="Z42" s="350">
        <v>78</v>
      </c>
      <c r="AA42" s="210">
        <f ca="1">-Economics!D35/Economics!I35</f>
        <v>10007.121930803572</v>
      </c>
    </row>
    <row r="43" spans="1:33" s="161" customFormat="1" ht="12.75" customHeight="1" x14ac:dyDescent="0.2">
      <c r="A43" s="591" t="s">
        <v>131</v>
      </c>
      <c r="B43" s="595">
        <v>68</v>
      </c>
      <c r="C43" s="595">
        <v>58</v>
      </c>
      <c r="D43" s="595">
        <v>38</v>
      </c>
      <c r="E43" s="596">
        <v>59</v>
      </c>
      <c r="F43" s="595">
        <v>74</v>
      </c>
      <c r="G43" s="595">
        <v>98</v>
      </c>
      <c r="H43" s="595">
        <v>100</v>
      </c>
      <c r="I43" s="595">
        <v>47</v>
      </c>
      <c r="J43" s="595">
        <v>38</v>
      </c>
      <c r="K43" s="595">
        <v>39</v>
      </c>
      <c r="L43" s="595">
        <v>38</v>
      </c>
      <c r="M43" s="595">
        <v>38</v>
      </c>
      <c r="N43" s="595">
        <v>38</v>
      </c>
      <c r="O43" s="595">
        <v>38</v>
      </c>
      <c r="P43" s="595">
        <v>38</v>
      </c>
      <c r="Q43" s="595">
        <v>38</v>
      </c>
      <c r="R43" s="595">
        <v>38</v>
      </c>
      <c r="S43" s="595">
        <v>38</v>
      </c>
      <c r="T43" s="595">
        <v>38</v>
      </c>
      <c r="U43" s="595">
        <v>38</v>
      </c>
      <c r="V43" s="595">
        <v>38</v>
      </c>
      <c r="W43" s="595">
        <v>38</v>
      </c>
      <c r="X43" s="595">
        <v>38</v>
      </c>
      <c r="Y43" s="595">
        <v>38</v>
      </c>
      <c r="Z43" s="352">
        <v>103</v>
      </c>
      <c r="AA43" s="211">
        <f ca="1">-Economics!D36/Economics!I36</f>
        <v>12194.839166135203</v>
      </c>
    </row>
    <row r="44" spans="1:33" s="161" customFormat="1" ht="12.75" customHeight="1" x14ac:dyDescent="0.2">
      <c r="A44" s="590" t="s">
        <v>49</v>
      </c>
      <c r="B44" s="592">
        <v>20</v>
      </c>
      <c r="C44" s="592">
        <v>20</v>
      </c>
      <c r="D44" s="592">
        <v>20</v>
      </c>
      <c r="E44" s="592">
        <v>20</v>
      </c>
      <c r="F44" s="592">
        <v>20</v>
      </c>
      <c r="G44" s="592">
        <v>20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v>0</v>
      </c>
      <c r="Y44" s="594">
        <v>0</v>
      </c>
      <c r="Z44" s="350">
        <v>40</v>
      </c>
      <c r="AA44" s="210">
        <f ca="1">-Economics!D37/Economics!I37</f>
        <v>2077.3920798788267</v>
      </c>
    </row>
    <row r="45" spans="1:33" s="161" customFormat="1" ht="12.75" customHeight="1" x14ac:dyDescent="0.2">
      <c r="A45" s="590" t="s">
        <v>50</v>
      </c>
      <c r="B45" s="592">
        <v>20</v>
      </c>
      <c r="C45" s="592">
        <v>20</v>
      </c>
      <c r="D45" s="592">
        <v>20</v>
      </c>
      <c r="E45" s="592">
        <v>20</v>
      </c>
      <c r="F45" s="592">
        <v>20</v>
      </c>
      <c r="G45" s="592">
        <v>20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v>0</v>
      </c>
      <c r="Y45" s="594">
        <v>0</v>
      </c>
      <c r="Z45" s="350">
        <v>40</v>
      </c>
      <c r="AA45" s="210">
        <f ca="1">-Economics!D38/Economics!I38</f>
        <v>2077.3920798788267</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135</v>
      </c>
      <c r="I48" s="595">
        <v>215</v>
      </c>
      <c r="J48" s="595">
        <v>212</v>
      </c>
      <c r="K48" s="595">
        <v>215</v>
      </c>
      <c r="L48" s="595">
        <v>209</v>
      </c>
      <c r="M48" s="595">
        <v>205</v>
      </c>
      <c r="N48" s="595">
        <v>185</v>
      </c>
      <c r="O48" s="595">
        <v>161</v>
      </c>
      <c r="P48" s="595">
        <v>152</v>
      </c>
      <c r="Q48" s="595">
        <v>120</v>
      </c>
      <c r="R48" s="595">
        <v>105</v>
      </c>
      <c r="S48" s="595">
        <v>115</v>
      </c>
      <c r="T48" s="595">
        <v>147</v>
      </c>
      <c r="U48" s="595">
        <v>158</v>
      </c>
      <c r="V48" s="595">
        <v>152</v>
      </c>
      <c r="W48" s="595">
        <v>167</v>
      </c>
      <c r="X48" s="595">
        <v>101</v>
      </c>
      <c r="Y48" s="595">
        <v>130</v>
      </c>
      <c r="Z48" s="352">
        <v>212</v>
      </c>
      <c r="AA48" s="211">
        <f ca="1">-Economics!D41/Economics!I41</f>
        <v>27619.909917091838</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202</v>
      </c>
      <c r="E53" s="592">
        <v>201</v>
      </c>
      <c r="F53" s="592">
        <v>201</v>
      </c>
      <c r="G53" s="592">
        <v>201</v>
      </c>
      <c r="H53" s="592">
        <v>202</v>
      </c>
      <c r="I53" s="592">
        <v>201</v>
      </c>
      <c r="J53" s="592">
        <v>202</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201</v>
      </c>
      <c r="C54" s="592">
        <v>201</v>
      </c>
      <c r="D54" s="592">
        <v>202</v>
      </c>
      <c r="E54" s="592">
        <v>201</v>
      </c>
      <c r="F54" s="592">
        <v>201</v>
      </c>
      <c r="G54" s="592">
        <v>201</v>
      </c>
      <c r="H54" s="592">
        <v>202</v>
      </c>
      <c r="I54" s="592">
        <v>201</v>
      </c>
      <c r="J54" s="592">
        <v>202</v>
      </c>
      <c r="K54" s="592">
        <v>201</v>
      </c>
      <c r="L54" s="592">
        <v>201</v>
      </c>
      <c r="M54" s="592">
        <v>201</v>
      </c>
      <c r="N54" s="592">
        <v>201</v>
      </c>
      <c r="O54" s="592">
        <v>201</v>
      </c>
      <c r="P54" s="592">
        <v>201</v>
      </c>
      <c r="Q54" s="592">
        <v>201</v>
      </c>
      <c r="R54" s="592">
        <v>201</v>
      </c>
      <c r="S54" s="592">
        <v>201</v>
      </c>
      <c r="T54" s="592">
        <v>201</v>
      </c>
      <c r="U54" s="592">
        <v>201</v>
      </c>
      <c r="V54" s="592">
        <v>201</v>
      </c>
      <c r="W54" s="592">
        <v>201</v>
      </c>
      <c r="X54" s="592">
        <v>201</v>
      </c>
      <c r="Y54" s="592">
        <v>201</v>
      </c>
      <c r="Z54" s="350">
        <v>198</v>
      </c>
      <c r="AA54" s="208"/>
    </row>
    <row r="55" spans="1:27" s="161" customFormat="1" ht="12.75" customHeight="1" x14ac:dyDescent="0.2">
      <c r="A55" s="590" t="s">
        <v>128</v>
      </c>
      <c r="B55" s="592">
        <v>201</v>
      </c>
      <c r="C55" s="592">
        <v>201</v>
      </c>
      <c r="D55" s="592">
        <v>202</v>
      </c>
      <c r="E55" s="592">
        <v>201</v>
      </c>
      <c r="F55" s="592">
        <v>201</v>
      </c>
      <c r="G55" s="592">
        <v>201</v>
      </c>
      <c r="H55" s="592">
        <v>202</v>
      </c>
      <c r="I55" s="592">
        <v>201</v>
      </c>
      <c r="J55" s="592">
        <v>202</v>
      </c>
      <c r="K55" s="592">
        <v>201</v>
      </c>
      <c r="L55" s="592">
        <v>201</v>
      </c>
      <c r="M55" s="592">
        <v>201</v>
      </c>
      <c r="N55" s="592">
        <v>201</v>
      </c>
      <c r="O55" s="592">
        <v>201</v>
      </c>
      <c r="P55" s="592">
        <v>201</v>
      </c>
      <c r="Q55" s="592">
        <v>201</v>
      </c>
      <c r="R55" s="592">
        <v>201</v>
      </c>
      <c r="S55" s="592">
        <v>202</v>
      </c>
      <c r="T55" s="592">
        <v>201</v>
      </c>
      <c r="U55" s="592">
        <v>201</v>
      </c>
      <c r="V55" s="592">
        <v>201</v>
      </c>
      <c r="W55" s="592">
        <v>201</v>
      </c>
      <c r="X55" s="592">
        <v>201</v>
      </c>
      <c r="Y55" s="592">
        <v>201</v>
      </c>
      <c r="Z55" s="350">
        <v>198</v>
      </c>
      <c r="AA55" s="208"/>
    </row>
    <row r="56" spans="1:27" s="161" customFormat="1" ht="12" customHeight="1" x14ac:dyDescent="0.2">
      <c r="A56" s="590" t="s">
        <v>124</v>
      </c>
      <c r="B56" s="592">
        <v>52</v>
      </c>
      <c r="C56" s="592">
        <v>52</v>
      </c>
      <c r="D56" s="592">
        <v>51</v>
      </c>
      <c r="E56" s="592">
        <v>52</v>
      </c>
      <c r="F56" s="592">
        <v>52</v>
      </c>
      <c r="G56" s="592">
        <v>52</v>
      </c>
      <c r="H56" s="592">
        <v>52</v>
      </c>
      <c r="I56" s="592">
        <v>52</v>
      </c>
      <c r="J56" s="592">
        <v>52</v>
      </c>
      <c r="K56" s="592">
        <v>52</v>
      </c>
      <c r="L56" s="592">
        <v>52</v>
      </c>
      <c r="M56" s="592">
        <v>52</v>
      </c>
      <c r="N56" s="592">
        <v>52</v>
      </c>
      <c r="O56" s="592">
        <v>52</v>
      </c>
      <c r="P56" s="592">
        <v>52</v>
      </c>
      <c r="Q56" s="592">
        <v>52</v>
      </c>
      <c r="R56" s="592">
        <v>52</v>
      </c>
      <c r="S56" s="592">
        <v>2</v>
      </c>
      <c r="T56" s="592">
        <v>52</v>
      </c>
      <c r="U56" s="592">
        <v>53</v>
      </c>
      <c r="V56" s="592">
        <v>53</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34</v>
      </c>
      <c r="C58" s="696">
        <f t="shared" ref="C58:I58" ca="1" si="5">C59-C38</f>
        <v>1</v>
      </c>
      <c r="D58" s="696">
        <f t="shared" ca="1" si="5"/>
        <v>4</v>
      </c>
      <c r="E58" s="696">
        <f t="shared" ca="1" si="5"/>
        <v>6</v>
      </c>
      <c r="F58" s="696">
        <f t="shared" ca="1" si="5"/>
        <v>10</v>
      </c>
      <c r="G58" s="696">
        <f ca="1">G59-G38</f>
        <v>-1</v>
      </c>
      <c r="H58" s="696">
        <f t="shared" ca="1" si="5"/>
        <v>21</v>
      </c>
      <c r="I58" s="696">
        <f t="shared" ca="1" si="5"/>
        <v>9</v>
      </c>
      <c r="J58" s="696">
        <f t="shared" ref="J58:Y58" ca="1" si="6">J59-J38</f>
        <v>5</v>
      </c>
      <c r="K58" s="696">
        <f t="shared" ca="1" si="6"/>
        <v>1</v>
      </c>
      <c r="L58" s="696">
        <f t="shared" ca="1" si="6"/>
        <v>-1</v>
      </c>
      <c r="M58" s="696">
        <f t="shared" ca="1" si="6"/>
        <v>2</v>
      </c>
      <c r="N58" s="696">
        <f t="shared" ca="1" si="6"/>
        <v>-2</v>
      </c>
      <c r="O58" s="696">
        <f t="shared" ca="1" si="6"/>
        <v>0</v>
      </c>
      <c r="P58" s="696">
        <f t="shared" ca="1" si="6"/>
        <v>-6</v>
      </c>
      <c r="Q58" s="696">
        <f t="shared" ca="1" si="6"/>
        <v>1</v>
      </c>
      <c r="R58" s="696">
        <f t="shared" ca="1" si="6"/>
        <v>0</v>
      </c>
      <c r="S58" s="696">
        <f t="shared" ca="1" si="6"/>
        <v>-7</v>
      </c>
      <c r="T58" s="696">
        <f t="shared" ca="1" si="6"/>
        <v>3</v>
      </c>
      <c r="U58" s="696">
        <f t="shared" ca="1" si="6"/>
        <v>-2</v>
      </c>
      <c r="V58" s="696">
        <f t="shared" ca="1" si="6"/>
        <v>-5</v>
      </c>
      <c r="W58" s="696">
        <f t="shared" ca="1" si="6"/>
        <v>-4</v>
      </c>
      <c r="X58" s="696">
        <f t="shared" ca="1" si="6"/>
        <v>7</v>
      </c>
      <c r="Y58" s="697">
        <f t="shared" ca="1" si="6"/>
        <v>-1</v>
      </c>
      <c r="Z58" s="351">
        <f ca="1">SUM(Z41:Z55)+Z41+Z42+Z43+Z48+Z49+Z50+Z51+Z52</f>
        <v>2416</v>
      </c>
      <c r="AA58" s="209">
        <f ca="1">SUM(AA41:AA55)</f>
        <v>53976.655173788269</v>
      </c>
    </row>
    <row r="59" spans="1:27" s="161" customFormat="1" ht="12" x14ac:dyDescent="0.2">
      <c r="A59" s="548">
        <v>0</v>
      </c>
      <c r="B59" s="549">
        <f t="shared" ref="B59:I59" ca="1" si="7">SUM(B41:B57)-SUM(B7:B20)</f>
        <v>797</v>
      </c>
      <c r="C59" s="549">
        <f t="shared" ca="1" si="7"/>
        <v>892</v>
      </c>
      <c r="D59" s="549">
        <f t="shared" ca="1" si="7"/>
        <v>869</v>
      </c>
      <c r="E59" s="549">
        <f t="shared" ca="1" si="7"/>
        <v>889</v>
      </c>
      <c r="F59" s="549">
        <f t="shared" ca="1" si="7"/>
        <v>905</v>
      </c>
      <c r="G59" s="549">
        <f t="shared" ca="1" si="7"/>
        <v>933</v>
      </c>
      <c r="H59" s="549">
        <f t="shared" ca="1" si="7"/>
        <v>1093</v>
      </c>
      <c r="I59" s="549">
        <f t="shared" ca="1" si="7"/>
        <v>1106</v>
      </c>
      <c r="J59" s="549">
        <f t="shared" ref="J59:Y59" ca="1" si="8">SUM(J41:J57)-SUM(J7:J20)</f>
        <v>1097</v>
      </c>
      <c r="K59" s="549">
        <f t="shared" ca="1" si="8"/>
        <v>1098</v>
      </c>
      <c r="L59" s="549">
        <f t="shared" ca="1" si="8"/>
        <v>1091</v>
      </c>
      <c r="M59" s="549">
        <f t="shared" ca="1" si="8"/>
        <v>1087</v>
      </c>
      <c r="N59" s="549">
        <f t="shared" ca="1" si="8"/>
        <v>1067</v>
      </c>
      <c r="O59" s="549">
        <f t="shared" ca="1" si="8"/>
        <v>1043</v>
      </c>
      <c r="P59" s="549">
        <f t="shared" ca="1" si="8"/>
        <v>1034</v>
      </c>
      <c r="Q59" s="549">
        <f t="shared" ca="1" si="8"/>
        <v>1004</v>
      </c>
      <c r="R59" s="549">
        <f t="shared" ca="1" si="8"/>
        <v>988</v>
      </c>
      <c r="S59" s="549">
        <f t="shared" ca="1" si="8"/>
        <v>1030</v>
      </c>
      <c r="T59" s="549">
        <f t="shared" ca="1" si="8"/>
        <v>1109</v>
      </c>
      <c r="U59" s="549">
        <f ca="1">SUM(U41:U57)-SUM(U7:U20)</f>
        <v>1095</v>
      </c>
      <c r="V59" s="549">
        <f t="shared" ca="1" si="8"/>
        <v>1089</v>
      </c>
      <c r="W59" s="549">
        <f t="shared" ca="1" si="8"/>
        <v>1050</v>
      </c>
      <c r="X59" s="549">
        <f t="shared" ca="1" si="8"/>
        <v>984</v>
      </c>
      <c r="Y59" s="549">
        <f t="shared" ca="1" si="8"/>
        <v>958</v>
      </c>
      <c r="Z59" s="213">
        <f ca="1">SUM(Economics!D28:D45)</f>
        <v>-209753.297260625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100</v>
      </c>
      <c r="D61" s="169">
        <f t="shared" ca="1" si="9"/>
        <v>100</v>
      </c>
      <c r="E61" s="169">
        <f ca="1">IF(-SUM(E18:E20,E35:E37)&gt;134,"err",-SUM(E18:E20,))</f>
        <v>100</v>
      </c>
      <c r="F61" s="169">
        <f t="shared" ca="1" si="9"/>
        <v>100</v>
      </c>
      <c r="G61" s="169">
        <f t="shared" ca="1" si="9"/>
        <v>100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100</v>
      </c>
      <c r="Z61" s="217" t="s">
        <v>138</v>
      </c>
      <c r="AA61" s="218" t="e">
        <f ca="1">AA59</f>
        <v>#N/A</v>
      </c>
    </row>
    <row r="62" spans="1:27" s="161" customFormat="1" ht="30" customHeight="1" thickTop="1" x14ac:dyDescent="0.2">
      <c r="A62" s="193" t="s">
        <v>139</v>
      </c>
      <c r="B62" s="169">
        <f t="shared" ref="B62:Y62" ca="1" si="10">-SUM(B11:B14,B29:B32,B22) + SUM(B53:B55)</f>
        <v>544</v>
      </c>
      <c r="C62" s="169">
        <f t="shared" ca="1" si="10"/>
        <v>419</v>
      </c>
      <c r="D62" s="169">
        <f t="shared" ca="1" si="10"/>
        <v>431</v>
      </c>
      <c r="E62" s="169">
        <f t="shared" ca="1" si="10"/>
        <v>428</v>
      </c>
      <c r="F62" s="169">
        <f t="shared" ca="1" si="10"/>
        <v>428</v>
      </c>
      <c r="G62" s="169">
        <f t="shared" ca="1" si="10"/>
        <v>428</v>
      </c>
      <c r="H62" s="169">
        <f t="shared" ca="1" si="10"/>
        <v>422</v>
      </c>
      <c r="I62" s="169">
        <f t="shared" ca="1" si="10"/>
        <v>520</v>
      </c>
      <c r="J62" s="169">
        <f t="shared" ca="1" si="10"/>
        <v>523</v>
      </c>
      <c r="K62" s="169">
        <f t="shared" ca="1" si="10"/>
        <v>520</v>
      </c>
      <c r="L62" s="169">
        <f t="shared" ca="1" si="10"/>
        <v>520</v>
      </c>
      <c r="M62" s="169">
        <f t="shared" ca="1" si="10"/>
        <v>520</v>
      </c>
      <c r="N62" s="169">
        <f t="shared" ca="1" si="10"/>
        <v>520</v>
      </c>
      <c r="O62" s="169">
        <f t="shared" ca="1" si="10"/>
        <v>520</v>
      </c>
      <c r="P62" s="169">
        <f t="shared" ca="1" si="10"/>
        <v>520</v>
      </c>
      <c r="Q62" s="169">
        <f t="shared" ca="1" si="10"/>
        <v>520</v>
      </c>
      <c r="R62" s="169">
        <f t="shared" ca="1" si="10"/>
        <v>528</v>
      </c>
      <c r="S62" s="169">
        <f t="shared" ca="1" si="10"/>
        <v>529</v>
      </c>
      <c r="T62" s="169">
        <f t="shared" ca="1" si="10"/>
        <v>520</v>
      </c>
      <c r="U62" s="169">
        <f t="shared" ca="1" si="10"/>
        <v>520</v>
      </c>
      <c r="V62" s="169">
        <f t="shared" ca="1" si="10"/>
        <v>520</v>
      </c>
      <c r="W62" s="169">
        <f t="shared" ca="1" si="10"/>
        <v>528</v>
      </c>
      <c r="X62" s="169">
        <f t="shared" ca="1" si="10"/>
        <v>528</v>
      </c>
      <c r="Y62" s="170">
        <f t="shared" ca="1" si="10"/>
        <v>419</v>
      </c>
      <c r="Z62" s="191"/>
      <c r="AA62" s="162"/>
    </row>
    <row r="63" spans="1:27" s="161" customFormat="1" ht="12" x14ac:dyDescent="0.2">
      <c r="A63" s="193" t="s">
        <v>140</v>
      </c>
      <c r="B63" s="169">
        <f t="shared" ref="B63:L63" ca="1" si="11">-SUM(B8:B10,B25:B28) + SUM(B56:B57)</f>
        <v>27</v>
      </c>
      <c r="C63" s="169">
        <f t="shared" ca="1" si="11"/>
        <v>27</v>
      </c>
      <c r="D63" s="169">
        <f t="shared" ca="1" si="11"/>
        <v>26</v>
      </c>
      <c r="E63" s="169">
        <f t="shared" ca="1" si="11"/>
        <v>27</v>
      </c>
      <c r="F63" s="169">
        <f t="shared" ca="1" si="11"/>
        <v>27</v>
      </c>
      <c r="G63" s="169">
        <f t="shared" ca="1" si="11"/>
        <v>27</v>
      </c>
      <c r="H63" s="169">
        <f t="shared" ca="1" si="11"/>
        <v>27</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-28</v>
      </c>
      <c r="T63" s="169">
        <f t="shared" ca="1" si="12"/>
        <v>22</v>
      </c>
      <c r="U63" s="169">
        <f t="shared" ca="1" si="12"/>
        <v>23</v>
      </c>
      <c r="V63" s="169">
        <f t="shared" ca="1" si="12"/>
        <v>23</v>
      </c>
      <c r="W63" s="169">
        <f t="shared" ca="1" si="12"/>
        <v>22</v>
      </c>
      <c r="X63" s="169">
        <f t="shared" ca="1" si="12"/>
        <v>22</v>
      </c>
      <c r="Y63" s="170">
        <f t="shared" ca="1" si="12"/>
        <v>27</v>
      </c>
      <c r="Z63" s="191"/>
      <c r="AA63" s="162"/>
    </row>
    <row r="64" spans="1:27" s="161" customFormat="1" ht="12" x14ac:dyDescent="0.2">
      <c r="A64" s="193" t="s">
        <v>141</v>
      </c>
      <c r="B64" s="169">
        <f ca="1">IF(B62+B63&gt;645,"err",B62+B63)</f>
        <v>571</v>
      </c>
      <c r="C64" s="169">
        <f t="shared" ref="C64:Y64" ca="1" si="13">IF(C62+C63&gt;645,"err",C62+C63)</f>
        <v>446</v>
      </c>
      <c r="D64" s="169">
        <f t="shared" ca="1" si="13"/>
        <v>457</v>
      </c>
      <c r="E64" s="169">
        <f t="shared" ca="1" si="13"/>
        <v>455</v>
      </c>
      <c r="F64" s="169">
        <f t="shared" ca="1" si="13"/>
        <v>455</v>
      </c>
      <c r="G64" s="169">
        <f t="shared" ca="1" si="13"/>
        <v>455</v>
      </c>
      <c r="H64" s="169">
        <f t="shared" ca="1" si="13"/>
        <v>449</v>
      </c>
      <c r="I64" s="169">
        <f t="shared" ca="1" si="13"/>
        <v>542</v>
      </c>
      <c r="J64" s="169">
        <f t="shared" ca="1" si="13"/>
        <v>545</v>
      </c>
      <c r="K64" s="169">
        <f t="shared" ca="1" si="13"/>
        <v>542</v>
      </c>
      <c r="L64" s="169">
        <f t="shared" ca="1" si="13"/>
        <v>542</v>
      </c>
      <c r="M64" s="169">
        <f t="shared" ca="1" si="13"/>
        <v>490</v>
      </c>
      <c r="N64" s="169">
        <f t="shared" ca="1" si="13"/>
        <v>542</v>
      </c>
      <c r="O64" s="169">
        <f t="shared" ca="1" si="13"/>
        <v>542</v>
      </c>
      <c r="P64" s="169">
        <f t="shared" ca="1" si="13"/>
        <v>542</v>
      </c>
      <c r="Q64" s="169">
        <f t="shared" ca="1" si="13"/>
        <v>542</v>
      </c>
      <c r="R64" s="169">
        <f t="shared" ca="1" si="13"/>
        <v>550</v>
      </c>
      <c r="S64" s="169">
        <f t="shared" ca="1" si="13"/>
        <v>501</v>
      </c>
      <c r="T64" s="169">
        <f t="shared" ca="1" si="13"/>
        <v>542</v>
      </c>
      <c r="U64" s="169">
        <f t="shared" ca="1" si="13"/>
        <v>543</v>
      </c>
      <c r="V64" s="169">
        <f t="shared" ca="1" si="13"/>
        <v>543</v>
      </c>
      <c r="W64" s="169">
        <f t="shared" ca="1" si="13"/>
        <v>550</v>
      </c>
      <c r="X64" s="169">
        <f t="shared" ca="1" si="13"/>
        <v>550</v>
      </c>
      <c r="Y64" s="170">
        <f t="shared" ca="1" si="13"/>
        <v>446</v>
      </c>
      <c r="Z64" s="192"/>
      <c r="AA64" s="162"/>
    </row>
    <row r="65" spans="1:27" s="161" customFormat="1" ht="12" x14ac:dyDescent="0.2">
      <c r="A65" s="193" t="s">
        <v>18</v>
      </c>
      <c r="B65" s="169">
        <f ca="1">SUM(B61:B63)</f>
        <v>571</v>
      </c>
      <c r="C65" s="169">
        <f t="shared" ref="C65:Y65" ca="1" si="14">SUM(C61:C63)</f>
        <v>546</v>
      </c>
      <c r="D65" s="169">
        <f t="shared" ca="1" si="14"/>
        <v>557</v>
      </c>
      <c r="E65" s="169">
        <f t="shared" ca="1" si="14"/>
        <v>555</v>
      </c>
      <c r="F65" s="169">
        <f t="shared" ca="1" si="14"/>
        <v>555</v>
      </c>
      <c r="G65" s="169">
        <f t="shared" ca="1" si="14"/>
        <v>555</v>
      </c>
      <c r="H65" s="169">
        <f t="shared" ca="1" si="14"/>
        <v>579</v>
      </c>
      <c r="I65" s="169">
        <f t="shared" ca="1" si="14"/>
        <v>622</v>
      </c>
      <c r="J65" s="169">
        <f t="shared" ca="1" si="14"/>
        <v>625</v>
      </c>
      <c r="K65" s="169">
        <f t="shared" ca="1" si="14"/>
        <v>622</v>
      </c>
      <c r="L65" s="169">
        <f t="shared" ca="1" si="14"/>
        <v>622</v>
      </c>
      <c r="M65" s="169">
        <f t="shared" ca="1" si="14"/>
        <v>570</v>
      </c>
      <c r="N65" s="169">
        <f t="shared" ca="1" si="14"/>
        <v>622</v>
      </c>
      <c r="O65" s="169">
        <f t="shared" ca="1" si="14"/>
        <v>622</v>
      </c>
      <c r="P65" s="169">
        <f t="shared" ca="1" si="14"/>
        <v>622</v>
      </c>
      <c r="Q65" s="169">
        <f t="shared" ca="1" si="14"/>
        <v>622</v>
      </c>
      <c r="R65" s="169">
        <f t="shared" ca="1" si="14"/>
        <v>630</v>
      </c>
      <c r="S65" s="169">
        <f t="shared" ca="1" si="14"/>
        <v>634</v>
      </c>
      <c r="T65" s="169">
        <f t="shared" ca="1" si="14"/>
        <v>675</v>
      </c>
      <c r="U65" s="169">
        <f t="shared" ca="1" si="14"/>
        <v>676</v>
      </c>
      <c r="V65" s="169">
        <f t="shared" ca="1" si="14"/>
        <v>676</v>
      </c>
      <c r="W65" s="169">
        <f t="shared" ca="1" si="14"/>
        <v>630</v>
      </c>
      <c r="X65" s="169">
        <f t="shared" ca="1" si="14"/>
        <v>630</v>
      </c>
      <c r="Y65" s="170">
        <f t="shared" ca="1" si="14"/>
        <v>546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110</v>
      </c>
      <c r="C67" s="169">
        <f t="array" ref="C67">SUM(IF(C$41:C$55 = 0,0,$Z$41:$Z$55-C$41:C$55))-INDEX(Balancing!$R$4:$R$27,C$3)</f>
        <v>115</v>
      </c>
      <c r="D67" s="169">
        <f t="array" ref="D67">SUM(IF(D$41:D$55 = 0,0,$Z$41:$Z$55-D$41:D$55))-INDEX(Balancing!$R$4:$R$27,D$3)</f>
        <v>137</v>
      </c>
      <c r="E67" s="169">
        <f t="array" ref="E67">SUM(IF(E$41:E$55 = 0,0,$Z$41:$Z$55-E$41:E$55))-INDEX(Balancing!$R$4:$R$27,E$3)</f>
        <v>118</v>
      </c>
      <c r="F67" s="169">
        <f t="array" ref="F67">SUM(IF(F$41:F$55 = 0,0,$Z$41:$Z$55-F$41:F$55))-INDEX(Balancing!$R$4:$R$27,F$3)</f>
        <v>102</v>
      </c>
      <c r="G67" s="169">
        <f t="array" ref="G67">SUM(IF(G$41:G$55 = 0,0,$Z$41:$Z$55-G$41:G$55))-INDEX(Balancing!$R$4:$R$27,G$3)</f>
        <v>74</v>
      </c>
      <c r="H67" s="169">
        <f t="array" ref="H67">SUM(IF(H$41:H$55 = 0,0,$Z$41:$Z$55-H$41:H$55))-INDEX(Balancing!$R$4:$R$27,H$3)</f>
        <v>76</v>
      </c>
      <c r="I67" s="169">
        <f t="array" ref="I67">SUM(IF(I$41:I$55 = 0,0,$Z$41:$Z$55-I$41:I$55))-INDEX(Balancing!$R$4:$R$27,I$3)</f>
        <v>88</v>
      </c>
      <c r="J67" s="169">
        <f t="array" ref="J67">SUM(IF(J$41:J$55 = 0,0,$Z$41:$Z$55-J$41:J$55))-INDEX(Balancing!$R$4:$R$27,J$3)</f>
        <v>97</v>
      </c>
      <c r="K67" s="169">
        <f t="array" ref="K67">SUM(IF(K$41:K$55 = 0,0,$Z$41:$Z$55-K$41:K$55))-INDEX(Balancing!$R$4:$R$27,K$3)</f>
        <v>96</v>
      </c>
      <c r="L67" s="169">
        <f t="array" ref="L67">SUM(IF(L$41:L$55 = 0,0,$Z$41:$Z$55-L$41:L$55))-INDEX(Balancing!$R$4:$R$27,L$3)</f>
        <v>103</v>
      </c>
      <c r="M67" s="169">
        <f t="array" ref="M67">SUM(IF(M$41:M$55 = 0,0,$Z$41:$Z$55-M$41:M$55))-INDEX(Balancing!$R$4:$R$27,M$3)</f>
        <v>107</v>
      </c>
      <c r="N67" s="169">
        <v>179</v>
      </c>
      <c r="O67" s="169">
        <f t="array" ref="O67">SUM(IF(O$41:O$55 = 0,0,$Z$41:$Z$55-O$41:O$55))-INDEX(Balancing!$R$4:$R$27,O$3)</f>
        <v>151</v>
      </c>
      <c r="P67" s="169">
        <f t="array" ref="P67">SUM(IF(P$41:P$55 = 0,0,$Z$41:$Z$55-P$41:P$55))-INDEX(Balancing!$R$4:$R$27,P$3)</f>
        <v>160</v>
      </c>
      <c r="Q67" s="169">
        <f t="array" ref="Q67">SUM(IF(Q$41:Q$55 = 0,0,$Z$41:$Z$55-Q$41:Q$55))-INDEX(Balancing!$R$4:$R$27,Q$3)</f>
        <v>190</v>
      </c>
      <c r="R67" s="169">
        <f t="array" ref="R67">SUM(IF(R$41:R$55 = 0,0,$Z$41:$Z$55-R$41:R$55))-INDEX(Balancing!$R$4:$R$27,R$3)</f>
        <v>206</v>
      </c>
      <c r="S67" s="169">
        <f t="array" ref="S67">SUM(IF(S$41:S$55 = 0,0,$Z$41:$Z$55-S$41:S$55))-INDEX(Balancing!$R$4:$R$27,S$3)</f>
        <v>167</v>
      </c>
      <c r="T67" s="169">
        <f t="array" ref="T67">SUM(IF(T$41:T$55 = 0,0,$Z$41:$Z$55-T$41:T$55))-INDEX(Balancing!$R$4:$R$27,T$3)</f>
        <v>138</v>
      </c>
      <c r="U67" s="169">
        <f t="array" ref="U67">SUM(IF(U$41:U$55 = 0,0,$Z$41:$Z$55-U$41:U$55))-INDEX(Balancing!$R$4:$R$27,U$3)</f>
        <v>153</v>
      </c>
      <c r="V67" s="169">
        <f t="array" ref="V67">SUM(IF(V$41:V$55 = 0,0,$Z$41:$Z$55-V$41:V$55))-INDEX(Balancing!$R$4:$R$27,V$3)</f>
        <v>159</v>
      </c>
      <c r="W67" s="169">
        <f t="array" ref="W67">SUM(IF(W$41:W$55 = 0,0,$Z$41:$Z$55-W$41:W$55))-INDEX(Balancing!$R$4:$R$27,W$3)</f>
        <v>144</v>
      </c>
      <c r="X67" s="169">
        <f t="array" ref="X67">SUM(IF(X$41:X$55 = 0,0,$Z$41:$Z$55-X$41:X$55))-INDEX(Balancing!$R$4:$R$27,X$3)</f>
        <v>210</v>
      </c>
      <c r="Y67" s="170">
        <f t="array" ref="Y67">SUM(IF(Y$41:Y$55 = 0,0,$Z$41:$Z$55-Y$41:Y$55))-INDEX(Balancing!$R$4:$R$27,Y$3)</f>
        <v>181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44</v>
      </c>
      <c r="D69" s="171">
        <f t="shared" si="15"/>
        <v>43</v>
      </c>
      <c r="E69" s="171">
        <f t="shared" si="15"/>
        <v>44</v>
      </c>
      <c r="F69" s="171">
        <f t="shared" si="15"/>
        <v>45</v>
      </c>
      <c r="G69" s="171">
        <f t="shared" si="15"/>
        <v>47</v>
      </c>
      <c r="H69" s="171">
        <f t="shared" ref="H69:X69" si="16">IF(H67&lt;0.07*I4,"err",ROUND(I4*0.07,0))</f>
        <v>58</v>
      </c>
      <c r="I69" s="171">
        <f t="shared" si="16"/>
        <v>58</v>
      </c>
      <c r="J69" s="171">
        <f t="shared" si="16"/>
        <v>58</v>
      </c>
      <c r="K69" s="171">
        <f t="shared" si="16"/>
        <v>58</v>
      </c>
      <c r="L69" s="171">
        <f t="shared" si="16"/>
        <v>58</v>
      </c>
      <c r="M69" s="171">
        <f t="shared" si="16"/>
        <v>56</v>
      </c>
      <c r="N69" s="171">
        <f t="shared" si="16"/>
        <v>55</v>
      </c>
      <c r="O69" s="171">
        <f t="shared" si="16"/>
        <v>55</v>
      </c>
      <c r="P69" s="171">
        <f t="shared" si="16"/>
        <v>52</v>
      </c>
      <c r="Q69" s="171">
        <f t="shared" si="16"/>
        <v>52</v>
      </c>
      <c r="R69" s="171">
        <f t="shared" si="16"/>
        <v>55</v>
      </c>
      <c r="S69" s="171">
        <f t="shared" si="16"/>
        <v>59</v>
      </c>
      <c r="T69" s="171">
        <f t="shared" si="16"/>
        <v>58</v>
      </c>
      <c r="U69" s="171">
        <f t="shared" si="16"/>
        <v>58</v>
      </c>
      <c r="V69" s="171">
        <f t="shared" si="16"/>
        <v>56</v>
      </c>
      <c r="W69" s="171">
        <f t="shared" si="16"/>
        <v>51</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84</v>
      </c>
      <c r="C78" s="462">
        <f t="shared" ca="1" si="17"/>
        <v>209</v>
      </c>
      <c r="D78" s="462">
        <f t="shared" ca="1" si="17"/>
        <v>200</v>
      </c>
      <c r="E78" s="462">
        <f ca="1">(E22+E25+E29)</f>
        <v>200</v>
      </c>
      <c r="F78" s="462">
        <f t="shared" ca="1" si="17"/>
        <v>200</v>
      </c>
      <c r="G78" s="462">
        <f ca="1">(G22+G25+G29)</f>
        <v>200</v>
      </c>
      <c r="H78" s="462">
        <f ca="1">(H22+H25+H29)</f>
        <v>209</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188</v>
      </c>
      <c r="Q78" s="462">
        <f t="shared" ca="1" si="17"/>
        <v>188</v>
      </c>
      <c r="R78" s="462">
        <f t="shared" ca="1" si="17"/>
        <v>180</v>
      </c>
      <c r="S78" s="462">
        <f t="shared" ca="1" si="17"/>
        <v>180</v>
      </c>
      <c r="T78" s="462">
        <f t="shared" ca="1" si="17"/>
        <v>188</v>
      </c>
      <c r="U78" s="462">
        <f t="shared" ca="1" si="17"/>
        <v>188</v>
      </c>
      <c r="V78" s="462">
        <f t="shared" ca="1" si="17"/>
        <v>188</v>
      </c>
      <c r="W78" s="462">
        <f t="shared" ca="1" si="17"/>
        <v>180</v>
      </c>
      <c r="X78" s="462">
        <f t="shared" ca="1" si="17"/>
        <v>180</v>
      </c>
      <c r="Y78" s="462">
        <f t="shared" ca="1" si="17"/>
        <v>209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4487</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212974.78560034552</v>
      </c>
    </row>
    <row r="87" spans="1:27" x14ac:dyDescent="0.2">
      <c r="X87" s="223"/>
      <c r="Y87" s="224" t="s">
        <v>163</v>
      </c>
      <c r="Z87" s="255">
        <f ca="1">SUM(Z90,Z93,Z96,Z99,Z102,Z107,Z112,Z117,Z122,Z127,Z132,Z137,Z142,Z147,Z152,Z157,Z162)</f>
        <v>243781.30135204751</v>
      </c>
    </row>
    <row r="88" spans="1:27" ht="13.5" thickBot="1" x14ac:dyDescent="0.25">
      <c r="A88" s="173" t="s">
        <v>164</v>
      </c>
      <c r="X88" s="225"/>
      <c r="Y88" s="226" t="s">
        <v>165</v>
      </c>
      <c r="Z88" s="256">
        <f ca="1">Z86-Z87</f>
        <v>-30806.515751701983</v>
      </c>
    </row>
    <row r="89" spans="1:27" x14ac:dyDescent="0.2">
      <c r="A89" s="227" t="str">
        <f>Economics!A28</f>
        <v>4 Corners Unit 4</v>
      </c>
      <c r="B89" s="228">
        <f t="shared" ref="B89:Y89" si="18">B56</f>
        <v>52</v>
      </c>
      <c r="C89" s="228">
        <f t="shared" si="18"/>
        <v>52</v>
      </c>
      <c r="D89" s="228">
        <f t="shared" si="18"/>
        <v>51</v>
      </c>
      <c r="E89" s="228">
        <f>E56</f>
        <v>52</v>
      </c>
      <c r="F89" s="228">
        <f t="shared" si="18"/>
        <v>52</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2</v>
      </c>
      <c r="T89" s="228">
        <f t="shared" si="18"/>
        <v>52</v>
      </c>
      <c r="U89" s="228">
        <f t="shared" si="18"/>
        <v>53</v>
      </c>
      <c r="V89" s="228">
        <f t="shared" si="18"/>
        <v>53</v>
      </c>
      <c r="W89" s="228">
        <f t="shared" si="18"/>
        <v>52</v>
      </c>
      <c r="X89" s="228">
        <f t="shared" si="18"/>
        <v>52</v>
      </c>
      <c r="Y89" s="228">
        <f t="shared" si="18"/>
        <v>52</v>
      </c>
      <c r="Z89" s="257">
        <f t="array" ref="Z89">SUM(B89:Y89*Economics!F$28)</f>
        <v>14996.887360000008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-49</v>
      </c>
      <c r="E91" s="206">
        <f t="shared" si="19"/>
        <v>-50</v>
      </c>
      <c r="F91" s="206">
        <f t="shared" si="19"/>
        <v>-50</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101</v>
      </c>
      <c r="T91" s="206">
        <f t="shared" si="19"/>
        <v>51</v>
      </c>
      <c r="U91" s="206">
        <f t="shared" si="19"/>
        <v>50</v>
      </c>
      <c r="V91" s="206">
        <f t="shared" si="19"/>
        <v>-1</v>
      </c>
      <c r="W91" s="206">
        <f t="shared" si="19"/>
        <v>0</v>
      </c>
      <c r="X91" s="206">
        <f t="shared" si="19"/>
        <v>0</v>
      </c>
      <c r="Y91" s="206">
        <f t="shared" si="19"/>
        <v>0</v>
      </c>
      <c r="Z91" s="260">
        <f>Z89-Z90</f>
        <v>-6040.5945599999868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201</v>
      </c>
      <c r="F95" s="181">
        <f t="shared" si="22"/>
        <v>201</v>
      </c>
      <c r="G95" s="181">
        <f t="shared" si="22"/>
        <v>201</v>
      </c>
      <c r="H95" s="181">
        <f t="shared" si="22"/>
        <v>202</v>
      </c>
      <c r="I95" s="181">
        <f t="shared" si="22"/>
        <v>201</v>
      </c>
      <c r="J95" s="181">
        <f t="shared" si="22"/>
        <v>202</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29425.391999999985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-1</v>
      </c>
      <c r="F97" s="206">
        <f t="shared" si="23"/>
        <v>-1</v>
      </c>
      <c r="G97" s="206">
        <f t="shared" si="23"/>
        <v>-1</v>
      </c>
      <c r="H97" s="206">
        <f t="shared" si="23"/>
        <v>-2</v>
      </c>
      <c r="I97" s="206">
        <f t="shared" si="23"/>
        <v>-1</v>
      </c>
      <c r="J97" s="206">
        <f t="shared" si="23"/>
        <v>-2</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164.59199999997509</v>
      </c>
    </row>
    <row r="98" spans="1:29" x14ac:dyDescent="0.2">
      <c r="A98" s="183" t="str">
        <f>Economics!A31</f>
        <v>PV Unit 2</v>
      </c>
      <c r="B98" s="181">
        <f t="shared" ref="B98:Y98" si="24">B54</f>
        <v>201</v>
      </c>
      <c r="C98" s="181">
        <f t="shared" si="24"/>
        <v>201</v>
      </c>
      <c r="D98" s="181">
        <f t="shared" si="24"/>
        <v>202</v>
      </c>
      <c r="E98" s="181">
        <f>E54</f>
        <v>201</v>
      </c>
      <c r="F98" s="181">
        <f t="shared" si="24"/>
        <v>201</v>
      </c>
      <c r="G98" s="181">
        <f t="shared" si="24"/>
        <v>201</v>
      </c>
      <c r="H98" s="181">
        <f t="shared" si="24"/>
        <v>202</v>
      </c>
      <c r="I98" s="181">
        <f t="shared" si="24"/>
        <v>201</v>
      </c>
      <c r="J98" s="181">
        <f t="shared" si="24"/>
        <v>202</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29425.391999999985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-7</v>
      </c>
      <c r="F100" s="206">
        <f t="shared" si="25"/>
        <v>-6</v>
      </c>
      <c r="G100" s="206">
        <f t="shared" si="25"/>
        <v>-6</v>
      </c>
      <c r="H100" s="206">
        <f t="shared" si="25"/>
        <v>-7</v>
      </c>
      <c r="I100" s="206">
        <f t="shared" si="25"/>
        <v>-6</v>
      </c>
      <c r="J100" s="206">
        <f t="shared" si="25"/>
        <v>-7</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920.49599999997736</v>
      </c>
    </row>
    <row r="101" spans="1:29" x14ac:dyDescent="0.2">
      <c r="A101" s="183" t="str">
        <f>Economics!A32</f>
        <v>PV Unit 3</v>
      </c>
      <c r="B101" s="181">
        <f t="shared" ref="B101:Y101" si="26">B55</f>
        <v>201</v>
      </c>
      <c r="C101" s="181">
        <f t="shared" si="26"/>
        <v>201</v>
      </c>
      <c r="D101" s="181">
        <f t="shared" si="26"/>
        <v>202</v>
      </c>
      <c r="E101" s="181">
        <f>E55</f>
        <v>201</v>
      </c>
      <c r="F101" s="181">
        <f t="shared" si="26"/>
        <v>201</v>
      </c>
      <c r="G101" s="181">
        <f t="shared" si="26"/>
        <v>201</v>
      </c>
      <c r="H101" s="181">
        <f t="shared" si="26"/>
        <v>202</v>
      </c>
      <c r="I101" s="181">
        <f t="shared" si="26"/>
        <v>201</v>
      </c>
      <c r="J101" s="181">
        <f t="shared" si="26"/>
        <v>202</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202</v>
      </c>
      <c r="T101" s="181">
        <f t="shared" si="26"/>
        <v>201</v>
      </c>
      <c r="U101" s="181">
        <f t="shared" si="26"/>
        <v>201</v>
      </c>
      <c r="V101" s="181">
        <f t="shared" si="26"/>
        <v>201</v>
      </c>
      <c r="W101" s="181">
        <f t="shared" si="26"/>
        <v>201</v>
      </c>
      <c r="X101" s="181">
        <f t="shared" si="26"/>
        <v>201</v>
      </c>
      <c r="Y101" s="181">
        <f t="shared" si="26"/>
        <v>201</v>
      </c>
      <c r="Z101" s="259">
        <f t="array" ref="Z101">SUM(B101:Y101*Economics!F$32)</f>
        <v>29431.487999999987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-1</v>
      </c>
      <c r="F103" s="206">
        <f t="shared" si="27"/>
        <v>-1</v>
      </c>
      <c r="G103" s="206">
        <f t="shared" si="27"/>
        <v>-1</v>
      </c>
      <c r="H103" s="206">
        <f t="shared" si="27"/>
        <v>-2</v>
      </c>
      <c r="I103" s="206">
        <f t="shared" si="27"/>
        <v>-1</v>
      </c>
      <c r="J103" s="206">
        <f t="shared" si="27"/>
        <v>-2</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-2</v>
      </c>
      <c r="T103" s="206">
        <f t="shared" si="27"/>
        <v>-1</v>
      </c>
      <c r="U103" s="206">
        <f t="shared" si="27"/>
        <v>-1</v>
      </c>
      <c r="V103" s="206">
        <f t="shared" si="27"/>
        <v>-1</v>
      </c>
      <c r="W103" s="206">
        <f t="shared" si="27"/>
        <v>-1</v>
      </c>
      <c r="X103" s="206">
        <f t="shared" si="27"/>
        <v>-1</v>
      </c>
      <c r="Y103" s="206">
        <f t="shared" si="27"/>
        <v>-1</v>
      </c>
      <c r="Z103" s="260">
        <f>Z101-Z102</f>
        <v>170.68799999997646</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34</v>
      </c>
      <c r="C109" s="181">
        <f t="shared" ref="C109:Y109" si="32">C42</f>
        <v>39</v>
      </c>
      <c r="D109" s="181">
        <f t="shared" si="32"/>
        <v>34</v>
      </c>
      <c r="E109" s="181">
        <f>E42</f>
        <v>35</v>
      </c>
      <c r="F109" s="181">
        <f t="shared" si="32"/>
        <v>36</v>
      </c>
      <c r="G109" s="181">
        <f t="shared" si="32"/>
        <v>40</v>
      </c>
      <c r="H109" s="181">
        <f t="shared" si="32"/>
        <v>70</v>
      </c>
      <c r="I109" s="181">
        <f>I42</f>
        <v>34</v>
      </c>
      <c r="J109" s="181">
        <f t="shared" si="32"/>
        <v>34</v>
      </c>
      <c r="K109" s="181">
        <f t="shared" si="32"/>
        <v>34</v>
      </c>
      <c r="L109" s="181">
        <f t="shared" si="32"/>
        <v>34</v>
      </c>
      <c r="M109" s="181">
        <f t="shared" si="32"/>
        <v>34</v>
      </c>
      <c r="N109" s="181">
        <f t="shared" si="32"/>
        <v>34</v>
      </c>
      <c r="O109" s="181">
        <f t="shared" si="32"/>
        <v>34</v>
      </c>
      <c r="P109" s="181">
        <f t="shared" si="32"/>
        <v>34</v>
      </c>
      <c r="Q109" s="181">
        <f t="shared" si="32"/>
        <v>36</v>
      </c>
      <c r="R109" s="181">
        <f t="shared" si="32"/>
        <v>35</v>
      </c>
      <c r="S109" s="181">
        <f t="shared" si="32"/>
        <v>63</v>
      </c>
      <c r="T109" s="181">
        <f t="shared" si="32"/>
        <v>61</v>
      </c>
      <c r="U109" s="181">
        <f t="shared" si="32"/>
        <v>35</v>
      </c>
      <c r="V109" s="181">
        <f t="shared" si="32"/>
        <v>35</v>
      </c>
      <c r="W109" s="181">
        <f t="shared" si="32"/>
        <v>35</v>
      </c>
      <c r="X109" s="181">
        <f t="shared" si="32"/>
        <v>35</v>
      </c>
      <c r="Y109" s="181">
        <f t="shared" si="32"/>
        <v>35</v>
      </c>
      <c r="Z109" s="219">
        <f>SUM(B109:Y109)</f>
        <v>930</v>
      </c>
      <c r="AA109" s="318" t="s">
        <v>170</v>
      </c>
    </row>
    <row r="110" spans="1:29" x14ac:dyDescent="0.2">
      <c r="A110" s="185">
        <f>Economics!$I35</f>
        <v>1.96</v>
      </c>
      <c r="B110" s="189">
        <f t="shared" ref="B110:Y110" ca="1" si="33">IndGencost(B109,OFFSET(HeatRateStart,1,MATCH($A109,HeatRateNames,0)-1,250,1),$A110)</f>
        <v>21.354015945019448</v>
      </c>
      <c r="C110" s="189">
        <f t="shared" ca="1" si="33"/>
        <v>21.050465743033094</v>
      </c>
      <c r="D110" s="189">
        <f t="shared" ca="1" si="33"/>
        <v>21.354015945019448</v>
      </c>
      <c r="E110" s="189">
        <f ca="1">IndGencost(E109,OFFSET(HeatRateStart,1,MATCH($A109,HeatRateNames,0)-1,250,1),$A110)</f>
        <v>21.285180414267952</v>
      </c>
      <c r="F110" s="189">
        <f t="shared" ca="1" si="33"/>
        <v>21.220746190791662</v>
      </c>
      <c r="G110" s="189">
        <f t="shared" ca="1" si="33"/>
        <v>21.000420408725741</v>
      </c>
      <c r="H110" s="189">
        <f t="shared" ca="1" si="33"/>
        <v>20.301960395131793</v>
      </c>
      <c r="I110" s="189">
        <f t="shared" ca="1" si="33"/>
        <v>21.354015945019448</v>
      </c>
      <c r="J110" s="189">
        <f t="shared" ca="1" si="33"/>
        <v>21.354015945019448</v>
      </c>
      <c r="K110" s="189">
        <f t="shared" ca="1" si="33"/>
        <v>21.354015945019448</v>
      </c>
      <c r="L110" s="189">
        <f t="shared" ca="1" si="33"/>
        <v>21.354015945019448</v>
      </c>
      <c r="M110" s="189">
        <f t="shared" ca="1" si="33"/>
        <v>21.354015945019448</v>
      </c>
      <c r="N110" s="189">
        <f t="shared" ca="1" si="33"/>
        <v>21.354015945019448</v>
      </c>
      <c r="O110" s="189">
        <f t="shared" ca="1" si="33"/>
        <v>21.354015945019448</v>
      </c>
      <c r="P110" s="189">
        <f t="shared" ca="1" si="33"/>
        <v>21.354015945019448</v>
      </c>
      <c r="Q110" s="189">
        <f t="shared" ca="1" si="33"/>
        <v>21.220746190791662</v>
      </c>
      <c r="R110" s="189">
        <f t="shared" ca="1" si="33"/>
        <v>21.285180414267952</v>
      </c>
      <c r="S110" s="189">
        <f t="shared" ca="1" si="33"/>
        <v>20.378888841073479</v>
      </c>
      <c r="T110" s="189">
        <f t="shared" ca="1" si="33"/>
        <v>20.407176593900903</v>
      </c>
      <c r="U110" s="189">
        <f t="shared" ca="1" si="33"/>
        <v>21.285180414267952</v>
      </c>
      <c r="V110" s="189">
        <f t="shared" ca="1" si="33"/>
        <v>21.285180414267952</v>
      </c>
      <c r="W110" s="189">
        <f t="shared" ca="1" si="33"/>
        <v>21.285180414267952</v>
      </c>
      <c r="X110" s="189">
        <f t="shared" ca="1" si="33"/>
        <v>21.285180414267952</v>
      </c>
      <c r="Y110" s="189">
        <f t="shared" ca="1" si="33"/>
        <v>21.285180414267952</v>
      </c>
      <c r="Z110" s="259">
        <f t="array" aca="1" ref="Z110" ca="1">SUM(B109:Y109*B110:Y110)</f>
        <v>19613.958325741391</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0.23717376552686176</v>
      </c>
      <c r="C113" s="188">
        <f t="shared" ca="1" si="35"/>
        <v>0.54072396751321605</v>
      </c>
      <c r="D113" s="188">
        <f t="shared" ca="1" si="35"/>
        <v>0.23717376552686176</v>
      </c>
      <c r="E113" s="188">
        <f t="shared" ca="1" si="35"/>
        <v>0.30600929627835782</v>
      </c>
      <c r="F113" s="188">
        <f t="shared" ca="1" si="35"/>
        <v>0.37044351975464807</v>
      </c>
      <c r="G113" s="188">
        <f t="shared" ca="1" si="35"/>
        <v>0.59076930182056842</v>
      </c>
      <c r="H113" s="188">
        <f t="shared" ca="1" si="35"/>
        <v>1.2892293154145165</v>
      </c>
      <c r="I113" s="188">
        <f t="shared" ca="1" si="35"/>
        <v>0.23717376552686176</v>
      </c>
      <c r="J113" s="188">
        <f t="shared" ca="1" si="35"/>
        <v>0.23717376552686176</v>
      </c>
      <c r="K113" s="188">
        <f t="shared" ca="1" si="35"/>
        <v>0.23717376552686176</v>
      </c>
      <c r="L113" s="188">
        <f t="shared" ca="1" si="35"/>
        <v>0.23717376552686176</v>
      </c>
      <c r="M113" s="188">
        <f t="shared" ca="1" si="35"/>
        <v>0.23717376552686176</v>
      </c>
      <c r="N113" s="188">
        <f t="shared" ca="1" si="35"/>
        <v>0.23717376552686176</v>
      </c>
      <c r="O113" s="188">
        <f t="shared" ca="1" si="35"/>
        <v>0.23717376552686176</v>
      </c>
      <c r="P113" s="188">
        <f t="shared" ca="1" si="35"/>
        <v>0.23717376552686176</v>
      </c>
      <c r="Q113" s="188">
        <f t="shared" ca="1" si="35"/>
        <v>0.37044351975464807</v>
      </c>
      <c r="R113" s="188">
        <f t="shared" ca="1" si="35"/>
        <v>0.30600929627835782</v>
      </c>
      <c r="S113" s="188">
        <f t="shared" ca="1" si="35"/>
        <v>1.2123008694728306</v>
      </c>
      <c r="T113" s="188">
        <f t="shared" ca="1" si="35"/>
        <v>1.1840131166454064</v>
      </c>
      <c r="U113" s="188">
        <f t="shared" ca="1" si="35"/>
        <v>0.30600929627835782</v>
      </c>
      <c r="V113" s="188">
        <f t="shared" ca="1" si="35"/>
        <v>0.30600929627835782</v>
      </c>
      <c r="W113" s="188">
        <f t="shared" ca="1" si="35"/>
        <v>0.30600929627835782</v>
      </c>
      <c r="X113" s="188">
        <f t="shared" ca="1" si="35"/>
        <v>0.30600929627835782</v>
      </c>
      <c r="Y113" s="188">
        <f t="shared" ca="1" si="35"/>
        <v>0.30600929627835782</v>
      </c>
      <c r="Z113" s="260">
        <f ca="1">Z110-Z112</f>
        <v>3550.1131810949264</v>
      </c>
      <c r="AC113" s="174"/>
    </row>
    <row r="114" spans="1:29" x14ac:dyDescent="0.2">
      <c r="A114" s="183" t="str">
        <f>Economics!A36</f>
        <v>Newman 3</v>
      </c>
      <c r="B114" s="181">
        <f t="shared" ref="B114:Y114" si="36">B43</f>
        <v>68</v>
      </c>
      <c r="C114" s="181">
        <f t="shared" si="36"/>
        <v>58</v>
      </c>
      <c r="D114" s="181">
        <f t="shared" si="36"/>
        <v>38</v>
      </c>
      <c r="E114" s="181">
        <f>E43</f>
        <v>59</v>
      </c>
      <c r="F114" s="181">
        <f t="shared" si="36"/>
        <v>74</v>
      </c>
      <c r="G114" s="181">
        <f t="shared" si="36"/>
        <v>98</v>
      </c>
      <c r="H114" s="181">
        <f t="shared" si="36"/>
        <v>100</v>
      </c>
      <c r="I114" s="181">
        <f t="shared" si="36"/>
        <v>47</v>
      </c>
      <c r="J114" s="181">
        <f t="shared" si="36"/>
        <v>38</v>
      </c>
      <c r="K114" s="181">
        <f t="shared" si="36"/>
        <v>39</v>
      </c>
      <c r="L114" s="181">
        <f t="shared" si="36"/>
        <v>38</v>
      </c>
      <c r="M114" s="181">
        <f t="shared" si="36"/>
        <v>38</v>
      </c>
      <c r="N114" s="181">
        <f t="shared" si="36"/>
        <v>38</v>
      </c>
      <c r="O114" s="181">
        <f t="shared" si="36"/>
        <v>38</v>
      </c>
      <c r="P114" s="181">
        <f t="shared" si="36"/>
        <v>38</v>
      </c>
      <c r="Q114" s="181">
        <f t="shared" si="36"/>
        <v>38</v>
      </c>
      <c r="R114" s="181">
        <f t="shared" si="36"/>
        <v>38</v>
      </c>
      <c r="S114" s="181">
        <f t="shared" si="36"/>
        <v>38</v>
      </c>
      <c r="T114" s="181">
        <f t="shared" si="36"/>
        <v>38</v>
      </c>
      <c r="U114" s="181">
        <f t="shared" si="36"/>
        <v>38</v>
      </c>
      <c r="V114" s="181">
        <f t="shared" si="36"/>
        <v>38</v>
      </c>
      <c r="W114" s="181">
        <f t="shared" si="36"/>
        <v>38</v>
      </c>
      <c r="X114" s="181">
        <f t="shared" si="36"/>
        <v>38</v>
      </c>
      <c r="Y114" s="181">
        <f t="shared" si="36"/>
        <v>38</v>
      </c>
      <c r="Z114" s="219">
        <f>SUM(B114:Y114)</f>
        <v>1151</v>
      </c>
      <c r="AA114" s="318" t="s">
        <v>172</v>
      </c>
    </row>
    <row r="115" spans="1:29" x14ac:dyDescent="0.2">
      <c r="A115" s="185">
        <f>Economics!$I36</f>
        <v>1.96</v>
      </c>
      <c r="B115" s="189">
        <f t="shared" ref="B115:Y115" ca="1" si="37">IndGencost(B114,OFFSET(HeatRateStart,1,MATCH($A114,HeatRateNames,0)-1,250,1),$A115)</f>
        <v>19.883105092862071</v>
      </c>
      <c r="C115" s="189">
        <f t="shared" ca="1" si="37"/>
        <v>20.128592115895497</v>
      </c>
      <c r="D115" s="189">
        <f t="shared" ca="1" si="37"/>
        <v>21.409493048266363</v>
      </c>
      <c r="E115" s="189">
        <f ca="1">IndGencost(E114,OFFSET(HeatRateStart,1,MATCH($A114,HeatRateNames,0)-1,250,1),$A115)</f>
        <v>20.096411916554988</v>
      </c>
      <c r="F115" s="189">
        <f t="shared" ca="1" si="37"/>
        <v>19.800714979970774</v>
      </c>
      <c r="G115" s="189">
        <f t="shared" ca="1" si="37"/>
        <v>19.759240384568976</v>
      </c>
      <c r="H115" s="189">
        <f t="shared" ca="1" si="37"/>
        <v>19.769932384777071</v>
      </c>
      <c r="I115" s="189">
        <f t="shared" ca="1" si="37"/>
        <v>20.644513593288181</v>
      </c>
      <c r="J115" s="189">
        <f t="shared" ca="1" si="37"/>
        <v>21.409493048266363</v>
      </c>
      <c r="K115" s="189">
        <f t="shared" ca="1" si="37"/>
        <v>21.301833235104883</v>
      </c>
      <c r="L115" s="189">
        <f t="shared" ca="1" si="37"/>
        <v>21.409493048266363</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21.409493048266363</v>
      </c>
      <c r="T115" s="189">
        <f t="shared" ca="1" si="37"/>
        <v>21.409493048266363</v>
      </c>
      <c r="U115" s="189">
        <f t="shared" ca="1" si="37"/>
        <v>21.409493048266363</v>
      </c>
      <c r="V115" s="189">
        <f t="shared" ca="1" si="37"/>
        <v>21.409493048266363</v>
      </c>
      <c r="W115" s="189">
        <f t="shared" ca="1" si="37"/>
        <v>21.409493048266363</v>
      </c>
      <c r="X115" s="189">
        <f t="shared" ca="1" si="37"/>
        <v>21.409493048266363</v>
      </c>
      <c r="Y115" s="189">
        <f t="shared" ca="1" si="37"/>
        <v>21.409493048266363</v>
      </c>
      <c r="Z115" s="259">
        <f t="array" aca="1" ref="Z115" ca="1">SUM(B114:Y114*B115:Y115)</f>
        <v>23901.884905196199</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-19.883105092862071</v>
      </c>
      <c r="C118" s="188">
        <f t="shared" ca="1" si="39"/>
        <v>-20.128592115895497</v>
      </c>
      <c r="D118" s="188">
        <f t="shared" ca="1" si="39"/>
        <v>-21.409493048266363</v>
      </c>
      <c r="E118" s="188">
        <f t="shared" ca="1" si="39"/>
        <v>-20.096411916554988</v>
      </c>
      <c r="F118" s="188">
        <f t="shared" ca="1" si="39"/>
        <v>-19.800714979970774</v>
      </c>
      <c r="G118" s="188">
        <f t="shared" ca="1" si="39"/>
        <v>-19.759240384568976</v>
      </c>
      <c r="H118" s="188">
        <f t="shared" ca="1" si="39"/>
        <v>-19.769932384777071</v>
      </c>
      <c r="I118" s="188">
        <f t="shared" ca="1" si="39"/>
        <v>-20.644513593288181</v>
      </c>
      <c r="J118" s="188">
        <f t="shared" ca="1" si="39"/>
        <v>-21.409493048266363</v>
      </c>
      <c r="K118" s="188">
        <f t="shared" ca="1" si="39"/>
        <v>-21.301833235104883</v>
      </c>
      <c r="L118" s="188">
        <f t="shared" ca="1" si="39"/>
        <v>-21.409493048266363</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-21.409493048266363</v>
      </c>
      <c r="T118" s="188">
        <f t="shared" ca="1" si="39"/>
        <v>-21.409493048266363</v>
      </c>
      <c r="U118" s="188">
        <f t="shared" ca="1" si="39"/>
        <v>-21.409493048266363</v>
      </c>
      <c r="V118" s="188">
        <f t="shared" ca="1" si="39"/>
        <v>-21.409493048266363</v>
      </c>
      <c r="W118" s="188">
        <f t="shared" ca="1" si="39"/>
        <v>-21.409493048266363</v>
      </c>
      <c r="X118" s="188">
        <f t="shared" ca="1" si="39"/>
        <v>-21.409493048266363</v>
      </c>
      <c r="Y118" s="188">
        <f t="shared" ca="1" si="39"/>
        <v>-21.409493048266363</v>
      </c>
      <c r="Z118" s="260">
        <f ca="1">Z115-Z117</f>
        <v>23901.884905196199</v>
      </c>
    </row>
    <row r="119" spans="1:29" x14ac:dyDescent="0.2">
      <c r="A119" s="183" t="str">
        <f>Economics!A37</f>
        <v>GT 1</v>
      </c>
      <c r="B119" s="181">
        <f t="shared" ref="B119:Y119" si="40">B44</f>
        <v>20</v>
      </c>
      <c r="C119" s="181">
        <f t="shared" si="40"/>
        <v>20</v>
      </c>
      <c r="D119" s="181">
        <f t="shared" si="40"/>
        <v>20</v>
      </c>
      <c r="E119" s="181">
        <f>E44</f>
        <v>20</v>
      </c>
      <c r="F119" s="181">
        <f t="shared" si="40"/>
        <v>20</v>
      </c>
      <c r="G119" s="181">
        <f t="shared" si="40"/>
        <v>20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120</v>
      </c>
      <c r="AA119" s="318" t="s">
        <v>174</v>
      </c>
    </row>
    <row r="120" spans="1:29" x14ac:dyDescent="0.2">
      <c r="A120" s="185">
        <f>Economics!$I37</f>
        <v>1.96</v>
      </c>
      <c r="B120" s="189">
        <f t="shared" ref="B120:Y120" ca="1" si="41">IndGencost(B119,OFFSET(HeatRateStart,1,MATCH($A119,HeatRateNames,0)-1,250,1),$A120)</f>
        <v>33.930736660385129</v>
      </c>
      <c r="C120" s="189">
        <f t="shared" ca="1" si="41"/>
        <v>33.930736660385129</v>
      </c>
      <c r="D120" s="189">
        <f t="shared" ca="1" si="41"/>
        <v>33.930736660385129</v>
      </c>
      <c r="E120" s="189">
        <f ca="1">IndGencost(E119,OFFSET(HeatRateStart,1,MATCH($A119,HeatRateNames,0)-1,250,1),$A120)</f>
        <v>33.930736660385129</v>
      </c>
      <c r="F120" s="189">
        <f t="shared" ca="1" si="41"/>
        <v>33.930736660385129</v>
      </c>
      <c r="G120" s="189">
        <f t="shared" ca="1" si="41"/>
        <v>33.930736660385129</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4071.6883992462153</v>
      </c>
      <c r="AA120" s="318" t="s">
        <v>167</v>
      </c>
    </row>
    <row r="121" spans="1:29" x14ac:dyDescent="0.2">
      <c r="A121" s="184" t="s">
        <v>163</v>
      </c>
      <c r="B121" s="186">
        <f t="shared" ref="B121:Y121" si="42">B119</f>
        <v>20</v>
      </c>
      <c r="C121" s="186">
        <f t="shared" si="42"/>
        <v>20</v>
      </c>
      <c r="D121" s="186">
        <f t="shared" si="42"/>
        <v>20</v>
      </c>
      <c r="E121" s="186">
        <f t="shared" si="42"/>
        <v>20</v>
      </c>
      <c r="F121" s="186">
        <f t="shared" si="42"/>
        <v>20</v>
      </c>
      <c r="G121" s="186">
        <f t="shared" si="42"/>
        <v>20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120</v>
      </c>
    </row>
    <row r="122" spans="1:29" x14ac:dyDescent="0.2">
      <c r="A122" s="182"/>
      <c r="B122" s="190">
        <f t="shared" ref="B122:Y122" ca="1" si="43">IndGencost(B121,OFFSET(HeatRateStart,1,MATCH($A119,HeatRateNames,0)-1,250,1),$A120)</f>
        <v>33.930736660385129</v>
      </c>
      <c r="C122" s="190">
        <f t="shared" ca="1" si="43"/>
        <v>33.930736660385129</v>
      </c>
      <c r="D122" s="190">
        <f t="shared" ca="1" si="43"/>
        <v>33.930736660385129</v>
      </c>
      <c r="E122" s="190">
        <f ca="1">IndGencost(E121,OFFSET(HeatRateStart,1,MATCH($A119,HeatRateNames,0)-1,250,1),$A120)</f>
        <v>33.930736660385129</v>
      </c>
      <c r="F122" s="190">
        <f t="shared" ca="1" si="43"/>
        <v>33.930736660385129</v>
      </c>
      <c r="G122" s="190">
        <f t="shared" ca="1" si="43"/>
        <v>33.930736660385129</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4071.6883992462153</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4071.6883992462153</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4071.6883992462153</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135</v>
      </c>
      <c r="I139" s="181">
        <f t="shared" si="59"/>
        <v>215</v>
      </c>
      <c r="J139" s="181">
        <f t="shared" si="59"/>
        <v>212</v>
      </c>
      <c r="K139" s="181">
        <f t="shared" si="59"/>
        <v>215</v>
      </c>
      <c r="L139" s="181">
        <f t="shared" si="59"/>
        <v>209</v>
      </c>
      <c r="M139" s="181">
        <f t="shared" si="59"/>
        <v>205</v>
      </c>
      <c r="N139" s="181">
        <f t="shared" si="59"/>
        <v>185</v>
      </c>
      <c r="O139" s="181">
        <f t="shared" si="59"/>
        <v>161</v>
      </c>
      <c r="P139" s="181">
        <f t="shared" si="59"/>
        <v>152</v>
      </c>
      <c r="Q139" s="181">
        <f t="shared" si="59"/>
        <v>120</v>
      </c>
      <c r="R139" s="181">
        <f t="shared" si="59"/>
        <v>105</v>
      </c>
      <c r="S139" s="181">
        <f t="shared" si="59"/>
        <v>115</v>
      </c>
      <c r="T139" s="181">
        <f t="shared" si="59"/>
        <v>147</v>
      </c>
      <c r="U139" s="181">
        <f t="shared" si="59"/>
        <v>158</v>
      </c>
      <c r="V139" s="181">
        <f t="shared" si="59"/>
        <v>152</v>
      </c>
      <c r="W139" s="181">
        <f t="shared" si="59"/>
        <v>167</v>
      </c>
      <c r="X139" s="181">
        <f t="shared" si="59"/>
        <v>101</v>
      </c>
      <c r="Y139" s="181">
        <f t="shared" si="59"/>
        <v>130</v>
      </c>
      <c r="Z139" s="219">
        <f>SUM(B139:Y139)</f>
        <v>2884</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19.350020833271106</v>
      </c>
      <c r="I140" s="189">
        <f t="shared" ca="1" si="60"/>
        <v>17.969902273697038</v>
      </c>
      <c r="J140" s="189">
        <f t="shared" ca="1" si="60"/>
        <v>17.9872609980814</v>
      </c>
      <c r="K140" s="189">
        <f t="shared" ca="1" si="60"/>
        <v>17.969902273697038</v>
      </c>
      <c r="L140" s="189">
        <f t="shared" ca="1" si="60"/>
        <v>18.006350943151507</v>
      </c>
      <c r="M140" s="189">
        <f t="shared" ca="1" si="60"/>
        <v>18.034628579539888</v>
      </c>
      <c r="N140" s="189">
        <f t="shared" ca="1" si="60"/>
        <v>18.231501034024166</v>
      </c>
      <c r="O140" s="189">
        <f t="shared" ca="1" si="60"/>
        <v>18.62620554782136</v>
      </c>
      <c r="P140" s="189">
        <f t="shared" ca="1" si="60"/>
        <v>18.834325458778125</v>
      </c>
      <c r="Q140" s="189">
        <f t="shared" ca="1" si="60"/>
        <v>19.983646868936539</v>
      </c>
      <c r="R140" s="189">
        <f t="shared" ca="1" si="60"/>
        <v>20.85965957598615</v>
      </c>
      <c r="S140" s="189">
        <f t="shared" ca="1" si="60"/>
        <v>20.244035451830499</v>
      </c>
      <c r="T140" s="189">
        <f t="shared" ca="1" si="60"/>
        <v>18.967776007164908</v>
      </c>
      <c r="U140" s="189">
        <f t="shared" ca="1" si="60"/>
        <v>18.69131358186014</v>
      </c>
      <c r="V140" s="189">
        <f t="shared" ca="1" si="60"/>
        <v>18.834325458778125</v>
      </c>
      <c r="W140" s="189">
        <f t="shared" ca="1" si="60"/>
        <v>18.507635964436869</v>
      </c>
      <c r="X140" s="189">
        <f t="shared" ca="1" si="60"/>
        <v>21.147979955696663</v>
      </c>
      <c r="Y140" s="189">
        <f t="shared" ca="1" si="60"/>
        <v>19.539476861830234</v>
      </c>
      <c r="Z140" s="259">
        <f t="array" aca="1" ref="Z140" ca="1">SUM(B139:Y139*B140:Y140)</f>
        <v>54135.027800984019</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0.18945602855912824</v>
      </c>
      <c r="I143" s="188">
        <f t="shared" ca="1" si="62"/>
        <v>2.2741331781334608</v>
      </c>
      <c r="J143" s="188">
        <f t="shared" ca="1" si="62"/>
        <v>2.2567744537490988</v>
      </c>
      <c r="K143" s="188">
        <f t="shared" ca="1" si="62"/>
        <v>2.2741331781334608</v>
      </c>
      <c r="L143" s="188">
        <f t="shared" ca="1" si="62"/>
        <v>2.237684508678992</v>
      </c>
      <c r="M143" s="188">
        <f t="shared" ca="1" si="62"/>
        <v>2.2094068722906108</v>
      </c>
      <c r="N143" s="188">
        <f t="shared" ca="1" si="62"/>
        <v>2.0125344178063322</v>
      </c>
      <c r="O143" s="188">
        <f t="shared" ca="1" si="62"/>
        <v>1.6178299040091382</v>
      </c>
      <c r="P143" s="188">
        <f t="shared" ca="1" si="62"/>
        <v>1.409709993052374</v>
      </c>
      <c r="Q143" s="188">
        <f t="shared" ca="1" si="62"/>
        <v>0.26038858289395961</v>
      </c>
      <c r="R143" s="188">
        <f t="shared" ca="1" si="62"/>
        <v>-0.61562412415565149</v>
      </c>
      <c r="S143" s="188">
        <f t="shared" ca="1" si="62"/>
        <v>0</v>
      </c>
      <c r="T143" s="188">
        <f t="shared" ca="1" si="62"/>
        <v>-0.7362749731407412</v>
      </c>
      <c r="U143" s="188">
        <f t="shared" ca="1" si="62"/>
        <v>-0.45981254783597336</v>
      </c>
      <c r="V143" s="188">
        <f t="shared" ca="1" si="62"/>
        <v>-0.3805620960878997</v>
      </c>
      <c r="W143" s="188">
        <f t="shared" ca="1" si="62"/>
        <v>3.7870988327707522E-2</v>
      </c>
      <c r="X143" s="188">
        <f t="shared" ca="1" si="62"/>
        <v>-2.1228646002433571</v>
      </c>
      <c r="Y143" s="188">
        <f t="shared" ca="1" si="62"/>
        <v>-0.5143615063769289</v>
      </c>
      <c r="Z143" s="260">
        <f ca="1">Z140-Z142</f>
        <v>-7579.0356960408099</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828</v>
      </c>
      <c r="C164" s="303">
        <f t="shared" si="80"/>
        <v>792</v>
      </c>
      <c r="D164" s="303">
        <f t="shared" si="80"/>
        <v>769</v>
      </c>
      <c r="E164" s="303">
        <f t="shared" si="80"/>
        <v>789</v>
      </c>
      <c r="F164" s="303">
        <f t="shared" si="80"/>
        <v>805</v>
      </c>
      <c r="G164" s="303">
        <f t="shared" si="80"/>
        <v>833</v>
      </c>
      <c r="H164" s="303">
        <f t="shared" si="80"/>
        <v>963</v>
      </c>
      <c r="I164" s="303">
        <f t="shared" si="80"/>
        <v>951</v>
      </c>
      <c r="J164" s="303">
        <f t="shared" si="80"/>
        <v>942</v>
      </c>
      <c r="K164" s="303">
        <f t="shared" si="80"/>
        <v>943</v>
      </c>
      <c r="L164" s="303">
        <f t="shared" si="80"/>
        <v>936</v>
      </c>
      <c r="M164" s="303">
        <f t="shared" si="80"/>
        <v>880</v>
      </c>
      <c r="N164" s="303">
        <f t="shared" si="80"/>
        <v>912</v>
      </c>
      <c r="O164" s="303">
        <f t="shared" si="80"/>
        <v>888</v>
      </c>
      <c r="P164" s="303">
        <f t="shared" si="80"/>
        <v>879</v>
      </c>
      <c r="Q164" s="303">
        <f t="shared" si="80"/>
        <v>849</v>
      </c>
      <c r="R164" s="303">
        <f t="shared" si="80"/>
        <v>833</v>
      </c>
      <c r="S164" s="303">
        <f t="shared" si="80"/>
        <v>856</v>
      </c>
      <c r="T164" s="303">
        <f t="shared" si="80"/>
        <v>935</v>
      </c>
      <c r="U164" s="303">
        <f t="shared" si="80"/>
        <v>921</v>
      </c>
      <c r="V164" s="303">
        <f t="shared" si="80"/>
        <v>915</v>
      </c>
      <c r="W164" s="303">
        <f t="shared" si="80"/>
        <v>895</v>
      </c>
      <c r="X164" s="303">
        <f t="shared" si="80"/>
        <v>829</v>
      </c>
      <c r="Y164" s="304">
        <f t="shared" si="80"/>
        <v>858</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888</v>
      </c>
      <c r="E165" s="306">
        <f t="shared" si="81"/>
        <v>888</v>
      </c>
      <c r="F165" s="306">
        <f t="shared" si="81"/>
        <v>898</v>
      </c>
      <c r="G165" s="306">
        <f t="shared" si="81"/>
        <v>908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-30806.51575170198</v>
      </c>
    </row>
    <row r="166" spans="1:27" x14ac:dyDescent="0.2">
      <c r="A166" s="330" t="s">
        <v>184</v>
      </c>
      <c r="B166" s="331">
        <f t="shared" ref="B166:Y166" si="82">B165-B164</f>
        <v>191</v>
      </c>
      <c r="C166" s="331">
        <f t="shared" si="82"/>
        <v>126</v>
      </c>
      <c r="D166" s="331">
        <f t="shared" si="82"/>
        <v>119</v>
      </c>
      <c r="E166" s="331">
        <f t="shared" si="82"/>
        <v>99</v>
      </c>
      <c r="F166" s="331">
        <f t="shared" si="82"/>
        <v>93</v>
      </c>
      <c r="G166" s="331">
        <f t="shared" si="82"/>
        <v>75</v>
      </c>
      <c r="H166" s="331">
        <f t="shared" si="82"/>
        <v>-69</v>
      </c>
      <c r="I166" s="331">
        <f t="shared" si="82"/>
        <v>-72</v>
      </c>
      <c r="J166" s="331">
        <f t="shared" si="82"/>
        <v>-63</v>
      </c>
      <c r="K166" s="331">
        <f t="shared" si="82"/>
        <v>-64</v>
      </c>
      <c r="L166" s="331">
        <f t="shared" si="82"/>
        <v>-6</v>
      </c>
      <c r="M166" s="331">
        <f t="shared" si="82"/>
        <v>50</v>
      </c>
      <c r="N166" s="331">
        <f t="shared" si="82"/>
        <v>18</v>
      </c>
      <c r="O166" s="331">
        <f t="shared" si="82"/>
        <v>42</v>
      </c>
      <c r="P166" s="331">
        <f t="shared" si="82"/>
        <v>51</v>
      </c>
      <c r="Q166" s="331">
        <f t="shared" si="82"/>
        <v>81</v>
      </c>
      <c r="R166" s="331">
        <f t="shared" si="82"/>
        <v>97</v>
      </c>
      <c r="S166" s="331">
        <f t="shared" si="82"/>
        <v>74</v>
      </c>
      <c r="T166" s="331">
        <f t="shared" si="82"/>
        <v>94</v>
      </c>
      <c r="U166" s="331">
        <f t="shared" si="82"/>
        <v>133</v>
      </c>
      <c r="V166" s="331">
        <f t="shared" si="82"/>
        <v>53</v>
      </c>
      <c r="W166" s="331">
        <f t="shared" si="82"/>
        <v>43</v>
      </c>
      <c r="X166" s="331">
        <f t="shared" si="82"/>
        <v>80</v>
      </c>
      <c r="Y166" s="332">
        <f t="shared" si="82"/>
        <v>51</v>
      </c>
      <c r="Z166" s="336">
        <f>SUM(B166:Y166)</f>
        <v>1296</v>
      </c>
    </row>
    <row r="167" spans="1:27" s="325" customFormat="1" ht="32.25" customHeight="1" thickBot="1" x14ac:dyDescent="0.25">
      <c r="A167" s="333" t="s">
        <v>185</v>
      </c>
      <c r="B167" s="334">
        <f t="shared" ref="B167:Y167" ca="1" si="83">B58</f>
        <v>34</v>
      </c>
      <c r="C167" s="334">
        <f t="shared" ca="1" si="83"/>
        <v>1</v>
      </c>
      <c r="D167" s="334">
        <f t="shared" ca="1" si="83"/>
        <v>4</v>
      </c>
      <c r="E167" s="334">
        <f ca="1">E58</f>
        <v>6</v>
      </c>
      <c r="F167" s="334">
        <f t="shared" ca="1" si="83"/>
        <v>10</v>
      </c>
      <c r="G167" s="334">
        <f t="shared" ca="1" si="83"/>
        <v>-1</v>
      </c>
      <c r="H167" s="334">
        <f t="shared" ca="1" si="83"/>
        <v>21</v>
      </c>
      <c r="I167" s="334">
        <f t="shared" ca="1" si="83"/>
        <v>9</v>
      </c>
      <c r="J167" s="334">
        <f t="shared" ca="1" si="83"/>
        <v>5</v>
      </c>
      <c r="K167" s="334">
        <f t="shared" ca="1" si="83"/>
        <v>1</v>
      </c>
      <c r="L167" s="334">
        <f t="shared" ca="1" si="83"/>
        <v>-1</v>
      </c>
      <c r="M167" s="334">
        <f t="shared" ca="1" si="83"/>
        <v>2</v>
      </c>
      <c r="N167" s="334">
        <f t="shared" ca="1" si="83"/>
        <v>-2</v>
      </c>
      <c r="O167" s="334">
        <f t="shared" ca="1" si="83"/>
        <v>0</v>
      </c>
      <c r="P167" s="334">
        <f t="shared" ca="1" si="83"/>
        <v>-6</v>
      </c>
      <c r="Q167" s="334">
        <f t="shared" ca="1" si="83"/>
        <v>1</v>
      </c>
      <c r="R167" s="334">
        <f t="shared" ca="1" si="83"/>
        <v>0</v>
      </c>
      <c r="S167" s="334">
        <f t="shared" ca="1" si="83"/>
        <v>-7</v>
      </c>
      <c r="T167" s="334">
        <f t="shared" ca="1" si="83"/>
        <v>3</v>
      </c>
      <c r="U167" s="334">
        <f t="shared" ca="1" si="83"/>
        <v>-2</v>
      </c>
      <c r="V167" s="334">
        <f t="shared" ca="1" si="83"/>
        <v>-5</v>
      </c>
      <c r="W167" s="334">
        <f t="shared" ca="1" si="83"/>
        <v>-4</v>
      </c>
      <c r="X167" s="334">
        <f t="shared" ca="1" si="83"/>
        <v>7</v>
      </c>
      <c r="Y167" s="335">
        <f t="shared" ca="1" si="83"/>
        <v>-1</v>
      </c>
      <c r="Z167" s="323">
        <f ca="1">SUM(B167:Y167)</f>
        <v>75</v>
      </c>
      <c r="AA167" s="324"/>
    </row>
    <row r="168" spans="1:27" ht="13.5" hidden="1" thickBot="1" x14ac:dyDescent="0.25">
      <c r="A168" s="326" t="s">
        <v>186</v>
      </c>
      <c r="B168" s="327">
        <f t="shared" ref="B168:Y168" ca="1" si="84">B167+B166</f>
        <v>225</v>
      </c>
      <c r="C168" s="327">
        <f t="shared" ca="1" si="84"/>
        <v>127</v>
      </c>
      <c r="D168" s="327">
        <f t="shared" ca="1" si="84"/>
        <v>123</v>
      </c>
      <c r="E168" s="327">
        <f t="shared" ca="1" si="84"/>
        <v>105</v>
      </c>
      <c r="F168" s="327">
        <f t="shared" ca="1" si="84"/>
        <v>103</v>
      </c>
      <c r="G168" s="327">
        <f t="shared" ca="1" si="84"/>
        <v>74</v>
      </c>
      <c r="H168" s="327">
        <f t="shared" ca="1" si="84"/>
        <v>-48</v>
      </c>
      <c r="I168" s="327">
        <f t="shared" ca="1" si="84"/>
        <v>-63</v>
      </c>
      <c r="J168" s="327">
        <f t="shared" ca="1" si="84"/>
        <v>-58</v>
      </c>
      <c r="K168" s="327">
        <f t="shared" ca="1" si="84"/>
        <v>-63</v>
      </c>
      <c r="L168" s="327">
        <f t="shared" ca="1" si="84"/>
        <v>-7</v>
      </c>
      <c r="M168" s="327">
        <f t="shared" ca="1" si="84"/>
        <v>52</v>
      </c>
      <c r="N168" s="327">
        <f t="shared" ca="1" si="84"/>
        <v>16</v>
      </c>
      <c r="O168" s="327">
        <f t="shared" ca="1" si="84"/>
        <v>42</v>
      </c>
      <c r="P168" s="327">
        <f t="shared" ca="1" si="84"/>
        <v>45</v>
      </c>
      <c r="Q168" s="327">
        <f t="shared" ca="1" si="84"/>
        <v>82</v>
      </c>
      <c r="R168" s="327">
        <f t="shared" ca="1" si="84"/>
        <v>97</v>
      </c>
      <c r="S168" s="327">
        <f t="shared" ca="1" si="84"/>
        <v>67</v>
      </c>
      <c r="T168" s="327">
        <f t="shared" ca="1" si="84"/>
        <v>97</v>
      </c>
      <c r="U168" s="327">
        <f t="shared" ca="1" si="84"/>
        <v>131</v>
      </c>
      <c r="V168" s="327">
        <f t="shared" ca="1" si="84"/>
        <v>48</v>
      </c>
      <c r="W168" s="327">
        <f t="shared" ca="1" si="84"/>
        <v>39</v>
      </c>
      <c r="X168" s="327">
        <f t="shared" ca="1" si="84"/>
        <v>87</v>
      </c>
      <c r="Y168" s="327">
        <f t="shared" ca="1" si="84"/>
        <v>50</v>
      </c>
      <c r="Z168" s="328">
        <f ca="1">SUM(B168:Y168)</f>
        <v>1371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1371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232</v>
      </c>
      <c r="C171" s="338">
        <f t="shared" si="85"/>
        <v>198</v>
      </c>
      <c r="D171" s="338">
        <f t="shared" si="85"/>
        <v>221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201</v>
      </c>
      <c r="F171" s="338">
        <f t="shared" si="85"/>
        <v>185</v>
      </c>
      <c r="G171" s="338">
        <f t="shared" si="85"/>
        <v>157</v>
      </c>
      <c r="H171" s="338">
        <f t="shared" si="85"/>
        <v>112</v>
      </c>
      <c r="I171" s="338">
        <f t="shared" si="85"/>
        <v>124</v>
      </c>
      <c r="J171" s="338">
        <f t="shared" si="85"/>
        <v>133</v>
      </c>
      <c r="K171" s="338">
        <f t="shared" si="85"/>
        <v>132</v>
      </c>
      <c r="L171" s="338">
        <f t="shared" si="85"/>
        <v>139</v>
      </c>
      <c r="M171" s="338">
        <f t="shared" si="85"/>
        <v>92</v>
      </c>
      <c r="N171" s="338">
        <f t="shared" si="85"/>
        <v>163</v>
      </c>
      <c r="O171" s="338">
        <f t="shared" si="85"/>
        <v>187</v>
      </c>
      <c r="P171" s="338">
        <f t="shared" si="85"/>
        <v>196</v>
      </c>
      <c r="Q171" s="338">
        <f t="shared" si="85"/>
        <v>221</v>
      </c>
      <c r="R171" s="338">
        <f t="shared" si="85"/>
        <v>222</v>
      </c>
      <c r="S171" s="338">
        <f t="shared" si="85"/>
        <v>279</v>
      </c>
      <c r="T171" s="338">
        <f t="shared" si="85"/>
        <v>210</v>
      </c>
      <c r="U171" s="338">
        <f t="shared" si="85"/>
        <v>224</v>
      </c>
      <c r="V171" s="338">
        <f t="shared" si="85"/>
        <v>230</v>
      </c>
      <c r="W171" s="338">
        <f t="shared" si="85"/>
        <v>180</v>
      </c>
      <c r="X171" s="338">
        <f t="shared" si="85"/>
        <v>222</v>
      </c>
      <c r="Y171" s="339">
        <f t="shared" si="85"/>
        <v>217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-30806.515751701983</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1"/>
  <sheetViews>
    <sheetView showGridLines="0" zoomScale="60" zoomScaleNormal="65" workbookViewId="0">
      <selection activeCell="AC3" sqref="AC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59</v>
      </c>
      <c r="G3" s="660">
        <v>84</v>
      </c>
      <c r="H3" s="660">
        <v>75</v>
      </c>
      <c r="I3" s="660">
        <v>75</v>
      </c>
      <c r="J3" s="660">
        <v>75</v>
      </c>
      <c r="K3" s="660">
        <v>75</v>
      </c>
      <c r="L3" s="660">
        <v>84</v>
      </c>
      <c r="M3" s="660">
        <v>108</v>
      </c>
      <c r="N3" s="660">
        <v>108</v>
      </c>
      <c r="O3" s="660">
        <v>108</v>
      </c>
      <c r="P3" s="660">
        <v>108</v>
      </c>
      <c r="Q3" s="660">
        <v>108</v>
      </c>
      <c r="R3" s="660">
        <v>108</v>
      </c>
      <c r="S3" s="660">
        <v>108</v>
      </c>
      <c r="T3" s="660">
        <v>108</v>
      </c>
      <c r="U3" s="660">
        <v>108</v>
      </c>
      <c r="V3" s="660">
        <v>100</v>
      </c>
      <c r="W3" s="660">
        <v>100</v>
      </c>
      <c r="X3" s="660">
        <v>108</v>
      </c>
      <c r="Y3" s="660">
        <v>108</v>
      </c>
      <c r="Z3" s="660">
        <v>108</v>
      </c>
      <c r="AA3" s="660">
        <v>100</v>
      </c>
      <c r="AB3" s="660">
        <v>100</v>
      </c>
      <c r="AC3" s="660">
        <v>84</v>
      </c>
      <c r="AD3" s="601">
        <f>SUM(F3:AC3)</f>
        <v>2307</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50</v>
      </c>
      <c r="G4" s="598">
        <v>50</v>
      </c>
      <c r="H4" s="598">
        <v>50</v>
      </c>
      <c r="I4" s="598">
        <v>55</v>
      </c>
      <c r="J4" s="598">
        <v>55</v>
      </c>
      <c r="K4" s="598">
        <v>60</v>
      </c>
      <c r="L4" s="598">
        <v>70</v>
      </c>
      <c r="M4" s="598">
        <v>75</v>
      </c>
      <c r="N4" s="598">
        <v>75</v>
      </c>
      <c r="O4" s="598">
        <v>75</v>
      </c>
      <c r="P4" s="598">
        <v>75</v>
      </c>
      <c r="Q4" s="598">
        <v>75</v>
      </c>
      <c r="R4" s="598">
        <v>75</v>
      </c>
      <c r="S4" s="598">
        <v>75</v>
      </c>
      <c r="T4" s="598">
        <v>70</v>
      </c>
      <c r="U4" s="598">
        <v>70</v>
      </c>
      <c r="V4" s="598">
        <v>70</v>
      </c>
      <c r="W4" s="598">
        <v>75</v>
      </c>
      <c r="X4" s="598">
        <v>75</v>
      </c>
      <c r="Y4" s="598">
        <v>75</v>
      </c>
      <c r="Z4" s="598">
        <v>75</v>
      </c>
      <c r="AA4" s="598">
        <v>70</v>
      </c>
      <c r="AB4" s="598">
        <v>65</v>
      </c>
      <c r="AC4" s="598">
        <v>60</v>
      </c>
      <c r="AD4" s="565">
        <f>SUM(F4:AC4)</f>
        <v>1620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c r="G7" s="676">
        <v>-100</v>
      </c>
      <c r="H7" s="676">
        <v>-100</v>
      </c>
      <c r="I7" s="676">
        <v>-100</v>
      </c>
      <c r="J7" s="676">
        <v>-100</v>
      </c>
      <c r="K7" s="676">
        <v>-100</v>
      </c>
      <c r="L7" s="676">
        <v>-130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-100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F95</f>
        <v>0</v>
      </c>
      <c r="E17" s="472"/>
      <c r="F17" s="475">
        <v>0</v>
      </c>
      <c r="G17" s="625"/>
      <c r="H17" s="475"/>
      <c r="I17" s="472">
        <f>K95</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F96</f>
        <v>0</v>
      </c>
      <c r="E18" s="472"/>
      <c r="F18" s="475"/>
      <c r="G18" s="475"/>
      <c r="H18" s="475"/>
      <c r="I18" s="472">
        <f>K96</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F97</f>
        <v>0</v>
      </c>
      <c r="E19" s="472"/>
      <c r="F19" s="475"/>
      <c r="G19" s="625"/>
      <c r="H19" s="475"/>
      <c r="I19" s="472">
        <f>K97</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F98</f>
        <v>0</v>
      </c>
      <c r="E20" s="472"/>
      <c r="F20" s="475"/>
      <c r="G20" s="625"/>
      <c r="H20" s="475"/>
      <c r="I20" s="472">
        <f>K98</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F99</f>
        <v>0</v>
      </c>
      <c r="E21" s="472"/>
      <c r="F21" s="475"/>
      <c r="G21" s="625"/>
      <c r="H21" s="475"/>
      <c r="I21" s="472">
        <f t="shared" ref="I21:I40" si="4">K99</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F125</f>
        <v>0</v>
      </c>
      <c r="E42" s="472"/>
      <c r="F42" s="475">
        <v>0</v>
      </c>
      <c r="G42" s="475"/>
      <c r="H42" s="475"/>
      <c r="I42" s="472">
        <f t="shared" ref="I42:I64" si="6">K125</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655"/>
      <c r="J66" s="475"/>
      <c r="K66" s="475"/>
      <c r="L66" s="475"/>
      <c r="M66" s="475"/>
      <c r="N66" s="475"/>
      <c r="O66" s="475"/>
      <c r="P66" s="475"/>
      <c r="Q66" s="475"/>
      <c r="R66" s="475"/>
      <c r="S66" s="688"/>
      <c r="T66" s="475"/>
      <c r="U66" s="475"/>
      <c r="V66" s="475"/>
      <c r="W66" s="475"/>
      <c r="X66" s="475"/>
      <c r="Y66" s="475"/>
      <c r="Z66" s="475"/>
      <c r="AA66" s="475"/>
      <c r="AB66" s="475"/>
      <c r="AC66" s="475"/>
      <c r="AD66" s="563">
        <f t="shared" ref="AD66:AD74" si="9">SUM(E66:AC66)</f>
        <v>0</v>
      </c>
      <c r="AE66" s="649">
        <f t="shared" ref="AE66:AE74" si="10">AD66*D66</f>
        <v>0</v>
      </c>
      <c r="AF66" s="650" t="str">
        <f t="shared" ref="AF66:AF74" si="11">IF(AD66&lt;0,"buy","sell")</f>
        <v>sell</v>
      </c>
    </row>
    <row r="67" spans="1:32" s="356" customFormat="1" ht="12.75" customHeight="1" x14ac:dyDescent="0.2">
      <c r="A67" s="585" t="s">
        <v>386</v>
      </c>
      <c r="B67" s="587" t="s">
        <v>240</v>
      </c>
      <c r="C67" s="584" t="s">
        <v>151</v>
      </c>
      <c r="D67" s="655"/>
      <c r="E67" s="654"/>
      <c r="F67" s="475"/>
      <c r="G67" s="475">
        <v>25</v>
      </c>
      <c r="H67" s="475">
        <v>25</v>
      </c>
      <c r="I67" s="475">
        <v>25</v>
      </c>
      <c r="J67" s="475">
        <v>25</v>
      </c>
      <c r="K67" s="475">
        <v>25</v>
      </c>
      <c r="L67" s="475">
        <v>25</v>
      </c>
      <c r="M67" s="475"/>
      <c r="N67" s="475"/>
      <c r="O67" s="475"/>
      <c r="P67" s="475"/>
      <c r="Q67" s="475"/>
      <c r="R67" s="475"/>
      <c r="S67" s="475"/>
      <c r="T67" s="475"/>
      <c r="U67" s="475"/>
      <c r="V67" s="475"/>
      <c r="W67" s="475"/>
      <c r="X67" s="475"/>
      <c r="Y67" s="475"/>
      <c r="Z67" s="475"/>
      <c r="AA67" s="475"/>
      <c r="AB67" s="475"/>
      <c r="AC67" s="475">
        <v>25</v>
      </c>
      <c r="AD67" s="563">
        <f t="shared" si="9"/>
        <v>175</v>
      </c>
      <c r="AE67" s="649">
        <f t="shared" si="10"/>
        <v>0</v>
      </c>
      <c r="AF67" s="650" t="str">
        <f t="shared" si="11"/>
        <v>sell</v>
      </c>
    </row>
    <row r="68" spans="1:32" s="356" customFormat="1" ht="12.75" customHeight="1" x14ac:dyDescent="0.2">
      <c r="A68" s="585" t="s">
        <v>386</v>
      </c>
      <c r="B68" s="587" t="s">
        <v>240</v>
      </c>
      <c r="C68" s="584" t="s">
        <v>151</v>
      </c>
      <c r="D68" s="655"/>
      <c r="E68" s="654"/>
      <c r="F68" s="475"/>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SUM(E68:AC68)</f>
        <v>175</v>
      </c>
      <c r="AE68" s="649">
        <f>AD68*D68</f>
        <v>0</v>
      </c>
      <c r="AF68" s="650" t="str">
        <f>IF(AD68&lt;0,"buy","sell")</f>
        <v>sell</v>
      </c>
    </row>
    <row r="69" spans="1:32" s="356" customFormat="1" ht="12.75" customHeight="1" x14ac:dyDescent="0.2">
      <c r="A69" s="585" t="s">
        <v>386</v>
      </c>
      <c r="B69" s="587" t="s">
        <v>240</v>
      </c>
      <c r="C69" s="584" t="s">
        <v>151</v>
      </c>
      <c r="D69" s="655"/>
      <c r="E69" s="654"/>
      <c r="F69" s="475"/>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 t="shared" si="9"/>
        <v>175</v>
      </c>
      <c r="AE69" s="649">
        <f t="shared" si="10"/>
        <v>0</v>
      </c>
      <c r="AF69" s="650" t="str">
        <f t="shared" si="11"/>
        <v>sell</v>
      </c>
    </row>
    <row r="70" spans="1:32" s="356" customFormat="1" ht="12.75" customHeight="1" x14ac:dyDescent="0.2">
      <c r="A70" s="585" t="s">
        <v>65</v>
      </c>
      <c r="B70" s="584" t="s">
        <v>240</v>
      </c>
      <c r="C70" s="584" t="s">
        <v>151</v>
      </c>
      <c r="D70" s="655"/>
      <c r="E70" s="654"/>
      <c r="F70" s="475"/>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475">
        <v>25</v>
      </c>
      <c r="AD70" s="563">
        <f t="shared" si="9"/>
        <v>175</v>
      </c>
      <c r="AE70" s="649">
        <f t="shared" si="10"/>
        <v>0</v>
      </c>
      <c r="AF70" s="650" t="str">
        <f t="shared" si="11"/>
        <v>sell</v>
      </c>
    </row>
    <row r="71" spans="1:32" s="356" customFormat="1" ht="12.75" customHeight="1" x14ac:dyDescent="0.2">
      <c r="A71" s="585" t="s">
        <v>224</v>
      </c>
      <c r="B71" s="584" t="s">
        <v>240</v>
      </c>
      <c r="C71" s="584" t="s">
        <v>268</v>
      </c>
      <c r="D71" s="655">
        <v>22.25</v>
      </c>
      <c r="E71" s="654"/>
      <c r="F71" s="475">
        <v>25</v>
      </c>
      <c r="G71" s="475">
        <v>25</v>
      </c>
      <c r="H71" s="475">
        <v>25</v>
      </c>
      <c r="I71" s="475">
        <v>25</v>
      </c>
      <c r="J71" s="475">
        <v>25</v>
      </c>
      <c r="K71" s="475">
        <v>25</v>
      </c>
      <c r="L71" s="475">
        <v>25</v>
      </c>
      <c r="M71" s="475"/>
      <c r="N71" s="475"/>
      <c r="O71" s="475"/>
      <c r="P71" s="475"/>
      <c r="Q71" s="475"/>
      <c r="R71" s="475"/>
      <c r="S71" s="475"/>
      <c r="T71" s="475"/>
      <c r="U71" s="475"/>
      <c r="V71" s="475"/>
      <c r="W71" s="475"/>
      <c r="X71" s="475"/>
      <c r="Y71" s="475"/>
      <c r="Z71" s="475"/>
      <c r="AA71" s="475"/>
      <c r="AB71" s="475"/>
      <c r="AC71" s="475">
        <v>25</v>
      </c>
      <c r="AD71" s="563">
        <f>SUM(E71:AC71)</f>
        <v>200</v>
      </c>
      <c r="AE71" s="649">
        <f>AD71*D71</f>
        <v>4450</v>
      </c>
      <c r="AF71" s="650" t="str">
        <f>IF(AD71&lt;0,"buy","sell")</f>
        <v>sell</v>
      </c>
    </row>
    <row r="72" spans="1:32" s="356" customFormat="1" ht="12.75" customHeight="1" x14ac:dyDescent="0.2">
      <c r="A72" s="585" t="s">
        <v>63</v>
      </c>
      <c r="B72" s="584" t="s">
        <v>240</v>
      </c>
      <c r="C72" s="584" t="s">
        <v>268</v>
      </c>
      <c r="D72" s="655"/>
      <c r="E72" s="654"/>
      <c r="F72" s="475"/>
      <c r="G72" s="475"/>
      <c r="H72" s="475"/>
      <c r="I72" s="475"/>
      <c r="J72" s="475"/>
      <c r="K72" s="475"/>
      <c r="L72" s="475"/>
      <c r="M72" s="475">
        <v>30</v>
      </c>
      <c r="N72" s="475">
        <v>30</v>
      </c>
      <c r="O72" s="475">
        <v>30</v>
      </c>
      <c r="P72" s="475">
        <v>30</v>
      </c>
      <c r="Q72" s="475">
        <v>30</v>
      </c>
      <c r="R72" s="475">
        <v>30</v>
      </c>
      <c r="S72" s="475">
        <v>30</v>
      </c>
      <c r="T72" s="475">
        <v>30</v>
      </c>
      <c r="U72" s="475">
        <v>30</v>
      </c>
      <c r="V72" s="475">
        <v>30</v>
      </c>
      <c r="W72" s="475">
        <v>30</v>
      </c>
      <c r="X72" s="475">
        <v>30</v>
      </c>
      <c r="Y72" s="475">
        <v>30</v>
      </c>
      <c r="Z72" s="475">
        <v>30</v>
      </c>
      <c r="AA72" s="475">
        <v>30</v>
      </c>
      <c r="AB72" s="475">
        <v>30</v>
      </c>
      <c r="AC72" s="475"/>
      <c r="AD72" s="563">
        <f>SUM(E72:AC72)</f>
        <v>480</v>
      </c>
      <c r="AE72" s="649">
        <f>AD72*D72</f>
        <v>0</v>
      </c>
      <c r="AF72" s="650" t="str">
        <f>IF(AD72&lt;0,"buy","sell")</f>
        <v>sell</v>
      </c>
    </row>
    <row r="73" spans="1:32" s="356" customFormat="1" ht="12.75" customHeight="1" x14ac:dyDescent="0.2">
      <c r="A73" s="585" t="s">
        <v>385</v>
      </c>
      <c r="B73" s="584" t="s">
        <v>240</v>
      </c>
      <c r="C73" s="584" t="s">
        <v>151</v>
      </c>
      <c r="D73" s="655"/>
      <c r="E73" s="654"/>
      <c r="F73" s="475"/>
      <c r="G73" s="475"/>
      <c r="H73" s="475"/>
      <c r="I73" s="475"/>
      <c r="J73" s="475"/>
      <c r="K73" s="475"/>
      <c r="L73" s="475"/>
      <c r="M73" s="475">
        <v>50</v>
      </c>
      <c r="N73" s="475">
        <v>50</v>
      </c>
      <c r="O73" s="475">
        <v>50</v>
      </c>
      <c r="P73" s="475">
        <v>50</v>
      </c>
      <c r="Q73" s="475">
        <v>50</v>
      </c>
      <c r="R73" s="475">
        <v>50</v>
      </c>
      <c r="S73" s="475">
        <v>50</v>
      </c>
      <c r="T73" s="475">
        <v>50</v>
      </c>
      <c r="U73" s="475">
        <v>50</v>
      </c>
      <c r="V73" s="475">
        <v>50</v>
      </c>
      <c r="W73" s="475">
        <v>50</v>
      </c>
      <c r="X73" s="475">
        <v>50</v>
      </c>
      <c r="Y73" s="475">
        <v>50</v>
      </c>
      <c r="Z73" s="475">
        <v>50</v>
      </c>
      <c r="AA73" s="475">
        <v>50</v>
      </c>
      <c r="AB73" s="475">
        <v>50</v>
      </c>
      <c r="AC73" s="475"/>
      <c r="AD73" s="563">
        <f>SUM(E73:AC73)</f>
        <v>800</v>
      </c>
      <c r="AE73" s="649">
        <f>AD73*D73</f>
        <v>0</v>
      </c>
      <c r="AF73" s="650" t="str">
        <f>IF(AD73&lt;0,"buy","sell")</f>
        <v>sell</v>
      </c>
    </row>
    <row r="74" spans="1:32" s="356" customFormat="1" ht="12.75" customHeight="1" x14ac:dyDescent="0.2">
      <c r="A74" s="585"/>
      <c r="B74" s="584"/>
      <c r="C74" s="584"/>
      <c r="D74" s="655"/>
      <c r="E74" s="654"/>
      <c r="F74" s="475"/>
      <c r="G74" s="475"/>
      <c r="H74" s="475"/>
      <c r="I74" s="475"/>
      <c r="J74" s="475"/>
      <c r="K74" s="475"/>
      <c r="L74" s="475"/>
      <c r="M74" s="475"/>
      <c r="N74" s="475"/>
      <c r="O74" s="475"/>
      <c r="P74" s="475"/>
      <c r="Q74" s="475"/>
      <c r="R74" s="475"/>
      <c r="S74" s="475"/>
      <c r="T74" s="475"/>
      <c r="U74" s="475"/>
      <c r="V74" s="475"/>
      <c r="W74" s="475"/>
      <c r="X74" s="475"/>
      <c r="Y74" s="475"/>
      <c r="Z74" s="475"/>
      <c r="AA74" s="475"/>
      <c r="AB74" s="475"/>
      <c r="AC74" s="475"/>
      <c r="AD74" s="563">
        <f t="shared" si="9"/>
        <v>0</v>
      </c>
      <c r="AE74" s="649">
        <f t="shared" si="10"/>
        <v>0</v>
      </c>
      <c r="AF74" s="650" t="str">
        <f t="shared" si="11"/>
        <v>sell</v>
      </c>
    </row>
    <row r="75" spans="1:32" s="356" customFormat="1" ht="15" x14ac:dyDescent="0.25">
      <c r="A75" s="691" t="s">
        <v>361</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2" s="356" customFormat="1" x14ac:dyDescent="0.2">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x14ac:dyDescent="0.2">
      <c r="A77" s="586"/>
      <c r="B77" s="589"/>
      <c r="C77" s="589"/>
      <c r="D77" s="588"/>
      <c r="E77" s="583"/>
      <c r="F77" s="656"/>
      <c r="G77" s="656"/>
      <c r="H77" s="656"/>
      <c r="I77" s="656"/>
      <c r="J77" s="656"/>
      <c r="K77" s="656"/>
      <c r="L77" s="656"/>
      <c r="M77" s="656"/>
      <c r="N77" s="656"/>
      <c r="O77" s="656"/>
      <c r="P77" s="656"/>
      <c r="Q77" s="656"/>
      <c r="R77" s="656"/>
      <c r="S77" s="656"/>
      <c r="T77" s="656"/>
      <c r="U77" s="656"/>
      <c r="V77" s="656"/>
      <c r="W77" s="656"/>
      <c r="X77" s="656"/>
      <c r="Y77" s="656"/>
      <c r="Z77" s="656"/>
      <c r="AA77" s="656"/>
      <c r="AB77" s="656"/>
      <c r="AC77" s="656"/>
      <c r="AD77" s="563">
        <f>SUM(E77:AC77)</f>
        <v>0</v>
      </c>
      <c r="AE77" s="649">
        <f>AD77*D77</f>
        <v>0</v>
      </c>
      <c r="AF77" s="650" t="str">
        <f>IF(AD77&lt;0,"buy","sell")</f>
        <v>sell</v>
      </c>
    </row>
    <row r="78" spans="1:32" s="356" customFormat="1" ht="15" x14ac:dyDescent="0.25">
      <c r="A78" s="691" t="s">
        <v>358</v>
      </c>
      <c r="B78" s="643"/>
      <c r="C78" s="578"/>
      <c r="D78" s="643"/>
      <c r="E78" s="363"/>
      <c r="F78" s="624"/>
      <c r="G78" s="624"/>
      <c r="H78" s="624"/>
      <c r="I78" s="624"/>
      <c r="J78" s="624"/>
      <c r="K78" s="624"/>
      <c r="L78" s="624"/>
      <c r="M78" s="624"/>
      <c r="N78" s="624"/>
      <c r="O78" s="624"/>
      <c r="P78" s="624"/>
      <c r="Q78" s="624"/>
      <c r="R78" s="624"/>
      <c r="S78" s="624"/>
      <c r="T78" s="624"/>
      <c r="U78" s="624"/>
      <c r="V78" s="624"/>
      <c r="W78" s="624"/>
      <c r="X78" s="624"/>
      <c r="Y78" s="624"/>
      <c r="Z78" s="624"/>
      <c r="AA78" s="624"/>
      <c r="AB78" s="624"/>
      <c r="AC78" s="624"/>
      <c r="AD78" s="643"/>
      <c r="AE78" s="646"/>
      <c r="AF78" s="646"/>
    </row>
    <row r="79" spans="1:32" s="356" customFormat="1" ht="12.75" customHeight="1" x14ac:dyDescent="0.2">
      <c r="A79" s="585" t="s">
        <v>384</v>
      </c>
      <c r="B79" s="584" t="s">
        <v>240</v>
      </c>
      <c r="C79" s="584" t="s">
        <v>151</v>
      </c>
      <c r="D79" s="655">
        <v>121</v>
      </c>
      <c r="E79" s="654"/>
      <c r="F79" s="475"/>
      <c r="G79" s="475"/>
      <c r="H79" s="475"/>
      <c r="I79" s="475"/>
      <c r="J79" s="475"/>
      <c r="K79" s="475"/>
      <c r="L79" s="475"/>
      <c r="M79" s="475">
        <v>-50</v>
      </c>
      <c r="N79" s="475">
        <v>-50</v>
      </c>
      <c r="O79" s="475">
        <v>-50</v>
      </c>
      <c r="P79" s="475">
        <v>-50</v>
      </c>
      <c r="Q79" s="475">
        <v>-50</v>
      </c>
      <c r="R79" s="475">
        <v>-50</v>
      </c>
      <c r="S79" s="475">
        <v>-50</v>
      </c>
      <c r="T79" s="475">
        <v>-50</v>
      </c>
      <c r="U79" s="475">
        <v>-50</v>
      </c>
      <c r="V79" s="475">
        <v>-50</v>
      </c>
      <c r="W79" s="475">
        <v>-50</v>
      </c>
      <c r="X79" s="475">
        <v>-50</v>
      </c>
      <c r="Y79" s="475">
        <v>-50</v>
      </c>
      <c r="Z79" s="475">
        <v>-50</v>
      </c>
      <c r="AA79" s="475">
        <v>-50</v>
      </c>
      <c r="AB79" s="475">
        <v>-50</v>
      </c>
      <c r="AC79" s="475"/>
      <c r="AD79" s="563">
        <f>SUM(E79:AC79)</f>
        <v>-800</v>
      </c>
      <c r="AE79" s="649">
        <f>AD79*D79</f>
        <v>-96800</v>
      </c>
      <c r="AF79" s="650" t="str">
        <f>IF(AD79&lt;0,"buy","sell")</f>
        <v>buy</v>
      </c>
    </row>
    <row r="80" spans="1:32" s="356" customFormat="1" x14ac:dyDescent="0.2">
      <c r="A80" s="585" t="s">
        <v>383</v>
      </c>
      <c r="B80" s="584" t="s">
        <v>240</v>
      </c>
      <c r="C80" s="584" t="s">
        <v>151</v>
      </c>
      <c r="D80" s="655">
        <v>141.4</v>
      </c>
      <c r="E80" s="654"/>
      <c r="F80" s="475"/>
      <c r="G80" s="475"/>
      <c r="H80" s="475"/>
      <c r="I80" s="475"/>
      <c r="J80" s="475"/>
      <c r="K80" s="475"/>
      <c r="L80" s="475"/>
      <c r="M80" s="475">
        <v>-25</v>
      </c>
      <c r="N80" s="475">
        <v>-25</v>
      </c>
      <c r="O80" s="475">
        <v>-25</v>
      </c>
      <c r="P80" s="475">
        <v>-25</v>
      </c>
      <c r="Q80" s="475">
        <v>-25</v>
      </c>
      <c r="R80" s="475">
        <v>-25</v>
      </c>
      <c r="S80" s="475">
        <v>-25</v>
      </c>
      <c r="T80" s="475">
        <v>-25</v>
      </c>
      <c r="U80" s="475">
        <v>-25</v>
      </c>
      <c r="V80" s="475">
        <v>-25</v>
      </c>
      <c r="W80" s="475">
        <v>-25</v>
      </c>
      <c r="X80" s="475">
        <v>-25</v>
      </c>
      <c r="Y80" s="475">
        <v>-25</v>
      </c>
      <c r="Z80" s="475">
        <v>-25</v>
      </c>
      <c r="AA80" s="475">
        <v>-25</v>
      </c>
      <c r="AB80" s="475">
        <v>-25</v>
      </c>
      <c r="AC80" s="475"/>
      <c r="AD80" s="563">
        <f>SUM(E80:AC80)</f>
        <v>-400</v>
      </c>
      <c r="AE80" s="649">
        <f>AD80*D80</f>
        <v>-56560</v>
      </c>
      <c r="AF80" s="650" t="str">
        <f>IF(AD80&lt;0,"buy","sell")</f>
        <v>buy</v>
      </c>
    </row>
    <row r="81" spans="1:33" s="356" customFormat="1" ht="15" x14ac:dyDescent="0.25">
      <c r="A81" s="692" t="s">
        <v>359</v>
      </c>
      <c r="B81" s="537"/>
      <c r="C81" s="537"/>
      <c r="D81" s="537"/>
      <c r="E81" s="579"/>
      <c r="F81" s="537"/>
      <c r="G81" s="537"/>
      <c r="H81" s="537"/>
      <c r="I81" s="537"/>
      <c r="J81" s="537"/>
      <c r="K81" s="537"/>
      <c r="L81" s="537"/>
      <c r="M81" s="537"/>
      <c r="N81" s="537"/>
      <c r="O81" s="537"/>
      <c r="P81" s="537"/>
      <c r="Q81" s="537"/>
      <c r="R81" s="537"/>
      <c r="S81" s="689"/>
      <c r="T81" s="537"/>
      <c r="U81" s="537"/>
      <c r="V81" s="537"/>
      <c r="W81" s="537"/>
      <c r="X81" s="537"/>
      <c r="Y81" s="713"/>
      <c r="Z81" s="537"/>
      <c r="AA81" s="537"/>
      <c r="AB81" s="537"/>
      <c r="AC81" s="537"/>
      <c r="AD81" s="537"/>
      <c r="AE81" s="537"/>
      <c r="AF81" s="537"/>
      <c r="AG81" s="466"/>
    </row>
    <row r="82" spans="1:33" s="356" customFormat="1" x14ac:dyDescent="0.2">
      <c r="A82" s="682"/>
      <c r="B82" s="589"/>
      <c r="C82" s="683"/>
      <c r="D82" s="588"/>
      <c r="E82" s="684"/>
      <c r="F82" s="656"/>
      <c r="G82" s="685"/>
      <c r="H82" s="685"/>
      <c r="I82" s="685"/>
      <c r="J82" s="685"/>
      <c r="K82" s="685"/>
      <c r="L82" s="685"/>
      <c r="M82" s="685"/>
      <c r="N82" s="685"/>
      <c r="O82" s="685"/>
      <c r="P82" s="685"/>
      <c r="Q82" s="685"/>
      <c r="R82" s="685"/>
      <c r="S82" s="690"/>
      <c r="T82" s="685"/>
      <c r="U82" s="685"/>
      <c r="V82" s="685"/>
      <c r="W82" s="685"/>
      <c r="X82" s="685"/>
      <c r="Y82" s="714"/>
      <c r="Z82" s="685"/>
      <c r="AA82" s="685"/>
      <c r="AB82" s="685"/>
      <c r="AC82" s="685"/>
      <c r="AD82" s="563">
        <f>SUM(AA82:AC82)</f>
        <v>0</v>
      </c>
      <c r="AE82" s="649">
        <f>AD82*D82</f>
        <v>0</v>
      </c>
      <c r="AF82" s="650"/>
    </row>
    <row r="83" spans="1:33" s="356" customFormat="1" x14ac:dyDescent="0.2">
      <c r="A83" s="682"/>
      <c r="B83" s="589"/>
      <c r="C83" s="683"/>
      <c r="D83" s="588"/>
      <c r="E83" s="684"/>
      <c r="F83" s="656"/>
      <c r="G83" s="685"/>
      <c r="H83" s="685"/>
      <c r="I83" s="685"/>
      <c r="J83" s="685"/>
      <c r="K83" s="685"/>
      <c r="L83" s="685"/>
      <c r="M83" s="685"/>
      <c r="N83" s="685"/>
      <c r="O83" s="685"/>
      <c r="P83" s="685"/>
      <c r="Q83" s="685"/>
      <c r="R83" s="685"/>
      <c r="S83" s="685"/>
      <c r="T83" s="685"/>
      <c r="U83" s="685"/>
      <c r="V83" s="685"/>
      <c r="W83" s="685"/>
      <c r="X83" s="685"/>
      <c r="Y83" s="714"/>
      <c r="Z83" s="685"/>
      <c r="AA83" s="685"/>
      <c r="AB83" s="685"/>
      <c r="AC83" s="685"/>
      <c r="AD83" s="563">
        <f>SUM(AA83:AC83)</f>
        <v>0</v>
      </c>
      <c r="AE83" s="649">
        <f>AD83*D83</f>
        <v>0</v>
      </c>
      <c r="AF83" s="650"/>
    </row>
    <row r="84" spans="1:33" s="356" customFormat="1" ht="15" x14ac:dyDescent="0.25">
      <c r="A84" s="692" t="s">
        <v>362</v>
      </c>
      <c r="B84" s="537"/>
      <c r="C84" s="537"/>
      <c r="D84" s="537"/>
      <c r="E84" s="579"/>
      <c r="F84" s="537"/>
      <c r="G84" s="537"/>
      <c r="H84" s="537"/>
      <c r="I84" s="537"/>
      <c r="J84" s="537"/>
      <c r="K84" s="537"/>
      <c r="L84" s="537"/>
      <c r="M84" s="537"/>
      <c r="N84" s="537"/>
      <c r="O84" s="537"/>
      <c r="P84" s="537"/>
      <c r="Q84" s="537"/>
      <c r="R84" s="537"/>
      <c r="S84" s="537"/>
      <c r="T84" s="537"/>
      <c r="U84" s="537"/>
      <c r="V84" s="537"/>
      <c r="W84" s="537"/>
      <c r="X84" s="537"/>
      <c r="Y84" s="713"/>
      <c r="Z84" s="537"/>
      <c r="AA84" s="537"/>
      <c r="AB84" s="537"/>
      <c r="AC84" s="537"/>
      <c r="AD84" s="537"/>
      <c r="AE84" s="537"/>
      <c r="AF84" s="537"/>
      <c r="AG84" s="466"/>
    </row>
    <row r="85" spans="1:33" s="356" customFormat="1" x14ac:dyDescent="0.2">
      <c r="A85" s="542"/>
      <c r="B85" s="547"/>
      <c r="C85" s="547"/>
      <c r="D85" s="661"/>
      <c r="E85" s="544"/>
      <c r="F85" s="544"/>
      <c r="G85" s="544"/>
      <c r="H85" s="544"/>
      <c r="I85" s="544"/>
      <c r="J85" s="544"/>
      <c r="K85" s="544"/>
      <c r="L85" s="544"/>
      <c r="M85" s="544"/>
      <c r="N85" s="544"/>
      <c r="O85" s="544"/>
      <c r="P85" s="544"/>
      <c r="Q85" s="544"/>
      <c r="R85" s="544"/>
      <c r="S85" s="544"/>
      <c r="T85" s="544"/>
      <c r="U85" s="544"/>
      <c r="V85" s="544"/>
      <c r="W85" s="544"/>
      <c r="X85" s="544"/>
      <c r="Y85" s="715"/>
      <c r="Z85" s="544"/>
      <c r="AA85" s="544"/>
      <c r="AB85" s="544"/>
      <c r="AC85" s="544"/>
      <c r="AD85" s="563">
        <f>SUM(AA85:AC85)</f>
        <v>0</v>
      </c>
      <c r="AE85" s="649">
        <f>AD85*D85</f>
        <v>0</v>
      </c>
      <c r="AF85" s="650" t="str">
        <f>IF(AD85&lt;0,"buy","sell")</f>
        <v>sell</v>
      </c>
    </row>
    <row r="86" spans="1:33" s="356" customFormat="1" x14ac:dyDescent="0.2">
      <c r="A86" s="542"/>
      <c r="B86" s="547"/>
      <c r="C86" s="547"/>
      <c r="D86" s="661"/>
      <c r="E86" s="544"/>
      <c r="F86" s="544"/>
      <c r="G86" s="544"/>
      <c r="H86" s="544"/>
      <c r="I86" s="544"/>
      <c r="J86" s="544"/>
      <c r="K86" s="544"/>
      <c r="L86" s="544"/>
      <c r="M86" s="544"/>
      <c r="N86" s="544"/>
      <c r="O86" s="544"/>
      <c r="P86" s="544"/>
      <c r="Q86" s="544"/>
      <c r="R86" s="544"/>
      <c r="S86" s="544"/>
      <c r="T86" s="544"/>
      <c r="U86" s="544"/>
      <c r="V86" s="544"/>
      <c r="W86" s="544"/>
      <c r="X86" s="544"/>
      <c r="Y86" s="715"/>
      <c r="Z86" s="544"/>
      <c r="AA86" s="544"/>
      <c r="AB86" s="544"/>
      <c r="AC86" s="544"/>
      <c r="AD86" s="563">
        <f>SUM(E86:AC86)</f>
        <v>0</v>
      </c>
      <c r="AE86" s="649">
        <f>AD86*D86</f>
        <v>0</v>
      </c>
      <c r="AF86" s="650" t="str">
        <f>IF(AD86&lt;0,"buy","sell")</f>
        <v>sell</v>
      </c>
    </row>
    <row r="87" spans="1:33" s="356" customFormat="1" x14ac:dyDescent="0.2">
      <c r="A87" s="542"/>
      <c r="B87" s="547"/>
      <c r="C87" s="547"/>
      <c r="D87" s="661"/>
      <c r="E87" s="544"/>
      <c r="F87" s="544"/>
      <c r="G87" s="544"/>
      <c r="H87" s="544"/>
      <c r="I87" s="544"/>
      <c r="J87" s="544"/>
      <c r="K87" s="544"/>
      <c r="L87" s="544"/>
      <c r="M87" s="544"/>
      <c r="N87" s="544"/>
      <c r="O87" s="544"/>
      <c r="P87" s="544"/>
      <c r="Q87" s="544"/>
      <c r="R87" s="544"/>
      <c r="S87" s="544"/>
      <c r="T87" s="544"/>
      <c r="U87" s="544"/>
      <c r="V87" s="544"/>
      <c r="W87" s="544"/>
      <c r="X87" s="544"/>
      <c r="Y87" s="715"/>
      <c r="Z87" s="544"/>
      <c r="AA87" s="544"/>
      <c r="AB87" s="544"/>
      <c r="AC87" s="544"/>
      <c r="AD87" s="563">
        <f>SUM(AA87:AC87)</f>
        <v>0</v>
      </c>
      <c r="AE87" s="649">
        <f>AD87*D87</f>
        <v>0</v>
      </c>
      <c r="AF87" s="650" t="str">
        <f>IF(AD87&lt;0,"buy","sell")</f>
        <v>sell</v>
      </c>
    </row>
    <row r="88" spans="1:33" s="356" customFormat="1" x14ac:dyDescent="0.2">
      <c r="A88" s="542"/>
      <c r="B88" s="547"/>
      <c r="C88" s="547"/>
      <c r="D88" s="543"/>
      <c r="E88" s="544"/>
      <c r="F88" s="544"/>
      <c r="G88" s="544"/>
      <c r="H88" s="544"/>
      <c r="I88" s="544"/>
      <c r="J88" s="544"/>
      <c r="K88" s="544"/>
      <c r="L88" s="544"/>
      <c r="M88" s="544"/>
      <c r="N88" s="544"/>
      <c r="O88" s="544"/>
      <c r="P88" s="544"/>
      <c r="Q88" s="544"/>
      <c r="R88" s="544"/>
      <c r="S88" s="544"/>
      <c r="T88" s="544"/>
      <c r="U88" s="544"/>
      <c r="V88" s="544"/>
      <c r="W88" s="544"/>
      <c r="X88" s="544"/>
      <c r="Y88" s="715"/>
      <c r="Z88" s="544"/>
      <c r="AA88" s="544"/>
      <c r="AB88" s="544"/>
      <c r="AC88" s="544"/>
      <c r="AD88" s="553">
        <f>SUM(F93:AC93)</f>
        <v>0</v>
      </c>
      <c r="AE88" s="554">
        <f>AD88*D88</f>
        <v>0</v>
      </c>
      <c r="AF88" s="525" t="str">
        <f>IF(AD88&lt;0,"buy","sell")</f>
        <v>sell</v>
      </c>
    </row>
    <row r="89" spans="1:33" s="356" customFormat="1" x14ac:dyDescent="0.2">
      <c r="A89" s="545" t="s">
        <v>206</v>
      </c>
      <c r="B89" s="480"/>
      <c r="C89" s="480"/>
      <c r="D89" s="480"/>
      <c r="E89" s="480"/>
      <c r="F89" s="480"/>
      <c r="G89" s="480"/>
      <c r="H89" s="480"/>
      <c r="I89" s="480"/>
      <c r="J89" s="480"/>
      <c r="K89" s="480"/>
      <c r="L89" s="480"/>
      <c r="M89" s="480"/>
      <c r="N89" s="480"/>
      <c r="O89" s="480"/>
      <c r="P89" s="480"/>
      <c r="Q89" s="480"/>
      <c r="R89" s="480"/>
      <c r="S89" s="480"/>
      <c r="T89" s="480"/>
      <c r="U89" s="480"/>
      <c r="V89" s="480"/>
      <c r="W89" s="480"/>
      <c r="X89" s="480"/>
      <c r="Y89" s="480"/>
      <c r="Z89" s="480"/>
      <c r="AA89" s="480"/>
      <c r="AB89" s="480"/>
      <c r="AC89" s="480"/>
      <c r="AD89" s="480"/>
      <c r="AE89" s="480"/>
      <c r="AF89" s="480"/>
    </row>
    <row r="90" spans="1:33" s="356" customFormat="1" x14ac:dyDescent="0.2">
      <c r="B90" s="364"/>
      <c r="C90" s="364"/>
      <c r="D90" s="365"/>
      <c r="E90" s="365"/>
      <c r="F90" s="364"/>
      <c r="G90" s="366"/>
      <c r="H90" s="366"/>
      <c r="I90" s="366"/>
      <c r="J90" s="366"/>
      <c r="K90" s="366"/>
      <c r="L90" s="366"/>
      <c r="M90" s="366"/>
      <c r="N90" s="366"/>
      <c r="O90" s="366"/>
      <c r="P90" s="366"/>
      <c r="Q90" s="366"/>
      <c r="R90" s="366"/>
      <c r="S90" s="366"/>
      <c r="T90" s="366"/>
      <c r="U90" s="366"/>
      <c r="V90" s="366"/>
      <c r="W90" s="366"/>
      <c r="X90" s="366"/>
      <c r="Y90" s="366"/>
      <c r="Z90" s="440"/>
      <c r="AA90" s="440"/>
      <c r="AB90" s="440"/>
      <c r="AC90" s="528"/>
      <c r="AD90" s="457"/>
      <c r="AE90" s="458"/>
      <c r="AF90" s="440"/>
    </row>
    <row r="91" spans="1:33" s="356" customFormat="1" ht="18" x14ac:dyDescent="0.25">
      <c r="A91" s="680" t="s">
        <v>363</v>
      </c>
      <c r="B91" s="431"/>
      <c r="C91" s="538"/>
      <c r="D91" s="432"/>
      <c r="E91" s="432"/>
      <c r="F91" s="433"/>
      <c r="G91" s="434"/>
      <c r="H91" s="370"/>
      <c r="I91" s="370"/>
      <c r="J91" s="370"/>
      <c r="K91" s="371"/>
      <c r="L91" s="370"/>
      <c r="M91" s="370"/>
      <c r="N91" s="370"/>
      <c r="O91" s="370"/>
      <c r="P91" s="370"/>
      <c r="Q91" s="370"/>
      <c r="R91" s="370"/>
      <c r="S91" s="370" t="s">
        <v>15</v>
      </c>
      <c r="T91" s="370"/>
      <c r="U91" s="370"/>
      <c r="V91" s="370"/>
      <c r="W91" s="370"/>
      <c r="X91" s="370"/>
      <c r="Y91" s="370"/>
      <c r="Z91" s="372"/>
      <c r="AA91" s="372"/>
      <c r="AB91" s="372"/>
      <c r="AC91" s="529"/>
      <c r="AD91" s="457"/>
      <c r="AE91" s="458"/>
      <c r="AF91" s="372"/>
    </row>
    <row r="92" spans="1:33" s="356" customFormat="1" x14ac:dyDescent="0.2">
      <c r="A92" s="435"/>
      <c r="B92" s="436"/>
      <c r="C92" s="436"/>
      <c r="D92" s="432"/>
      <c r="E92" s="432"/>
      <c r="F92" s="434"/>
      <c r="G92" s="434"/>
      <c r="H92" s="370"/>
      <c r="I92" s="370"/>
      <c r="J92" s="370"/>
      <c r="K92" s="373"/>
      <c r="L92" s="373"/>
      <c r="M92" s="370"/>
      <c r="N92" s="370"/>
      <c r="O92" s="370"/>
      <c r="P92" s="370"/>
      <c r="Q92" s="370"/>
      <c r="R92" s="370"/>
      <c r="S92" s="370"/>
      <c r="T92" s="370"/>
      <c r="U92" s="370"/>
      <c r="V92" s="370"/>
      <c r="W92" s="370"/>
      <c r="X92" s="370"/>
      <c r="Y92" s="370"/>
      <c r="Z92" s="372"/>
      <c r="AA92" s="372"/>
      <c r="AB92" s="372"/>
      <c r="AC92" s="529"/>
      <c r="AD92" s="457"/>
      <c r="AE92" s="458"/>
      <c r="AF92" s="372"/>
    </row>
    <row r="93" spans="1:33" s="356" customFormat="1" ht="18" x14ac:dyDescent="0.25">
      <c r="A93" s="438"/>
      <c r="B93" s="439"/>
      <c r="C93" s="439"/>
      <c r="D93" s="439"/>
      <c r="E93" s="439"/>
      <c r="F93" s="678"/>
      <c r="G93" s="679"/>
      <c r="H93" s="370"/>
      <c r="I93" s="370"/>
      <c r="J93" s="370"/>
      <c r="K93" s="373"/>
      <c r="L93" s="371"/>
      <c r="M93" s="370"/>
      <c r="N93" s="370"/>
      <c r="O93" s="370"/>
      <c r="P93" s="370"/>
      <c r="Q93" s="370"/>
      <c r="R93" s="370"/>
      <c r="S93" s="370"/>
      <c r="T93" s="370"/>
      <c r="U93" s="370"/>
      <c r="V93" s="370"/>
      <c r="W93" s="370"/>
      <c r="X93" s="370"/>
      <c r="Y93" s="370"/>
      <c r="AA93" s="372"/>
      <c r="AB93" s="372"/>
      <c r="AC93" s="529"/>
      <c r="AD93" s="457"/>
      <c r="AE93" s="458"/>
      <c r="AF93" s="372"/>
    </row>
    <row r="94" spans="1:33" s="356" customFormat="1" ht="18" x14ac:dyDescent="0.25">
      <c r="A94" s="438"/>
      <c r="B94" s="439"/>
      <c r="C94" s="439"/>
      <c r="D94" s="551"/>
      <c r="E94" s="439"/>
      <c r="F94" s="437"/>
      <c r="G94" s="434"/>
      <c r="H94" s="370"/>
      <c r="I94" s="370"/>
      <c r="J94" s="370"/>
      <c r="K94" s="373"/>
      <c r="L94" s="371"/>
      <c r="M94" s="370"/>
      <c r="N94" s="370"/>
      <c r="O94" s="370"/>
      <c r="P94" s="370"/>
      <c r="Q94" s="370"/>
      <c r="R94" s="370"/>
      <c r="S94" s="370"/>
      <c r="T94" s="370"/>
      <c r="U94" s="370"/>
      <c r="V94" s="370"/>
      <c r="W94" s="370"/>
      <c r="X94" s="370"/>
      <c r="Y94" s="370"/>
      <c r="Z94" s="372" t="s">
        <v>207</v>
      </c>
      <c r="AA94" s="372"/>
      <c r="AB94" s="372"/>
      <c r="AC94" s="530"/>
      <c r="AD94" s="453"/>
      <c r="AE94" s="454"/>
      <c r="AF94" s="372"/>
    </row>
    <row r="95" spans="1:33" x14ac:dyDescent="0.2">
      <c r="A95" s="436"/>
      <c r="B95" s="436"/>
      <c r="C95" s="440"/>
      <c r="D95" s="555"/>
      <c r="E95" s="527"/>
      <c r="F95" s="561"/>
      <c r="G95" s="546"/>
      <c r="K95" s="373"/>
      <c r="M95" s="370"/>
      <c r="N95" s="370"/>
      <c r="Z95" s="372"/>
      <c r="AA95" s="531"/>
      <c r="AB95" s="531"/>
      <c r="AC95" s="530"/>
      <c r="AD95" s="402"/>
      <c r="AE95" s="402"/>
      <c r="AF95" s="531"/>
      <c r="AG95" s="356"/>
    </row>
    <row r="96" spans="1:33" s="356" customFormat="1" x14ac:dyDescent="0.2">
      <c r="A96" s="434"/>
      <c r="B96" s="434"/>
      <c r="C96" s="440"/>
      <c r="D96" s="555"/>
      <c r="E96" s="485"/>
      <c r="F96" s="561"/>
      <c r="G96" s="546"/>
      <c r="H96" s="370"/>
      <c r="I96" s="370"/>
      <c r="J96" s="370"/>
      <c r="K96" s="373"/>
      <c r="L96" s="370"/>
      <c r="M96" s="370"/>
      <c r="N96" s="370"/>
      <c r="O96" s="370"/>
      <c r="P96" s="370"/>
      <c r="Q96" s="370"/>
      <c r="R96" s="370"/>
      <c r="S96" s="370"/>
      <c r="T96" s="370"/>
      <c r="U96" s="370"/>
      <c r="V96" s="370"/>
      <c r="W96" s="370"/>
      <c r="X96" s="370"/>
      <c r="Y96" s="370"/>
      <c r="Z96" s="531" t="s">
        <v>261</v>
      </c>
      <c r="AA96" s="531"/>
      <c r="AB96" s="531"/>
      <c r="AC96" s="530"/>
      <c r="AD96" s="473">
        <f>SUM(AD16:AD66)+SUM(AD75:AD78)</f>
        <v>0</v>
      </c>
      <c r="AE96" s="473">
        <f>SUM(AE16:AE66)+SUM(AE75:AE78)</f>
        <v>0</v>
      </c>
      <c r="AF96" s="531"/>
    </row>
    <row r="97" spans="1:33" s="356" customFormat="1" x14ac:dyDescent="0.2">
      <c r="A97" s="436"/>
      <c r="B97" s="436"/>
      <c r="C97" s="440"/>
      <c r="D97" s="555"/>
      <c r="E97" s="485"/>
      <c r="F97" s="561"/>
      <c r="G97" s="546"/>
      <c r="H97" s="370"/>
      <c r="I97" s="370"/>
      <c r="J97" s="370"/>
      <c r="K97" s="373"/>
      <c r="L97" s="370"/>
      <c r="M97" s="370"/>
      <c r="N97" s="370"/>
      <c r="O97" s="370"/>
      <c r="P97" s="370"/>
      <c r="Q97" s="370"/>
      <c r="R97" s="370"/>
      <c r="S97" s="370"/>
      <c r="T97" s="370"/>
      <c r="U97" s="370"/>
      <c r="V97" s="370"/>
      <c r="W97" s="370"/>
      <c r="X97" s="370"/>
      <c r="Y97" s="370"/>
      <c r="Z97" s="531" t="s">
        <v>262</v>
      </c>
      <c r="AA97" s="531"/>
      <c r="AB97" s="531"/>
      <c r="AC97" s="532"/>
      <c r="AD97" s="473">
        <f>SUM(AD78:AD80)+SUM(AD81:AD84)</f>
        <v>-1200</v>
      </c>
      <c r="AE97" s="473">
        <f>SUM(AE78:AE80)+SUM(AE81:AE84)</f>
        <v>-153360</v>
      </c>
      <c r="AF97" s="531"/>
    </row>
    <row r="98" spans="1:33" s="356" customFormat="1" x14ac:dyDescent="0.2">
      <c r="A98" s="434"/>
      <c r="B98" s="434"/>
      <c r="C98" s="440"/>
      <c r="D98" s="555"/>
      <c r="E98" s="485"/>
      <c r="F98" s="561"/>
      <c r="G98" s="546"/>
      <c r="H98" s="377"/>
      <c r="I98" s="377"/>
      <c r="J98" s="377"/>
      <c r="K98" s="378"/>
      <c r="L98" s="377"/>
      <c r="M98" s="370"/>
      <c r="N98" s="370"/>
      <c r="O98" s="377"/>
      <c r="P98" s="377"/>
      <c r="Q98" s="377"/>
      <c r="R98" s="377"/>
      <c r="S98" s="377"/>
      <c r="T98" s="377"/>
      <c r="U98" s="377"/>
      <c r="V98" s="377"/>
      <c r="W98" s="377"/>
      <c r="X98" s="377"/>
      <c r="Y98" s="377"/>
      <c r="Z98" s="384"/>
      <c r="AA98" s="384"/>
      <c r="AB98" s="384"/>
      <c r="AC98" s="466"/>
      <c r="AF98" s="384"/>
    </row>
    <row r="99" spans="1:33" s="356" customFormat="1" x14ac:dyDescent="0.2">
      <c r="A99" s="436"/>
      <c r="B99" s="436"/>
      <c r="C99" s="440"/>
      <c r="D99" s="555"/>
      <c r="E99" s="485"/>
      <c r="F99" s="561"/>
      <c r="G99" s="546"/>
      <c r="H99" s="377"/>
      <c r="O99" s="370"/>
      <c r="P99" s="370"/>
      <c r="Q99" s="381"/>
      <c r="R99" s="381"/>
      <c r="S99" s="381"/>
      <c r="T99" s="381"/>
      <c r="U99" s="381"/>
      <c r="V99" s="381"/>
      <c r="W99" s="381"/>
      <c r="X99" s="381"/>
      <c r="Y99" s="381"/>
      <c r="Z99" s="533" t="s">
        <v>269</v>
      </c>
      <c r="AA99" s="533"/>
      <c r="AB99" s="533"/>
      <c r="AC99" s="534"/>
      <c r="AD99" s="477"/>
      <c r="AE99" s="478"/>
      <c r="AF99" s="402"/>
    </row>
    <row r="100" spans="1:33" s="356" customFormat="1" x14ac:dyDescent="0.2">
      <c r="A100" s="434"/>
      <c r="B100" s="434"/>
      <c r="C100" s="440"/>
      <c r="D100" s="555"/>
      <c r="E100" s="485"/>
      <c r="F100" s="561"/>
      <c r="G100" s="546"/>
      <c r="H100" s="370"/>
      <c r="O100" s="370"/>
      <c r="P100" s="370"/>
      <c r="Q100" s="370"/>
      <c r="R100" s="370"/>
      <c r="S100" s="370"/>
      <c r="T100" s="370"/>
      <c r="U100" s="370"/>
      <c r="V100" s="370"/>
      <c r="W100" s="370"/>
      <c r="X100" s="370"/>
      <c r="Y100" s="370"/>
      <c r="Z100" s="533"/>
      <c r="AA100" s="533"/>
      <c r="AB100" s="533"/>
      <c r="AC100" s="534"/>
      <c r="AD100" s="477"/>
      <c r="AE100" s="478"/>
      <c r="AF100" s="402"/>
    </row>
    <row r="101" spans="1:33" s="356" customFormat="1" x14ac:dyDescent="0.2">
      <c r="A101" s="436"/>
      <c r="B101" s="436"/>
      <c r="C101" s="440"/>
      <c r="D101" s="555"/>
      <c r="E101" s="485"/>
      <c r="F101" s="561"/>
      <c r="G101" s="546"/>
      <c r="H101" s="382"/>
      <c r="O101" s="370"/>
      <c r="P101" s="370"/>
      <c r="Q101" s="382"/>
      <c r="R101" s="382"/>
      <c r="S101" s="382"/>
      <c r="T101" s="382"/>
      <c r="U101" s="382"/>
      <c r="V101" s="382"/>
      <c r="W101" s="382"/>
      <c r="X101" s="382"/>
      <c r="Y101" s="382"/>
      <c r="Z101" s="533" t="s">
        <v>262</v>
      </c>
      <c r="AA101" s="533"/>
      <c r="AB101" s="533"/>
      <c r="AC101" s="534"/>
      <c r="AD101" s="479">
        <f>SUM(AD87:AD89)</f>
        <v>0</v>
      </c>
      <c r="AE101" s="479">
        <f>SUM(AE87:AE89)</f>
        <v>0</v>
      </c>
      <c r="AF101" s="402"/>
    </row>
    <row r="102" spans="1:33" s="356" customFormat="1" x14ac:dyDescent="0.2">
      <c r="A102" s="434"/>
      <c r="B102" s="434"/>
      <c r="C102" s="440"/>
      <c r="D102" s="555"/>
      <c r="E102" s="485"/>
      <c r="F102" s="561"/>
      <c r="G102" s="546"/>
      <c r="H102" s="382"/>
      <c r="O102" s="370"/>
      <c r="P102" s="370"/>
      <c r="Q102" s="382"/>
      <c r="R102" s="382"/>
      <c r="S102" s="382"/>
      <c r="T102" s="382"/>
      <c r="U102" s="382"/>
      <c r="V102" s="382"/>
      <c r="W102" s="382"/>
      <c r="X102" s="382"/>
      <c r="Y102" s="382"/>
      <c r="Z102" s="402"/>
      <c r="AA102" s="402"/>
      <c r="AB102" s="402"/>
      <c r="AC102" s="467"/>
      <c r="AD102" s="402"/>
      <c r="AE102" s="402"/>
      <c r="AF102" s="402"/>
    </row>
    <row r="103" spans="1:33" s="356" customFormat="1" x14ac:dyDescent="0.2">
      <c r="A103" s="436"/>
      <c r="B103" s="436"/>
      <c r="C103" s="440"/>
      <c r="D103" s="555"/>
      <c r="E103" s="485"/>
      <c r="F103" s="561"/>
      <c r="G103" s="546"/>
      <c r="H103" s="370"/>
      <c r="O103" s="370"/>
      <c r="P103" s="370"/>
      <c r="Q103" s="370"/>
      <c r="R103" s="370"/>
      <c r="S103" s="370"/>
      <c r="T103" s="370"/>
      <c r="U103" s="370"/>
      <c r="V103" s="370"/>
      <c r="W103" s="370"/>
      <c r="X103" s="370"/>
      <c r="Y103" s="370"/>
      <c r="Z103" s="402"/>
      <c r="AA103" s="402"/>
      <c r="AB103" s="402"/>
      <c r="AC103" s="467"/>
      <c r="AD103" s="402"/>
      <c r="AE103" s="402"/>
      <c r="AF103" s="402"/>
    </row>
    <row r="104" spans="1:33" s="402" customFormat="1" x14ac:dyDescent="0.2">
      <c r="A104" s="434"/>
      <c r="B104" s="434"/>
      <c r="C104" s="440"/>
      <c r="D104" s="555"/>
      <c r="E104" s="485"/>
      <c r="F104" s="561"/>
      <c r="G104" s="546"/>
      <c r="H104" s="370"/>
      <c r="I104" s="356"/>
      <c r="J104" s="356"/>
      <c r="K104" s="356"/>
      <c r="L104" s="356"/>
      <c r="M104" s="356"/>
      <c r="N104" s="356"/>
      <c r="O104" s="370"/>
      <c r="P104" s="370"/>
      <c r="Q104" s="370"/>
      <c r="R104" s="370"/>
      <c r="S104" s="370"/>
      <c r="T104" s="370"/>
      <c r="U104" s="370"/>
      <c r="V104" s="370"/>
      <c r="W104" s="370"/>
      <c r="X104" s="370"/>
      <c r="Y104" s="370"/>
      <c r="AC104" s="467"/>
      <c r="AG104" s="356"/>
    </row>
    <row r="105" spans="1:33" s="402" customFormat="1" ht="18" x14ac:dyDescent="0.25">
      <c r="A105" s="680" t="s">
        <v>357</v>
      </c>
      <c r="B105" s="436"/>
      <c r="C105" s="440"/>
      <c r="D105" s="555"/>
      <c r="E105" s="485"/>
      <c r="F105" s="561"/>
      <c r="G105" s="546"/>
      <c r="H105" s="383"/>
      <c r="I105" s="404"/>
      <c r="J105" s="404"/>
      <c r="K105" s="404"/>
      <c r="L105" s="404"/>
      <c r="M105" s="404"/>
      <c r="N105" s="404"/>
      <c r="O105" s="383"/>
      <c r="P105" s="383"/>
      <c r="Q105" s="383"/>
      <c r="R105" s="383"/>
      <c r="S105" s="383"/>
      <c r="T105" s="383"/>
      <c r="U105" s="383"/>
      <c r="V105" s="383"/>
      <c r="W105" s="383"/>
      <c r="X105" s="383"/>
      <c r="Y105" s="383"/>
      <c r="AC105" s="467"/>
      <c r="AG105" s="370"/>
    </row>
    <row r="106" spans="1:33" s="402" customFormat="1" x14ac:dyDescent="0.2">
      <c r="A106" s="434"/>
      <c r="B106" s="434"/>
      <c r="C106" s="440"/>
      <c r="D106" s="555"/>
      <c r="E106" s="485"/>
      <c r="F106" s="561"/>
      <c r="G106" s="546"/>
      <c r="H106" s="384"/>
      <c r="I106" s="356"/>
      <c r="J106" s="356"/>
      <c r="K106" s="356"/>
      <c r="L106" s="356"/>
      <c r="M106" s="356"/>
      <c r="N106" s="356"/>
      <c r="O106" s="384"/>
      <c r="P106" s="384"/>
      <c r="Q106" s="384"/>
      <c r="R106" s="384"/>
      <c r="S106" s="384"/>
      <c r="T106" s="384"/>
      <c r="U106" s="384"/>
      <c r="V106" s="384"/>
      <c r="W106" s="384"/>
      <c r="X106" s="384"/>
      <c r="Y106" s="384"/>
      <c r="AC106" s="467"/>
      <c r="AG106" s="356"/>
    </row>
    <row r="107" spans="1:33" s="402" customFormat="1" x14ac:dyDescent="0.2">
      <c r="A107" s="436"/>
      <c r="B107" s="436"/>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G107" s="356"/>
    </row>
    <row r="108" spans="1:33" s="402" customFormat="1" x14ac:dyDescent="0.2">
      <c r="A108" s="434"/>
      <c r="B108" s="434"/>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ht="15.75" x14ac:dyDescent="0.25">
      <c r="A109" s="681"/>
      <c r="B109" s="436"/>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4"/>
      <c r="B110" s="434"/>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6"/>
      <c r="B111" s="436"/>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4"/>
      <c r="B112" s="434"/>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535"/>
      <c r="AG112" s="356"/>
    </row>
    <row r="113" spans="1:33" s="402" customFormat="1" x14ac:dyDescent="0.2">
      <c r="A113" s="436"/>
      <c r="B113" s="436"/>
      <c r="C113" s="440"/>
      <c r="D113" s="555"/>
      <c r="E113" s="485"/>
      <c r="F113" s="561"/>
      <c r="G113" s="546"/>
      <c r="H113" s="387"/>
      <c r="I113" s="356"/>
      <c r="J113" s="356"/>
      <c r="K113" s="356"/>
      <c r="L113" s="356"/>
      <c r="M113" s="356"/>
      <c r="N113" s="356"/>
      <c r="O113" s="386"/>
      <c r="P113" s="386"/>
      <c r="Q113" s="387"/>
      <c r="R113" s="387"/>
      <c r="S113" s="387"/>
      <c r="T113" s="387"/>
      <c r="U113" s="387"/>
      <c r="V113" s="387"/>
      <c r="W113" s="387"/>
      <c r="X113" s="387"/>
      <c r="Y113" s="387"/>
      <c r="Z113" s="387"/>
      <c r="AA113" s="387"/>
      <c r="AB113" s="387"/>
      <c r="AC113" s="468"/>
      <c r="AG113" s="356"/>
    </row>
    <row r="114" spans="1:33" s="402" customFormat="1" x14ac:dyDescent="0.2">
      <c r="A114" s="434"/>
      <c r="B114" s="434"/>
      <c r="C114" s="440"/>
      <c r="D114" s="555"/>
      <c r="E114" s="485"/>
      <c r="F114" s="561"/>
      <c r="G114" s="546"/>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536"/>
      <c r="AE114" s="461"/>
    </row>
    <row r="115" spans="1:33" s="460" customFormat="1" ht="13.5" thickBot="1" x14ac:dyDescent="0.25">
      <c r="A115" s="436"/>
      <c r="B115" s="436"/>
      <c r="C115" s="440"/>
      <c r="D115" s="555"/>
      <c r="E115" s="485"/>
      <c r="F115" s="561"/>
      <c r="G115" s="546"/>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461"/>
      <c r="AE115" s="461"/>
      <c r="AF115" s="402"/>
      <c r="AG115" s="402"/>
    </row>
    <row r="116" spans="1:33" s="402" customFormat="1" x14ac:dyDescent="0.2">
      <c r="A116" s="434"/>
      <c r="B116" s="434"/>
      <c r="C116" s="440"/>
      <c r="D116" s="555"/>
      <c r="E116" s="485"/>
      <c r="F116" s="561"/>
      <c r="G116" s="546"/>
      <c r="H116" s="388"/>
      <c r="I116" s="356"/>
      <c r="J116" s="428"/>
      <c r="K116" s="356"/>
      <c r="L116" s="356"/>
      <c r="M116" s="356"/>
      <c r="N116" s="356"/>
      <c r="O116" s="411"/>
      <c r="P116" s="411"/>
      <c r="Q116" s="388"/>
      <c r="R116" s="388"/>
      <c r="S116" s="388"/>
      <c r="T116" s="388"/>
      <c r="U116" s="388"/>
      <c r="V116" s="388"/>
      <c r="W116" s="388"/>
      <c r="X116" s="388"/>
      <c r="Y116" s="388"/>
      <c r="Z116" s="388"/>
      <c r="AA116" s="388"/>
      <c r="AB116" s="388"/>
      <c r="AC116" s="469"/>
      <c r="AD116" s="356"/>
      <c r="AE116" s="356"/>
    </row>
    <row r="117" spans="1:33" s="356" customFormat="1" x14ac:dyDescent="0.2">
      <c r="A117" s="436"/>
      <c r="B117" s="436"/>
      <c r="C117" s="440"/>
      <c r="D117" s="555"/>
      <c r="E117" s="485"/>
      <c r="F117" s="561"/>
      <c r="G117" s="546"/>
      <c r="H117" s="388"/>
      <c r="O117" s="411"/>
      <c r="P117" s="411"/>
      <c r="Q117" s="388"/>
      <c r="R117" s="388"/>
      <c r="S117" s="388"/>
      <c r="T117" s="388"/>
      <c r="U117" s="388"/>
      <c r="V117" s="388"/>
      <c r="W117" s="388"/>
      <c r="X117" s="388"/>
      <c r="Y117" s="388"/>
      <c r="Z117" s="388"/>
      <c r="AA117" s="388"/>
      <c r="AB117" s="388"/>
      <c r="AC117" s="469"/>
      <c r="AD117" s="457"/>
      <c r="AE117" s="535"/>
      <c r="AF117" s="537"/>
      <c r="AG117" s="402"/>
    </row>
    <row r="118" spans="1:33" s="356" customFormat="1" x14ac:dyDescent="0.2">
      <c r="A118" s="436"/>
      <c r="B118" s="434"/>
      <c r="C118" s="440"/>
      <c r="D118" s="555"/>
      <c r="E118" s="527"/>
      <c r="F118" s="561"/>
      <c r="G118" s="546"/>
      <c r="H118" s="391"/>
      <c r="O118" s="412"/>
      <c r="P118" s="412"/>
      <c r="Q118" s="391"/>
      <c r="R118" s="391"/>
      <c r="S118" s="391"/>
      <c r="T118" s="391"/>
      <c r="U118" s="391"/>
      <c r="V118" s="391"/>
      <c r="W118" s="391"/>
      <c r="X118" s="391"/>
      <c r="Y118" s="391"/>
      <c r="Z118" s="388"/>
      <c r="AA118" s="388"/>
      <c r="AB118" s="388"/>
      <c r="AC118" s="469"/>
      <c r="AD118" s="457"/>
      <c r="AE118" s="535"/>
      <c r="AF118" s="537"/>
      <c r="AG118" s="402"/>
    </row>
    <row r="119" spans="1:33" s="356" customFormat="1" x14ac:dyDescent="0.2">
      <c r="A119" s="550"/>
      <c r="B119" s="436"/>
      <c r="C119" s="440"/>
      <c r="D119" s="556"/>
      <c r="E119" s="481"/>
      <c r="F119" s="561"/>
      <c r="G119" s="546"/>
      <c r="H119" s="391"/>
      <c r="O119" s="412"/>
      <c r="P119" s="412"/>
      <c r="Q119" s="391"/>
      <c r="R119" s="391"/>
      <c r="S119" s="391"/>
      <c r="T119" s="391"/>
      <c r="U119" s="391"/>
      <c r="V119" s="391"/>
      <c r="W119" s="391"/>
      <c r="X119" s="391"/>
      <c r="Y119" s="391"/>
      <c r="Z119" s="388"/>
      <c r="AA119" s="388"/>
      <c r="AB119" s="388"/>
      <c r="AC119" s="469"/>
      <c r="AD119" s="461"/>
      <c r="AE119" s="461"/>
      <c r="AF119" s="537"/>
      <c r="AG119" s="402"/>
    </row>
    <row r="120" spans="1:33" s="402" customFormat="1" x14ac:dyDescent="0.2">
      <c r="A120" s="356"/>
      <c r="B120" s="356"/>
      <c r="C120" s="356"/>
      <c r="D120" s="555"/>
      <c r="E120" s="356"/>
      <c r="F120" s="356"/>
      <c r="G120" s="434"/>
      <c r="H120" s="391"/>
      <c r="I120" s="356"/>
      <c r="J120" s="356"/>
      <c r="K120" s="356"/>
      <c r="L120" s="356"/>
      <c r="M120" s="356"/>
      <c r="N120" s="356"/>
      <c r="O120" s="412"/>
      <c r="P120" s="412"/>
      <c r="Q120" s="391"/>
      <c r="R120" s="391"/>
      <c r="S120" s="391"/>
      <c r="T120" s="391"/>
      <c r="U120" s="391"/>
      <c r="V120" s="391"/>
      <c r="W120" s="391"/>
      <c r="X120" s="391"/>
      <c r="Y120" s="391"/>
      <c r="Z120" s="388"/>
      <c r="AA120" s="388"/>
      <c r="AB120" s="388"/>
      <c r="AC120" s="469"/>
      <c r="AF120" s="455"/>
    </row>
    <row r="121" spans="1:33" s="402" customFormat="1" ht="18" x14ac:dyDescent="0.25">
      <c r="A121" s="433"/>
      <c r="B121" s="442"/>
      <c r="C121" s="443"/>
      <c r="D121" s="557"/>
      <c r="E121" s="443"/>
      <c r="F121" s="443"/>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455"/>
    </row>
    <row r="122" spans="1:33" s="402" customFormat="1" x14ac:dyDescent="0.2">
      <c r="A122" s="434"/>
      <c r="B122" s="434"/>
      <c r="C122" s="434"/>
      <c r="D122" s="558"/>
      <c r="E122" s="434"/>
      <c r="F122" s="434"/>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356"/>
    </row>
    <row r="123" spans="1:33" s="402" customFormat="1" ht="18" x14ac:dyDescent="0.25">
      <c r="A123" s="438"/>
      <c r="B123" s="439"/>
      <c r="C123" s="439"/>
      <c r="D123" s="677"/>
      <c r="E123" s="439"/>
      <c r="F123" s="678"/>
      <c r="G123" s="439"/>
      <c r="H123" s="434"/>
      <c r="I123" s="356"/>
      <c r="J123" s="356"/>
      <c r="K123" s="356"/>
      <c r="L123" s="356"/>
      <c r="M123" s="356"/>
      <c r="N123" s="356"/>
      <c r="O123" s="444"/>
      <c r="P123" s="444"/>
      <c r="Q123" s="434"/>
      <c r="R123" s="434"/>
      <c r="S123" s="434"/>
      <c r="T123" s="434"/>
      <c r="U123" s="434"/>
      <c r="V123" s="434"/>
      <c r="W123" s="434"/>
      <c r="X123" s="434"/>
      <c r="Y123" s="391"/>
      <c r="Z123" s="391"/>
      <c r="AA123" s="391"/>
      <c r="AB123" s="391"/>
      <c r="AC123" s="470"/>
      <c r="AF123" s="356"/>
    </row>
    <row r="124" spans="1:33" s="402" customFormat="1" ht="18" x14ac:dyDescent="0.25">
      <c r="A124" s="438"/>
      <c r="B124" s="439"/>
      <c r="C124" s="439"/>
      <c r="D124" s="559"/>
      <c r="E124" s="437"/>
      <c r="F124" s="437"/>
      <c r="G124" s="434"/>
      <c r="H124" s="445"/>
      <c r="I124" s="446"/>
      <c r="J124" s="356"/>
      <c r="K124" s="356"/>
      <c r="L124" s="356"/>
      <c r="M124" s="447"/>
      <c r="N124" s="448"/>
      <c r="O124" s="444"/>
      <c r="P124" s="444"/>
      <c r="Q124" s="434"/>
      <c r="R124" s="434"/>
      <c r="S124" s="434"/>
      <c r="T124" s="434"/>
      <c r="U124" s="434"/>
      <c r="V124" s="434"/>
      <c r="W124" s="434"/>
      <c r="X124" s="434"/>
      <c r="Y124" s="391"/>
      <c r="Z124" s="391"/>
      <c r="AA124" s="391"/>
      <c r="AB124" s="391"/>
      <c r="AC124" s="470"/>
      <c r="AF124" s="356"/>
    </row>
    <row r="125" spans="1:33" s="402" customFormat="1" ht="13.5" thickBot="1" x14ac:dyDescent="0.25">
      <c r="A125" s="436"/>
      <c r="B125" s="434"/>
      <c r="C125" s="440"/>
      <c r="D125" s="555"/>
      <c r="E125" s="527"/>
      <c r="F125" s="561"/>
      <c r="G125" s="546"/>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356"/>
      <c r="AE125" s="356"/>
      <c r="AF125" s="356"/>
      <c r="AG125" s="460"/>
    </row>
    <row r="126" spans="1:33" s="402" customFormat="1" x14ac:dyDescent="0.2">
      <c r="A126" s="434"/>
      <c r="B126" s="434"/>
      <c r="C126" s="440"/>
      <c r="D126" s="560"/>
      <c r="E126" s="485"/>
      <c r="F126" s="561"/>
      <c r="G126" s="546"/>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403"/>
      <c r="AE126" s="356"/>
      <c r="AF126" s="356"/>
    </row>
    <row r="127" spans="1:33" s="402" customFormat="1" x14ac:dyDescent="0.2">
      <c r="A127" s="436"/>
      <c r="B127" s="434"/>
      <c r="C127" s="440"/>
      <c r="D127" s="556"/>
      <c r="E127" s="485"/>
      <c r="F127" s="561"/>
      <c r="G127" s="546"/>
      <c r="I127" s="449"/>
      <c r="J127" s="450"/>
      <c r="K127" s="376"/>
      <c r="L127" s="376"/>
      <c r="M127" s="376"/>
      <c r="N127" s="376"/>
      <c r="O127" s="444"/>
      <c r="P127" s="444"/>
      <c r="Q127" s="434"/>
      <c r="R127" s="434"/>
      <c r="S127" s="434"/>
      <c r="T127" s="434"/>
      <c r="U127" s="434"/>
      <c r="V127" s="434"/>
      <c r="W127" s="434"/>
      <c r="X127" s="434"/>
      <c r="Y127" s="391"/>
      <c r="Z127" s="391"/>
      <c r="AA127" s="452"/>
      <c r="AB127" s="391"/>
      <c r="AC127" s="470"/>
      <c r="AF127" s="356"/>
      <c r="AG127" s="356"/>
    </row>
    <row r="128" spans="1:33" s="402" customFormat="1" x14ac:dyDescent="0.2">
      <c r="A128" s="434"/>
      <c r="B128" s="434"/>
      <c r="C128" s="440"/>
      <c r="D128" s="556"/>
      <c r="E128" s="485"/>
      <c r="F128" s="561"/>
      <c r="G128" s="546"/>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29"/>
      <c r="AE128" s="430"/>
      <c r="AF128" s="356"/>
      <c r="AG128" s="356"/>
    </row>
    <row r="129" spans="1:33" s="402" customFormat="1" x14ac:dyDescent="0.2">
      <c r="A129" s="436"/>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c r="AG129" s="356"/>
    </row>
    <row r="130" spans="1:33" s="402" customFormat="1" x14ac:dyDescent="0.2">
      <c r="A130" s="434"/>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row>
    <row r="131" spans="1:33" s="402" customFormat="1" x14ac:dyDescent="0.2">
      <c r="A131" s="436"/>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3" s="402" customFormat="1" x14ac:dyDescent="0.2">
      <c r="A132" s="434"/>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
      <c r="A133" s="436"/>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6"/>
      <c r="AE133" s="397"/>
      <c r="AF133" s="403"/>
    </row>
    <row r="134" spans="1:33" s="402" customFormat="1" x14ac:dyDescent="0.2">
      <c r="A134" s="434"/>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8"/>
      <c r="AE134" s="398"/>
      <c r="AF134" s="403"/>
    </row>
    <row r="135" spans="1:33" s="402" customFormat="1" x14ac:dyDescent="0.2">
      <c r="A135" s="436"/>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6"/>
      <c r="AE135" s="397"/>
      <c r="AF135" s="403"/>
    </row>
    <row r="136" spans="1:33" s="402" customFormat="1" x14ac:dyDescent="0.2">
      <c r="A136" s="434"/>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3" s="402" customFormat="1" x14ac:dyDescent="0.2">
      <c r="A137" s="436"/>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
      <c r="A138" s="434"/>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3"/>
      <c r="AF138" s="403"/>
    </row>
    <row r="139" spans="1:33" s="402" customFormat="1" x14ac:dyDescent="0.2">
      <c r="A139" s="436"/>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4"/>
      <c r="AF139" s="356"/>
    </row>
    <row r="140" spans="1:33" s="402" customFormat="1" x14ac:dyDescent="0.2">
      <c r="A140" s="434"/>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356"/>
    </row>
    <row r="141" spans="1:33" s="402" customFormat="1" x14ac:dyDescent="0.2">
      <c r="A141" s="436"/>
      <c r="B141" s="434"/>
      <c r="C141" s="440"/>
      <c r="D141" s="556"/>
      <c r="E141" s="485"/>
      <c r="F141" s="561"/>
      <c r="G141" s="546"/>
      <c r="I141" s="451"/>
      <c r="J141" s="450"/>
      <c r="K141" s="434"/>
      <c r="L141" s="434"/>
      <c r="M141" s="444"/>
      <c r="N141" s="444"/>
      <c r="O141" s="434"/>
      <c r="R141" s="434"/>
      <c r="S141" s="434"/>
      <c r="T141" s="434"/>
      <c r="U141" s="434"/>
      <c r="V141" s="434"/>
      <c r="W141" s="434"/>
      <c r="X141" s="434"/>
      <c r="Y141" s="391"/>
      <c r="Z141" s="370"/>
      <c r="AA141" s="452"/>
      <c r="AB141" s="370"/>
      <c r="AC141" s="465"/>
      <c r="AD141" s="396"/>
      <c r="AE141" s="397"/>
      <c r="AF141" s="398"/>
    </row>
    <row r="142" spans="1:33" s="402" customFormat="1" x14ac:dyDescent="0.2">
      <c r="A142" s="434"/>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81"/>
      <c r="AE142" s="381"/>
      <c r="AF142" s="396"/>
    </row>
    <row r="143" spans="1:33" s="402" customFormat="1" x14ac:dyDescent="0.2">
      <c r="A143" s="436"/>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70"/>
      <c r="AE143" s="370"/>
      <c r="AF143" s="396"/>
    </row>
    <row r="144" spans="1:33" s="402" customFormat="1" x14ac:dyDescent="0.2">
      <c r="A144" s="434"/>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94"/>
    </row>
    <row r="145" spans="1:32" s="402" customFormat="1" x14ac:dyDescent="0.2">
      <c r="A145" s="436"/>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67"/>
    </row>
    <row r="146" spans="1:32" s="402" customFormat="1" x14ac:dyDescent="0.2">
      <c r="A146" s="434"/>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
      <c r="A148" s="436"/>
      <c r="B148" s="434"/>
      <c r="C148" s="440"/>
      <c r="D148" s="556"/>
      <c r="E148" s="527"/>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3"/>
      <c r="AE148" s="383"/>
      <c r="AF148" s="374"/>
    </row>
    <row r="149" spans="1:32" s="402" customFormat="1" x14ac:dyDescent="0.2">
      <c r="A149" s="370"/>
      <c r="B149" s="434"/>
      <c r="C149" s="440"/>
      <c r="D149" s="556"/>
      <c r="E149" s="481"/>
      <c r="F149" s="561"/>
      <c r="G149" s="546"/>
      <c r="H149" s="441"/>
      <c r="I149" s="451"/>
      <c r="J149" s="450"/>
      <c r="K149" s="434"/>
      <c r="L149" s="434"/>
      <c r="M149" s="444"/>
      <c r="N149" s="444"/>
      <c r="O149" s="434"/>
      <c r="R149" s="434"/>
      <c r="S149" s="434"/>
      <c r="T149" s="434"/>
      <c r="U149" s="434"/>
      <c r="V149" s="434"/>
      <c r="W149" s="434"/>
      <c r="X149" s="434"/>
      <c r="Y149" s="370"/>
      <c r="Z149" s="370"/>
      <c r="AA149" s="370"/>
      <c r="AB149" s="370"/>
      <c r="AC149" s="465"/>
      <c r="AD149" s="384"/>
      <c r="AE149" s="384"/>
      <c r="AF149" s="374"/>
    </row>
    <row r="150" spans="1:32" s="402" customFormat="1" x14ac:dyDescent="0.2">
      <c r="A150" s="370"/>
      <c r="B150" s="370"/>
      <c r="C150" s="370"/>
      <c r="D150" s="552"/>
      <c r="E150" s="484"/>
      <c r="F150" s="370"/>
      <c r="G150" s="370"/>
      <c r="H150" s="393"/>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4"/>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9"/>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81"/>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0"/>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7"/>
      <c r="AE156" s="387"/>
      <c r="AF156" s="370"/>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3"/>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88"/>
      <c r="AE165" s="391"/>
      <c r="AF165" s="386"/>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9"/>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90"/>
      <c r="AF171" s="384"/>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89"/>
      <c r="AF172" s="386"/>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2"/>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ht="12.75" customHeigh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40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8"/>
    </row>
    <row r="243" spans="1:34" s="356" customFormat="1" ht="14.25" customHeigh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7"/>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7"/>
    </row>
    <row r="245" spans="1:34" s="404" customFormat="1" ht="12" customHeigh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356"/>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ht="17.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8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ht="13.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5"/>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77"/>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81"/>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70"/>
    </row>
    <row r="258" spans="1:34" s="356" customFormat="1" ht="12.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0"/>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1"/>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0"/>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3"/>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4"/>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70"/>
      <c r="AH263" s="384"/>
    </row>
    <row r="264" spans="1:34" s="356" customFormat="1" ht="14.2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3"/>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ht="12"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7" customFormat="1" ht="11.2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81"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x14ac:dyDescent="0.2">
      <c r="AG272" s="386"/>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x14ac:dyDescent="0.2">
      <c r="AG275" s="388"/>
    </row>
    <row r="276" spans="1:33" x14ac:dyDescent="0.2">
      <c r="AG276" s="388"/>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90"/>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7"/>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81"/>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6" spans="1:33" s="383"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7"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3"/>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7"/>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x14ac:dyDescent="0.2">
      <c r="AG312" s="388"/>
    </row>
    <row r="313" spans="1:33" x14ac:dyDescent="0.2">
      <c r="AG313" s="388"/>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27619.909917091838</v>
      </c>
      <c r="F22" s="33">
        <f>IF($I$22=1,C22*$C$8,C22*$G$7)+IF($J$22=1,D22*$C$6,D22*$G$6)</f>
        <v>1.96</v>
      </c>
      <c r="G22" s="32">
        <f t="shared" ref="G22:G29" ca="1" si="0">F22*E22</f>
        <v>54135.0234375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12194.839166135203</v>
      </c>
      <c r="F25" s="33">
        <f t="shared" si="1"/>
        <v>1.96</v>
      </c>
      <c r="G25" s="32">
        <f t="shared" ca="1" si="0"/>
        <v>23901.884765625</v>
      </c>
      <c r="I25" s="31"/>
      <c r="J25" s="31"/>
      <c r="K25" s="31"/>
    </row>
    <row r="26" spans="1:12" x14ac:dyDescent="0.2">
      <c r="B26" s="234" t="s">
        <v>47</v>
      </c>
      <c r="C26" s="235">
        <v>1</v>
      </c>
      <c r="D26" s="235">
        <v>0</v>
      </c>
      <c r="E26" s="32">
        <f ca="1">-INDEX(Economics!$A$34:$D$45,MATCH(Fuel!B26,Economics!$A$34:$A$45,0),4)/Fuel!F26</f>
        <v>10007.121930803572</v>
      </c>
      <c r="F26" s="33">
        <f t="shared" si="1"/>
        <v>1.96</v>
      </c>
      <c r="G26" s="32">
        <f t="shared" ca="1" si="0"/>
        <v>19613.958984375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2077.3920798788267</v>
      </c>
      <c r="F28" s="33">
        <f t="shared" si="1"/>
        <v>1.96</v>
      </c>
      <c r="G28" s="32">
        <f t="shared" ca="1" si="0"/>
        <v>4071.6884765625005</v>
      </c>
      <c r="I28" s="31"/>
      <c r="J28" s="31"/>
      <c r="K28" s="31"/>
    </row>
    <row r="29" spans="1:12" x14ac:dyDescent="0.2">
      <c r="B29" s="234" t="s">
        <v>50</v>
      </c>
      <c r="C29" s="235">
        <v>1</v>
      </c>
      <c r="D29" s="235">
        <v>0</v>
      </c>
      <c r="E29" s="32">
        <f ca="1">-INDEX(Economics!$A$34:$D$45,MATCH(Fuel!B29,Economics!$A$34:$A$45,0),4)/Fuel!F29</f>
        <v>2077.3920798788267</v>
      </c>
      <c r="F29" s="33">
        <f t="shared" si="1"/>
        <v>1.96</v>
      </c>
      <c r="G29" s="32">
        <f t="shared" ca="1" si="0"/>
        <v>4071.6884765625005</v>
      </c>
      <c r="I29" s="31"/>
      <c r="J29" s="31"/>
      <c r="K29" s="31"/>
    </row>
    <row r="30" spans="1:12" x14ac:dyDescent="0.2">
      <c r="B30" s="236"/>
      <c r="C30" s="36"/>
      <c r="D30" s="36"/>
      <c r="E30" s="34">
        <f ca="1">SUM(E22:E29)</f>
        <v>53976.655173788262</v>
      </c>
      <c r="F30" s="35"/>
      <c r="G30" s="34">
        <f ca="1">SUM(G22:G29)</f>
        <v>105794.244140625</v>
      </c>
      <c r="I30" s="31"/>
      <c r="J30" s="31"/>
      <c r="K30" s="31"/>
    </row>
    <row r="31" spans="1:12" x14ac:dyDescent="0.2">
      <c r="B31" s="236"/>
      <c r="I31" s="31"/>
      <c r="J31" s="31"/>
      <c r="K31" s="31"/>
    </row>
    <row r="32" spans="1:12" ht="13.5" thickBot="1" x14ac:dyDescent="0.25">
      <c r="B32" s="236" t="s">
        <v>18</v>
      </c>
      <c r="E32" s="7">
        <f ca="1">E15+E18+E30</f>
        <v>53976.655173788262</v>
      </c>
      <c r="F32" s="8"/>
      <c r="G32" s="7">
        <f ca="1">G15+G18+G30</f>
        <v>105794.244140625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503175.6</v>
      </c>
      <c r="C3" s="117">
        <f ca="1">6.8*0.75*E3</f>
        <v>123970.79999999999</v>
      </c>
      <c r="D3" s="117">
        <f ca="1">C3+B3</f>
        <v>627146.39999999991</v>
      </c>
      <c r="E3" s="118">
        <f ca="1">SUM(Preschedule!B59:Y59)</f>
        <v>24308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-2222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-15676.781120000003</v>
      </c>
      <c r="C28" s="120"/>
      <c r="D28" s="120">
        <f ca="1">C28+B28</f>
        <v>-15676.781120000003</v>
      </c>
      <c r="E28" s="114">
        <f>SUM(Preschedule!B56:Y56)</f>
        <v>1199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-29425.392</v>
      </c>
      <c r="C31" s="120"/>
      <c r="D31" s="120">
        <f>C31+B31</f>
        <v>-29425.392</v>
      </c>
      <c r="E31" s="114">
        <f>SUM(Preschedule!B54:Y54)</f>
        <v>4827</v>
      </c>
      <c r="F31" s="120">
        <f>H31*I31</f>
        <v>6.0960000000000001</v>
      </c>
      <c r="G31" s="79">
        <f>-IF(E31=0,0,D31/E31)</f>
        <v>6.0960000000000001</v>
      </c>
      <c r="H31" s="134">
        <v>10.16</v>
      </c>
      <c r="I31" s="135">
        <v>0.6</v>
      </c>
    </row>
    <row r="32" spans="1:9" x14ac:dyDescent="0.2">
      <c r="A32" s="83" t="s">
        <v>45</v>
      </c>
      <c r="B32" s="120">
        <f>-F32*E32</f>
        <v>-29431.488000000001</v>
      </c>
      <c r="C32" s="120"/>
      <c r="D32" s="120">
        <f>C32+B32</f>
        <v>-29431.488000000001</v>
      </c>
      <c r="E32" s="114">
        <f>SUM(Preschedule!B55:Y55)</f>
        <v>4828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-19613.958984375</v>
      </c>
      <c r="C35" s="120"/>
      <c r="D35" s="120">
        <f t="shared" ref="D35:D45" ca="1" si="7">IF(ISTEXT(B35),0,C35+B35)</f>
        <v>-19613.958984375</v>
      </c>
      <c r="E35" s="114">
        <f>SUM(Preschedule!B42:Y42)</f>
        <v>930</v>
      </c>
      <c r="F35" s="120">
        <f t="shared" ref="F35:F45" ca="1" si="8">-IF(OR(ISTEXT(B35),E35=0),0,B35/E35)</f>
        <v>21.090278477822579</v>
      </c>
      <c r="G35" s="79">
        <f t="shared" ca="1" si="6"/>
        <v>21.090278477822579</v>
      </c>
      <c r="H35" s="136"/>
      <c r="I35" s="135">
        <v>1.96</v>
      </c>
    </row>
    <row r="36" spans="1:9" x14ac:dyDescent="0.2">
      <c r="A36" s="83" t="s">
        <v>48</v>
      </c>
      <c r="B36" s="120">
        <f ca="1">Gencost(Preschedule!B43:Y43,OFFSET(HeatRateStart,1,MATCH(A36,HeatRateNames,0)-1,250,1),I36)</f>
        <v>-23901.884765625</v>
      </c>
      <c r="C36" s="120"/>
      <c r="D36" s="120">
        <f t="shared" ca="1" si="7"/>
        <v>-23901.884765625</v>
      </c>
      <c r="E36" s="114">
        <f>SUM(Preschedule!B43:Y43)</f>
        <v>1151</v>
      </c>
      <c r="F36" s="120">
        <f t="shared" ca="1" si="8"/>
        <v>20.766190065703736</v>
      </c>
      <c r="G36" s="79">
        <f t="shared" ca="1" si="6"/>
        <v>20.766190065703736</v>
      </c>
      <c r="H36" s="136"/>
      <c r="I36" s="135">
        <f>INDEX(FuelPriceTable,MATCH(A36,FuelNames,0),5)</f>
        <v>1.96</v>
      </c>
    </row>
    <row r="37" spans="1:9" x14ac:dyDescent="0.2">
      <c r="A37" s="83" t="s">
        <v>49</v>
      </c>
      <c r="B37" s="120">
        <f ca="1">Gencost(Preschedule!B44:Y44,OFFSET(HeatRateStart,1,MATCH(A37,HeatRateNames,0)-1,250,1),I37)</f>
        <v>-4071.6884765625</v>
      </c>
      <c r="C37" s="120"/>
      <c r="D37" s="120">
        <f t="shared" ca="1" si="7"/>
        <v>-4071.6884765625</v>
      </c>
      <c r="E37" s="114">
        <f>SUM(Preschedule!B44:Y44)</f>
        <v>120</v>
      </c>
      <c r="F37" s="120">
        <f t="shared" ca="1" si="8"/>
        <v>33.930737304687497</v>
      </c>
      <c r="G37" s="79">
        <f t="shared" ca="1" si="6"/>
        <v>33.930737304687497</v>
      </c>
      <c r="H37" s="136"/>
      <c r="I37" s="135">
        <f t="shared" ref="I37:I45" si="9">INDEX(FuelPriceTable,MATCH(A37,FuelNames,0),5)</f>
        <v>1.96</v>
      </c>
    </row>
    <row r="38" spans="1:9" x14ac:dyDescent="0.2">
      <c r="A38" s="83" t="s">
        <v>50</v>
      </c>
      <c r="B38" s="120">
        <f ca="1">Gencost(Preschedule!B45:Y45,OFFSET(HeatRateStart,1,MATCH(A38,HeatRateNames,0)-1,250,1),I38)</f>
        <v>-4071.6884765625</v>
      </c>
      <c r="C38" s="120"/>
      <c r="D38" s="120">
        <f t="shared" ca="1" si="7"/>
        <v>-4071.6884765625</v>
      </c>
      <c r="E38" s="114">
        <f>SUM(Preschedule!B45:Y45)</f>
        <v>120</v>
      </c>
      <c r="F38" s="120">
        <f t="shared" ca="1" si="8"/>
        <v>33.930737304687497</v>
      </c>
      <c r="G38" s="79">
        <f t="shared" ca="1" si="6"/>
        <v>33.930737304687497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-54135.0234375</v>
      </c>
      <c r="C41" s="120"/>
      <c r="D41" s="120">
        <f t="shared" ca="1" si="7"/>
        <v>-54135.0234375</v>
      </c>
      <c r="E41" s="114">
        <f>SUM(Preschedule!B48:Y48)</f>
        <v>2884</v>
      </c>
      <c r="F41" s="120">
        <f t="shared" ca="1" si="8"/>
        <v>18.77081256501387</v>
      </c>
      <c r="G41" s="79">
        <f t="shared" ca="1" si="6"/>
        <v>18.77081256501387</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37377.897916666669</v>
      </c>
    </row>
    <row r="2" spans="2:2" x14ac:dyDescent="0.2">
      <c r="B2" t="s">
        <v>367</v>
      </c>
    </row>
    <row r="3" spans="2:2" x14ac:dyDescent="0.2">
      <c r="B3" t="s">
        <v>391</v>
      </c>
    </row>
    <row r="4" spans="2:2" x14ac:dyDescent="0.2">
      <c r="B4" t="s">
        <v>372</v>
      </c>
    </row>
    <row r="5" spans="2:2" x14ac:dyDescent="0.2">
      <c r="B5" t="s">
        <v>387</v>
      </c>
    </row>
    <row r="6" spans="2:2" x14ac:dyDescent="0.2">
      <c r="B6" t="s">
        <v>388</v>
      </c>
    </row>
    <row r="7" spans="2:2" x14ac:dyDescent="0.2">
      <c r="B7" t="s">
        <v>350</v>
      </c>
    </row>
    <row r="8" spans="2:2" x14ac:dyDescent="0.2">
      <c r="B8" t="s">
        <v>352</v>
      </c>
    </row>
    <row r="9" spans="2:2" x14ac:dyDescent="0.2">
      <c r="B9" t="s">
        <v>397</v>
      </c>
    </row>
    <row r="10" spans="2:2" x14ac:dyDescent="0.2">
      <c r="B10" t="s">
        <v>398</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389</v>
      </c>
    </row>
    <row r="17" spans="2:2" x14ac:dyDescent="0.2">
      <c r="B17" t="s">
        <v>381</v>
      </c>
    </row>
    <row r="18" spans="2:2" x14ac:dyDescent="0.2">
      <c r="B18" t="s">
        <v>399</v>
      </c>
    </row>
    <row r="19" spans="2:2" x14ac:dyDescent="0.2">
      <c r="B19" t="s">
        <v>393</v>
      </c>
    </row>
    <row r="20" spans="2:2" x14ac:dyDescent="0.2">
      <c r="B20" t="s">
        <v>394</v>
      </c>
    </row>
    <row r="21" spans="2:2" x14ac:dyDescent="0.2">
      <c r="B21" t="s">
        <v>392</v>
      </c>
    </row>
    <row r="22" spans="2:2" x14ac:dyDescent="0.2">
      <c r="B22" t="s">
        <v>382</v>
      </c>
    </row>
    <row r="23" spans="2:2" x14ac:dyDescent="0.2">
      <c r="B23" t="s">
        <v>395</v>
      </c>
    </row>
    <row r="24" spans="2:2" x14ac:dyDescent="0.2">
      <c r="B24" t="s">
        <v>396</v>
      </c>
    </row>
    <row r="25" spans="2:2" x14ac:dyDescent="0.2">
      <c r="B25" t="s">
        <v>377</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2023-09-14T19:06:22Z</dcterms:modified>
</cp:coreProperties>
</file>