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EB027AC6-DD56-45C1-962D-6B8A3F6F1B6A}"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Deals!$A$2:$AF$238</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E8" i="1"/>
  <c r="AF8" i="1"/>
  <c r="AD9" i="1"/>
  <c r="AE9" i="1"/>
  <c r="AF9" i="1"/>
  <c r="AD10" i="1"/>
  <c r="AD11" i="1"/>
  <c r="AE11" i="1"/>
  <c r="AF11" i="1"/>
  <c r="AD12" i="1"/>
  <c r="AE12" i="1"/>
  <c r="AF12" i="1"/>
  <c r="AD13"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D39" i="1"/>
  <c r="I39" i="1"/>
  <c r="AD39" i="1"/>
  <c r="AE39" i="1"/>
  <c r="AF39" i="1"/>
  <c r="D40" i="1"/>
  <c r="I40" i="1"/>
  <c r="AD40" i="1"/>
  <c r="AE40" i="1"/>
  <c r="AF40" i="1"/>
  <c r="AD41" i="1"/>
  <c r="AE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D63" i="1"/>
  <c r="I63" i="1"/>
  <c r="AD63" i="1"/>
  <c r="AE63" i="1"/>
  <c r="AF63" i="1"/>
  <c r="D64" i="1"/>
  <c r="I64"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6" i="1"/>
  <c r="AE76" i="1"/>
  <c r="AF76" i="1"/>
  <c r="AD77" i="1"/>
  <c r="AE77" i="1"/>
  <c r="AF77" i="1"/>
  <c r="AD79" i="1"/>
  <c r="AE79" i="1"/>
  <c r="AF79" i="1"/>
  <c r="AD80" i="1"/>
  <c r="AE80" i="1"/>
  <c r="AF80" i="1"/>
  <c r="AD81" i="1"/>
  <c r="AE81" i="1"/>
  <c r="AF81" i="1"/>
  <c r="AD82" i="1"/>
  <c r="AE82" i="1"/>
  <c r="AF82" i="1"/>
  <c r="AD83" i="1"/>
  <c r="AE83" i="1"/>
  <c r="AF83" i="1"/>
  <c r="AD84" i="1"/>
  <c r="AE84" i="1"/>
  <c r="AF84" i="1"/>
  <c r="AD86" i="1"/>
  <c r="AE86" i="1"/>
  <c r="AD87" i="1"/>
  <c r="AE87" i="1"/>
  <c r="AF87" i="1"/>
  <c r="AD88" i="1"/>
  <c r="AE88" i="1"/>
  <c r="AF88" i="1"/>
  <c r="AD89" i="1"/>
  <c r="AE89" i="1"/>
  <c r="AF89" i="1"/>
  <c r="AD90" i="1"/>
  <c r="AE90" i="1"/>
  <c r="AD92" i="1"/>
  <c r="AE92" i="1"/>
  <c r="AF92" i="1"/>
  <c r="AD93" i="1"/>
  <c r="AE93" i="1"/>
  <c r="AF93" i="1"/>
  <c r="AD94" i="1"/>
  <c r="AE94" i="1"/>
  <c r="AF94" i="1"/>
  <c r="AD95" i="1"/>
  <c r="AE95" i="1"/>
  <c r="AF95" i="1"/>
  <c r="AD96" i="1"/>
  <c r="AE96" i="1"/>
  <c r="AF96" i="1"/>
  <c r="AD97" i="1"/>
  <c r="AE97" i="1"/>
  <c r="AF97" i="1"/>
  <c r="AD105" i="1"/>
  <c r="AE105" i="1"/>
  <c r="AD106" i="1"/>
  <c r="AE106" i="1"/>
  <c r="AD110" i="1"/>
  <c r="AE110"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M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 ref="A80" authorId="0" shapeId="0">
      <text>
        <r>
          <rPr>
            <b/>
            <sz val="12"/>
            <color indexed="81"/>
            <rFont val="Tahoma"/>
            <family val="2"/>
          </rPr>
          <t>Les's schedule has 25mws PSCO swears it is 50mws.</t>
        </r>
      </text>
    </comment>
    <comment ref="A82" authorId="0" shapeId="0">
      <text>
        <r>
          <rPr>
            <b/>
            <sz val="12"/>
            <color indexed="81"/>
            <rFont val="Tahoma"/>
            <family val="2"/>
          </rPr>
          <t>This schedule was not on Les's EPE schedule.  Tag#0040504</t>
        </r>
      </text>
    </comment>
  </commentList>
</comments>
</file>

<file path=xl/comments2.xml><?xml version="1.0" encoding="utf-8"?>
<comments xmlns="http://schemas.openxmlformats.org/spreadsheetml/2006/main">
  <authors>
    <author xml:space="preserve">Anderson:  </author>
    <author>A satisfied Microsoft Office user</author>
  </authors>
  <commentList>
    <comment ref="M58" authorId="0" shapeId="0">
      <text>
        <r>
          <rPr>
            <sz val="10"/>
            <color indexed="81"/>
            <rFont val="Tahoma"/>
            <family val="2"/>
          </rPr>
          <t>Anderson: : Purchased 25MW of Spinning Reserves.</t>
        </r>
        <r>
          <rPr>
            <sz val="8"/>
            <color indexed="81"/>
            <rFont val="Tahoma"/>
          </rPr>
          <t xml:space="preserve">
</t>
        </r>
      </text>
    </comment>
    <comment ref="N58" authorId="0" shapeId="0">
      <text>
        <r>
          <rPr>
            <sz val="10"/>
            <color indexed="81"/>
            <rFont val="Tahoma"/>
            <family val="2"/>
          </rPr>
          <t>Anderson: : Purchased 25MW of Spinning Reserves.</t>
        </r>
        <r>
          <rPr>
            <sz val="8"/>
            <color indexed="81"/>
            <rFont val="Tahoma"/>
          </rPr>
          <t xml:space="preserve">
</t>
        </r>
      </text>
    </comment>
    <comment ref="O58" authorId="0" shapeId="0">
      <text>
        <r>
          <rPr>
            <sz val="10"/>
            <color indexed="81"/>
            <rFont val="Tahoma"/>
            <family val="2"/>
          </rPr>
          <t>Anderson: : Purchased 25MW of Spinning Reserves.</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<sst xmlns="http://schemas.openxmlformats.org/spreadsheetml/2006/main" count="778" uniqueCount="403">
  <si>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</si>
  <si>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</si>
  <si>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</si>
  <si>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</si>
  <si>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</si>
  <si>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</si>
  <si>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</si>
  <si>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</si>
  <si>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</si>
  <si>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</si>
  <si>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</si>
  <si>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</si>
  <si>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</si>
  <si>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</si>
  <si>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</si>
  <si>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</si>
  <si>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</si>
  <si>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</si>
  <si>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</si>
  <si>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</si>
  <si>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</si>
  <si>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</si>
  <si>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</si>
  <si>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</si>
  <si>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</si>
  <si>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</si>
  <si>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</si>
  <si>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</si>
  <si>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</si>
  <si>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</si>
  <si>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</si>
  <si>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</si>
  <si>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</si>
  <si>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</si>
  <si>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</si>
  <si>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</si>
  <si>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</si>
  <si>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</si>
  <si>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</si>
  <si>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</si>
  <si>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</si>
  <si>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</si>
  <si>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</si>
  <si>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</si>
  <si>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</si>
  <si>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</si>
  <si>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</si>
  <si>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</si>
  <si>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</si>
  <si>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</si>
  <si>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</si>
  <si>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</si>
  <si>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</si>
  <si>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</si>
  <si>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</si>
  <si>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</si>
  <si>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</si>
  <si>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</si>
  <si>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</si>
  <si>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</si>
  <si>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</si>
  <si>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</si>
  <si>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</si>
  <si>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</si>
  <si>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</si>
  <si>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</si>
  <si>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</si>
  <si>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</si>
  <si>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</si>
  <si>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</si>
  <si>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</si>
  <si>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</si>
  <si>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</si>
  <si>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</si>
  <si>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</si>
  <si>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</si>
  <si>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</si>
  <si>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</si>
  <si>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</si>
  <si>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</si>
  <si>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</si>
  <si>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</si>
  <si>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</si>
  <si>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</si>
  <si>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</si>
  <si>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</si>
  <si>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</si>
  <si>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</si>
  <si>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</si>
  <si>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</si>
  <si>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</si>
  <si>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</si>
  <si>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</si>
  <si>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</si>
  <si>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</si>
  <si>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</si>
  <si>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</si>
  <si>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</si>
  <si>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</si>
  <si>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</si>
  <si>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</si>
  <si>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</si>
  <si>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</si>
  <si>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</si>
  <si>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</si>
  <si>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</si>
  <si>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</si>
  <si>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</si>
  <si>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</si>
  <si>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</si>
  <si>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</si>
  <si>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</si>
  <si>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</si>
  <si>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</si>
  <si>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</si>
  <si>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</si>
  <si>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</si>
  <si>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</si>
  <si>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</si>
  <si>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</si>
  <si>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</si>
  <si>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</si>
  <si>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</si>
  <si>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</si>
  <si>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</si>
  <si>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</si>
  <si>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</si>
  <si>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</si>
  <si>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</si>
  <si>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</si>
  <si>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</si>
  <si>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</si>
  <si>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</si>
  <si>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</si>
  <si>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</si>
  <si>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</si>
  <si>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</si>
  <si>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</si>
  <si>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</si>
  <si>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</si>
  <si>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</si>
  <si>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</si>
  <si>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</si>
  <si>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</si>
  <si>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</si>
  <si>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</si>
  <si>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</si>
  <si>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</si>
  <si>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</si>
  <si>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</si>
  <si>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</si>
  <si>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</si>
  <si>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</si>
  <si>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</si>
  <si>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</si>
  <si>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</si>
  <si>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</si>
  <si>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</si>
  <si>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</si>
  <si>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</si>
  <si>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</si>
  <si>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</si>
  <si>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</si>
  <si>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</si>
  <si>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</si>
  <si>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</si>
  <si>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</si>
  <si>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</si>
  <si>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</si>
  <si>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</si>
  <si>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</si>
  <si>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</si>
  <si>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</si>
  <si>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</si>
  <si>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</si>
  <si>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</si>
  <si>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</si>
  <si>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</si>
  <si>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</si>
  <si>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</si>
  <si>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</si>
  <si>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</si>
  <si>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</si>
  <si>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</si>
  <si>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</si>
  <si>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</si>
  <si>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</si>
  <si>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</si>
  <si>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</si>
  <si>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</si>
  <si>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</si>
  <si>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</si>
  <si>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</si>
  <si>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</si>
  <si>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</si>
  <si>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</si>
  <si>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</si>
  <si>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</si>
  <si>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</si>
  <si>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</si>
  <si>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</si>
  <si>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</si>
  <si>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</si>
  <si>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</si>
  <si>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</si>
  <si>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</si>
  <si>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</si>
  <si>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</si>
  <si>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</si>
  <si>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</si>
  <si>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</si>
  <si>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</si>
  <si>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</si>
  <si>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</si>
  <si>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</si>
  <si>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</si>
  <si>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</si>
  <si>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</si>
  <si>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</si>
  <si>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</si>
  <si>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</si>
  <si>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</si>
  <si>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</si>
  <si>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</si>
  <si>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</si>
  <si>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</si>
  <si>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</si>
  <si>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</si>
  <si>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</si>
  <si>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</si>
  <si>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</si>
  <si>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</si>
  <si>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</si>
  <si>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</si>
  <si>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</si>
  <si>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</si>
  <si>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</si>
  <si>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</si>
  <si>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</si>
  <si>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</si>
  <si>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</si>
  <si>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</si>
  <si>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</si>
  <si>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</si>
  <si>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</si>
  <si>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</si>
  <si>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</si>
  <si>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</si>
  <si>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</si>
  <si>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</si>
  <si>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</si>
  <si>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</si>
  <si>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</si>
  <si>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</si>
  <si>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</si>
  <si>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</si>
  <si>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</si>
  <si>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</si>
  <si>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</si>
  <si>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</si>
  <si>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</si>
  <si>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</si>
  <si>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</si>
  <si>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</si>
  <si>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</si>
  <si>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</si>
  <si>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</si>
  <si>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</si>
  <si>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</si>
  <si>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</si>
  <si>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</si>
  <si>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</si>
  <si>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</si>
  <si>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</si>
  <si>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</si>
  <si>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</si>
  <si>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</si>
  <si>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</si>
  <si>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</si>
  <si>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</si>
  <si>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</si>
  <si>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</si>
  <si>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</si>
  <si>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</si>
  <si>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</si>
  <si>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</si>
  <si>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</si>
  <si>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</si>
  <si>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</si>
  <si>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</si>
  <si>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</si>
  <si>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</si>
  <si>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</si>
  <si>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</si>
  <si>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</si>
  <si>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</si>
  <si>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</si>
  <si>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</si>
  <si>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</si>
  <si>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</si>
  <si>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</si>
  <si>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</si>
  <si>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</si>
  <si>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</si>
  <si>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</si>
  <si>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</si>
  <si>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</si>
  <si>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</si>
  <si>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</si>
  <si>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</si>
  <si>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</si>
  <si>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</si>
  <si>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</si>
  <si>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</si>
  <si>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</si>
  <si>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</si>
  <si>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</si>
  <si>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</si>
  <si>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</si>
  <si>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</si>
  <si>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</si>
  <si>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</si>
  <si>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</si>
  <si>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</si>
  <si>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</si>
  <si>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</si>
  <si>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</si>
  <si>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</si>
  <si>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</si>
  <si>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</si>
  <si>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</si>
  <si>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</si>
  <si>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</si>
  <si>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</si>
  <si>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</si>
  <si>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</si>
  <si>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</si>
  <si>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</si>
  <si>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</si>
  <si>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</si>
  <si>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</si>
  <si>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</si>
  <si>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</si>
  <si>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</si>
  <si>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</si>
  <si>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</si>
  <si>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</si>
  <si>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</si>
  <si>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</si>
  <si>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</si>
  <si>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</si>
  <si>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</si>
  <si>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</si>
  <si>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</si>
  <si>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</si>
  <si>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</si>
  <si>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</si>
  <si>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</si>
  <si>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</si>
  <si>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</si>
  <si>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</si>
  <si>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</si>
  <si>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</si>
  <si>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</si>
  <si>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</si>
  <si>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</si>
  <si>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</si>
  <si>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</si>
  <si>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</si>
  <si>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</si>
  <si>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</si>
  <si>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</si>
  <si>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</si>
  <si>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</si>
  <si>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</si>
  <si>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</si>
  <si>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</si>
  <si>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</si>
  <si>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</si>
  <si>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</si>
  <si>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</si>
  <si>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RIOGRAN 8,UNAV,  0  ,120  , 36  ,151  ,  0  ,1</t>
  </si>
  <si>
    <t>FOURCRNRS,MANL, 52  , 52  , 52  ,104  ,  0  ,1</t>
  </si>
  <si>
    <t>Firm</t>
  </si>
  <si>
    <t>ISO</t>
  </si>
  <si>
    <t>SPS(BOOKOUT)</t>
  </si>
  <si>
    <t>SRP(LENDING)</t>
  </si>
  <si>
    <t>APS(LENDING)</t>
  </si>
  <si>
    <t>NEWMAN 2 ,ECON, 34  , 55  , 34  , 83  , 21  ,1</t>
  </si>
  <si>
    <t>PGT     ,LOSS    ,LC,  ,  -1,  -2</t>
  </si>
  <si>
    <t>Econ</t>
  </si>
  <si>
    <t>NEWMN/GT1,MANL, 21  , 60  , 18  , 60  ,  0  ,1</t>
  </si>
  <si>
    <t>NEWMN/GT2,MANL, 20  , 60  , 18  , 60  ,  0  ,1</t>
  </si>
  <si>
    <t>NEWMAN 4 ,UNAV,  0  ,215  , 86  ,214  ,  0  ,1</t>
  </si>
  <si>
    <t>PALOVERDE,MANL,604  ,600  ,600  ,600  ,  0  ,1</t>
  </si>
  <si>
    <t>APS     ,ECON    ,PV,  , -50, -50</t>
  </si>
  <si>
    <t>APS     ,FIRM    ,FC,  ,  25,  25</t>
  </si>
  <si>
    <t>IID     ,EXCS    ,PV,  ,   8,   0</t>
  </si>
  <si>
    <t>IID     ,FIRM    ,PV,  ,  84,  84</t>
  </si>
  <si>
    <t>PNM     ,LOSS    ,WM,  ,   3,   3</t>
  </si>
  <si>
    <t>NEWMAN 3 ,ECON, 64  , 90  , 35  ,103  , 25  ,1</t>
  </si>
  <si>
    <t xml:space="preserve">NEWMAN   ,, 139 ,  265,  105, 306 ,  47 , </t>
  </si>
  <si>
    <t>LAMBDA, 29.25,  667,  669,  156,   -3,    0, 9474,0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</si>
</sst>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51" fillId="13" borderId="61" xfId="0" applyFont="1" applyFill="1" applyBorder="1" applyAlignment="1" applyProtection="1">
      <alignment wrapText="1"/>
      <protection locked="0"/>
    </xf>
    <xf numFmtId="0" fontId="51" fillId="13" borderId="69" xfId="0" applyFont="1" applyFill="1" applyBorder="1" applyAlignment="1" applyProtection="1">
      <alignment wrapText="1"/>
      <protection locked="0"/>
    </xf>
    <xf numFmtId="0" fontId="51" fillId="13" borderId="60" xfId="0" applyFont="1" applyFill="1" applyBorder="1" applyAlignment="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AC45E0D2-BF41-E4DD-667F-2B508608EB7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D0C0F7C-35B8-3189-EFB6-0C73A209920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100</xdr:row>
      <xdr:rowOff>114300</xdr:rowOff>
    </xdr:from>
    <xdr:to>
      <xdr:col>22</xdr:col>
      <xdr:colOff>123825</xdr:colOff>
      <xdr:row>109</xdr:row>
      <xdr:rowOff>95250</xdr:rowOff>
    </xdr:to>
    <xdr:sp macro="" textlink="">
      <xdr:nvSpPr>
        <xdr:cNvPr id="2303" name="Text Box 255">
          <a:extLst>
            <a:ext uri="{FF2B5EF4-FFF2-40B4-BE49-F238E27FC236}">
              <a16:creationId xmlns:a16="http://schemas.microsoft.com/office/drawing/2014/main" id="{73A8F313-8166-70C0-21CF-0738C4F0EDEB}"/>
            </a:ext>
          </a:extLst>
        </xdr:cNvPr>
        <xdr:cNvSpPr txBox="1">
          <a:spLocks noChangeArrowheads="1"/>
        </xdr:cNvSpPr>
      </xdr:nvSpPr>
      <xdr:spPr bwMode="auto">
        <a:xfrm>
          <a:off x="171450" y="8763000"/>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116</xdr:row>
      <xdr:rowOff>0</xdr:rowOff>
    </xdr:from>
    <xdr:to>
      <xdr:col>22</xdr:col>
      <xdr:colOff>66675</xdr:colOff>
      <xdr:row>122</xdr:row>
      <xdr:rowOff>47625</xdr:rowOff>
    </xdr:to>
    <xdr:sp macro="" textlink="">
      <xdr:nvSpPr>
        <xdr:cNvPr id="10463" name="Text Box 1247">
          <a:extLst>
            <a:ext uri="{FF2B5EF4-FFF2-40B4-BE49-F238E27FC236}">
              <a16:creationId xmlns:a16="http://schemas.microsoft.com/office/drawing/2014/main" id="{95E48206-2960-E4A8-54FF-58F0ED675FFB}"/>
            </a:ext>
          </a:extLst>
        </xdr:cNvPr>
        <xdr:cNvSpPr txBox="1">
          <a:spLocks noChangeArrowheads="1"/>
        </xdr:cNvSpPr>
      </xdr:nvSpPr>
      <xdr:spPr bwMode="auto">
        <a:xfrm>
          <a:off x="209550" y="11439525"/>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D9656568-0280-1763-EA57-DF95F77639C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C09B1BC5-F4CB-A74E-712F-43B2BBCFA47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C7562927-0DF9-8183-D841-A4F84FFDABA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BA85C723-AD13-10A6-BCE2-B9A10BFFF42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0"/>
  <sheetViews>
    <sheetView showGridLines="0" zoomScale="60" zoomScaleNormal="65" workbookViewId="0">
      <selection activeCell="AC4" sqref="AC4"/>
    </sheetView>
  </sheetViews>
  <sheetFormatPr defaultColWidth="6.140625" defaultRowHeight="12.75" x14ac:dyDescent="0.2"/>
  <cols>
    <col min="1" max="1" width="24.5703125" style="370" customWidth="1"/>
    <col min="2" max="2" width="9.5703125" style="370" customWidth="1"/>
    <col min="3" max="4" width="8.42578125" style="370" customWidth="1"/>
    <col min="5" max="5" width="5.28515625" style="370" customWidth="1"/>
    <col min="6" max="12" width="7" style="370" customWidth="1"/>
    <col min="13" max="14" width="7" style="385" customWidth="1"/>
    <col min="15" max="28" width="7" style="370" customWidth="1"/>
    <col min="29" max="29" width="7"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84</v>
      </c>
      <c r="G3" s="660">
        <v>75</v>
      </c>
      <c r="H3" s="660">
        <v>75</v>
      </c>
      <c r="I3" s="660">
        <v>75</v>
      </c>
      <c r="J3" s="660">
        <v>75</v>
      </c>
      <c r="K3" s="660">
        <v>75</v>
      </c>
      <c r="L3" s="660">
        <v>84</v>
      </c>
      <c r="M3" s="660">
        <v>108</v>
      </c>
      <c r="N3" s="660">
        <v>108</v>
      </c>
      <c r="O3" s="660">
        <v>108</v>
      </c>
      <c r="P3" s="660">
        <v>108</v>
      </c>
      <c r="Q3" s="660">
        <v>108</v>
      </c>
      <c r="R3" s="660">
        <v>108</v>
      </c>
      <c r="S3" s="660">
        <v>108</v>
      </c>
      <c r="T3" s="660">
        <v>108</v>
      </c>
      <c r="U3" s="660">
        <v>108</v>
      </c>
      <c r="V3" s="660">
        <v>108</v>
      </c>
      <c r="W3" s="660">
        <v>108</v>
      </c>
      <c r="X3" s="660">
        <v>108</v>
      </c>
      <c r="Y3" s="660">
        <v>108</v>
      </c>
      <c r="Z3" s="660">
        <v>108</v>
      </c>
      <c r="AA3" s="660">
        <v>108</v>
      </c>
      <c r="AB3" s="660">
        <v>108</v>
      </c>
      <c r="AC3" s="660">
        <v>84</v>
      </c>
      <c r="AD3" s="601">
        <f>SUM(F3:AC3)</f>
        <v>2355</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50</v>
      </c>
      <c r="G4" s="598">
        <v>50</v>
      </c>
      <c r="H4" s="598">
        <v>50</v>
      </c>
      <c r="I4" s="598">
        <v>50</v>
      </c>
      <c r="J4" s="598">
        <v>50</v>
      </c>
      <c r="K4" s="598">
        <v>55</v>
      </c>
      <c r="L4" s="598">
        <v>65</v>
      </c>
      <c r="M4" s="598">
        <v>75</v>
      </c>
      <c r="N4" s="598">
        <v>75</v>
      </c>
      <c r="O4" s="598">
        <v>75</v>
      </c>
      <c r="P4" s="598">
        <v>75</v>
      </c>
      <c r="Q4" s="598">
        <v>75</v>
      </c>
      <c r="R4" s="598">
        <v>75</v>
      </c>
      <c r="S4" s="598">
        <v>75</v>
      </c>
      <c r="T4" s="598">
        <v>75</v>
      </c>
      <c r="U4" s="598">
        <v>75</v>
      </c>
      <c r="V4" s="598">
        <v>70</v>
      </c>
      <c r="W4" s="598">
        <v>75</v>
      </c>
      <c r="X4" s="598">
        <v>75</v>
      </c>
      <c r="Y4" s="598">
        <v>75</v>
      </c>
      <c r="Z4" s="598">
        <v>75</v>
      </c>
      <c r="AA4" s="598">
        <v>75</v>
      </c>
      <c r="AB4" s="598">
        <v>70</v>
      </c>
      <c r="AC4" s="598">
        <v>60</v>
      </c>
      <c r="AD4" s="565">
        <f>SUM(F4:AC4)</f>
        <v>1620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v>-50</v>
      </c>
      <c r="G7" s="676">
        <v>0</v>
      </c>
      <c r="H7" s="676">
        <v>0</v>
      </c>
      <c r="I7" s="676">
        <v>0</v>
      </c>
      <c r="J7" s="676">
        <v>0</v>
      </c>
      <c r="K7" s="676">
        <v>0</v>
      </c>
      <c r="L7" s="676">
        <v>-30</v>
      </c>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v>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F104</f>
        <v>0</v>
      </c>
      <c r="E17" s="472"/>
      <c r="F17" s="475">
        <v>0</v>
      </c>
      <c r="G17" s="625"/>
      <c r="H17" s="475"/>
      <c r="I17" s="472">
        <f>K104</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F105</f>
        <v>0</v>
      </c>
      <c r="E18" s="472"/>
      <c r="F18" s="475"/>
      <c r="G18" s="475"/>
      <c r="H18" s="475"/>
      <c r="I18" s="472">
        <f>K105</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F106</f>
        <v>0</v>
      </c>
      <c r="E19" s="472"/>
      <c r="F19" s="475"/>
      <c r="G19" s="625"/>
      <c r="H19" s="475"/>
      <c r="I19" s="472">
        <f>K106</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F107</f>
        <v>0</v>
      </c>
      <c r="E20" s="472"/>
      <c r="F20" s="475"/>
      <c r="G20" s="625"/>
      <c r="H20" s="475"/>
      <c r="I20" s="472">
        <f>K107</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F108</f>
        <v>0</v>
      </c>
      <c r="E21" s="472"/>
      <c r="F21" s="475"/>
      <c r="G21" s="625"/>
      <c r="H21" s="475"/>
      <c r="I21" s="472">
        <f t="shared" ref="I21:I40" si="4">K108</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F134</f>
        <v>0</v>
      </c>
      <c r="E42" s="472"/>
      <c r="F42" s="475">
        <v>0</v>
      </c>
      <c r="G42" s="475"/>
      <c r="H42" s="475"/>
      <c r="I42" s="472">
        <f t="shared" ref="I42:I64" si="6">K134</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4" si="9">SUM(E66:AC66)</f>
        <v>0</v>
      </c>
      <c r="AE66" s="649">
        <f t="shared" ref="AE66:AE74" si="10">AD66*D66</f>
        <v>0</v>
      </c>
      <c r="AF66" s="650" t="str">
        <f t="shared" ref="AF66:AF74" si="11">IF(AD66&lt;0,"buy","sell")</f>
        <v>sell</v>
      </c>
    </row>
    <row r="67" spans="1:32" s="356" customFormat="1" ht="12.75" customHeight="1" x14ac:dyDescent="0.2">
      <c r="A67" s="585" t="s">
        <v>65</v>
      </c>
      <c r="B67" s="587" t="s">
        <v>240</v>
      </c>
      <c r="C67" s="587" t="s">
        <v>151</v>
      </c>
      <c r="D67" s="655"/>
      <c r="E67" s="654"/>
      <c r="F67" s="475">
        <v>50</v>
      </c>
      <c r="G67" s="475"/>
      <c r="H67" s="475"/>
      <c r="I67" s="475"/>
      <c r="J67" s="475"/>
      <c r="K67" s="475"/>
      <c r="L67" s="475"/>
      <c r="M67" s="475"/>
      <c r="N67" s="475"/>
      <c r="O67" s="475"/>
      <c r="P67" s="475"/>
      <c r="Q67" s="475"/>
      <c r="R67" s="475"/>
      <c r="S67" s="688"/>
      <c r="T67" s="475"/>
      <c r="U67" s="475"/>
      <c r="V67" s="475"/>
      <c r="W67" s="475"/>
      <c r="X67" s="475"/>
      <c r="Y67" s="475"/>
      <c r="Z67" s="475"/>
      <c r="AA67" s="475"/>
      <c r="AB67" s="475"/>
      <c r="AC67" s="475"/>
      <c r="AD67" s="563">
        <f>SUM(E67:AC67)</f>
        <v>50</v>
      </c>
      <c r="AE67" s="649">
        <f>AD67*D67</f>
        <v>0</v>
      </c>
      <c r="AF67" s="650" t="str">
        <f>IF(AD67&lt;0,"buy","sell")</f>
        <v>sell</v>
      </c>
    </row>
    <row r="68" spans="1:32" s="356" customFormat="1" ht="12.75" customHeight="1" x14ac:dyDescent="0.2">
      <c r="A68" s="585" t="s">
        <v>224</v>
      </c>
      <c r="B68" s="587" t="s">
        <v>240</v>
      </c>
      <c r="C68" s="584" t="s">
        <v>268</v>
      </c>
      <c r="D68" s="655"/>
      <c r="E68" s="654"/>
      <c r="F68" s="475">
        <v>25</v>
      </c>
      <c r="G68" s="475">
        <v>25</v>
      </c>
      <c r="H68" s="475">
        <v>25</v>
      </c>
      <c r="I68" s="475">
        <v>25</v>
      </c>
      <c r="J68" s="475">
        <v>25</v>
      </c>
      <c r="K68" s="475">
        <v>25</v>
      </c>
      <c r="L68" s="475">
        <v>25</v>
      </c>
      <c r="M68" s="475"/>
      <c r="N68" s="475"/>
      <c r="O68" s="475"/>
      <c r="P68" s="475"/>
      <c r="Q68" s="475"/>
      <c r="R68" s="475"/>
      <c r="S68" s="475"/>
      <c r="T68" s="475"/>
      <c r="U68" s="475"/>
      <c r="V68" s="475"/>
      <c r="W68" s="475"/>
      <c r="X68" s="475"/>
      <c r="Y68" s="475"/>
      <c r="Z68" s="475"/>
      <c r="AA68" s="475"/>
      <c r="AB68" s="475"/>
      <c r="AC68" s="475">
        <v>25</v>
      </c>
      <c r="AD68" s="563">
        <f>SUM(E68:AC68)</f>
        <v>200</v>
      </c>
      <c r="AE68" s="649">
        <f>AD68*D68</f>
        <v>0</v>
      </c>
      <c r="AF68" s="650" t="str">
        <f>IF(AD68&lt;0,"buy","sell")</f>
        <v>sell</v>
      </c>
    </row>
    <row r="69" spans="1:32" s="356" customFormat="1" ht="12.75" customHeight="1" x14ac:dyDescent="0.2">
      <c r="A69" s="585" t="s">
        <v>63</v>
      </c>
      <c r="B69" s="587" t="s">
        <v>240</v>
      </c>
      <c r="C69" s="584" t="s">
        <v>268</v>
      </c>
      <c r="D69" s="655"/>
      <c r="E69" s="654"/>
      <c r="F69" s="475"/>
      <c r="G69" s="475"/>
      <c r="H69" s="475"/>
      <c r="I69" s="475"/>
      <c r="J69" s="475"/>
      <c r="K69" s="475"/>
      <c r="L69" s="475">
        <v>30</v>
      </c>
      <c r="M69" s="475">
        <v>30</v>
      </c>
      <c r="N69" s="475">
        <v>30</v>
      </c>
      <c r="O69" s="475">
        <v>30</v>
      </c>
      <c r="P69" s="475">
        <v>30</v>
      </c>
      <c r="Q69" s="475">
        <v>30</v>
      </c>
      <c r="R69" s="475">
        <v>30</v>
      </c>
      <c r="S69" s="475">
        <v>30</v>
      </c>
      <c r="T69" s="475">
        <v>30</v>
      </c>
      <c r="U69" s="475">
        <v>30</v>
      </c>
      <c r="V69" s="475">
        <v>30</v>
      </c>
      <c r="W69" s="475">
        <v>30</v>
      </c>
      <c r="X69" s="475">
        <v>30</v>
      </c>
      <c r="Y69" s="475">
        <v>30</v>
      </c>
      <c r="Z69" s="475">
        <v>30</v>
      </c>
      <c r="AA69" s="475">
        <v>30</v>
      </c>
      <c r="AB69" s="475">
        <v>30</v>
      </c>
      <c r="AC69" s="475"/>
      <c r="AD69" s="563">
        <f t="shared" si="9"/>
        <v>510</v>
      </c>
      <c r="AE69" s="649">
        <f t="shared" si="10"/>
        <v>0</v>
      </c>
      <c r="AF69" s="650" t="str">
        <f t="shared" si="11"/>
        <v>sell</v>
      </c>
    </row>
    <row r="70" spans="1:32" s="356" customFormat="1" ht="12.75" customHeight="1" x14ac:dyDescent="0.2">
      <c r="A70" s="585" t="s">
        <v>224</v>
      </c>
      <c r="B70" s="587" t="s">
        <v>240</v>
      </c>
      <c r="C70" s="584" t="s">
        <v>151</v>
      </c>
      <c r="D70" s="655"/>
      <c r="E70" s="654"/>
      <c r="F70" s="475"/>
      <c r="G70" s="475"/>
      <c r="H70" s="475"/>
      <c r="I70" s="475"/>
      <c r="J70" s="475"/>
      <c r="K70" s="475"/>
      <c r="L70" s="475"/>
      <c r="M70" s="475">
        <v>25</v>
      </c>
      <c r="N70" s="475">
        <v>25</v>
      </c>
      <c r="O70" s="475">
        <v>25</v>
      </c>
      <c r="P70" s="475">
        <v>25</v>
      </c>
      <c r="Q70" s="475">
        <v>25</v>
      </c>
      <c r="R70" s="475">
        <v>25</v>
      </c>
      <c r="S70" s="475">
        <v>25</v>
      </c>
      <c r="T70" s="475">
        <v>25</v>
      </c>
      <c r="U70" s="475">
        <v>25</v>
      </c>
      <c r="V70" s="475">
        <v>25</v>
      </c>
      <c r="W70" s="475">
        <v>25</v>
      </c>
      <c r="X70" s="475">
        <v>25</v>
      </c>
      <c r="Y70" s="475">
        <v>25</v>
      </c>
      <c r="Z70" s="475">
        <v>25</v>
      </c>
      <c r="AA70" s="475">
        <v>25</v>
      </c>
      <c r="AB70" s="475">
        <v>25</v>
      </c>
      <c r="AC70" s="475"/>
      <c r="AD70" s="563">
        <f t="shared" si="9"/>
        <v>400</v>
      </c>
      <c r="AE70" s="649">
        <f t="shared" si="10"/>
        <v>0</v>
      </c>
      <c r="AF70" s="650" t="str">
        <f t="shared" si="11"/>
        <v>sell</v>
      </c>
    </row>
    <row r="71" spans="1:32" s="356" customFormat="1" ht="12.75" customHeight="1" x14ac:dyDescent="0.2">
      <c r="A71" s="585" t="s">
        <v>67</v>
      </c>
      <c r="B71" s="587" t="s">
        <v>240</v>
      </c>
      <c r="C71" s="584" t="s">
        <v>151</v>
      </c>
      <c r="D71" s="655"/>
      <c r="E71" s="654"/>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63">
        <f>SUM(E71:AC71)</f>
        <v>400</v>
      </c>
      <c r="AE71" s="649">
        <f>AD71*D71</f>
        <v>0</v>
      </c>
      <c r="AF71" s="650" t="str">
        <f>IF(AD71&lt;0,"buy","sell")</f>
        <v>sell</v>
      </c>
    </row>
    <row r="72" spans="1:32" s="356" customFormat="1" ht="12.75" customHeight="1" x14ac:dyDescent="0.2">
      <c r="A72" s="585" t="s">
        <v>228</v>
      </c>
      <c r="B72" s="587" t="s">
        <v>240</v>
      </c>
      <c r="C72" s="584" t="s">
        <v>151</v>
      </c>
      <c r="D72" s="655"/>
      <c r="E72" s="654"/>
      <c r="F72" s="475"/>
      <c r="G72" s="475"/>
      <c r="H72" s="475"/>
      <c r="I72" s="475"/>
      <c r="J72" s="475"/>
      <c r="K72" s="475"/>
      <c r="L72" s="475"/>
      <c r="M72" s="475">
        <v>25</v>
      </c>
      <c r="N72" s="475">
        <v>25</v>
      </c>
      <c r="O72" s="475">
        <v>25</v>
      </c>
      <c r="P72" s="475">
        <v>25</v>
      </c>
      <c r="Q72" s="475">
        <v>25</v>
      </c>
      <c r="R72" s="475">
        <v>25</v>
      </c>
      <c r="S72" s="475">
        <v>25</v>
      </c>
      <c r="T72" s="475">
        <v>25</v>
      </c>
      <c r="U72" s="475">
        <v>25</v>
      </c>
      <c r="V72" s="475">
        <v>25</v>
      </c>
      <c r="W72" s="475">
        <v>25</v>
      </c>
      <c r="X72" s="475">
        <v>25</v>
      </c>
      <c r="Y72" s="475">
        <v>25</v>
      </c>
      <c r="Z72" s="475">
        <v>25</v>
      </c>
      <c r="AA72" s="475">
        <v>25</v>
      </c>
      <c r="AB72" s="475">
        <v>25</v>
      </c>
      <c r="AC72" s="475"/>
      <c r="AD72" s="563">
        <f>SUM(E72:AC72)</f>
        <v>400</v>
      </c>
      <c r="AE72" s="649">
        <f>AD72*D72</f>
        <v>0</v>
      </c>
      <c r="AF72" s="650" t="str">
        <f>IF(AD72&lt;0,"buy","sell")</f>
        <v>sell</v>
      </c>
    </row>
    <row r="73" spans="1:32" s="356" customFormat="1" ht="12.75" customHeight="1" x14ac:dyDescent="0.2">
      <c r="A73" s="585" t="s">
        <v>385</v>
      </c>
      <c r="B73" s="587" t="s">
        <v>240</v>
      </c>
      <c r="C73" s="587" t="s">
        <v>151</v>
      </c>
      <c r="D73" s="655"/>
      <c r="E73" s="654"/>
      <c r="F73" s="475"/>
      <c r="G73" s="475"/>
      <c r="H73" s="475"/>
      <c r="I73" s="475"/>
      <c r="J73" s="475"/>
      <c r="K73" s="475"/>
      <c r="L73" s="475"/>
      <c r="M73" s="475">
        <v>25</v>
      </c>
      <c r="N73" s="475">
        <v>25</v>
      </c>
      <c r="O73" s="475">
        <v>25</v>
      </c>
      <c r="P73" s="475">
        <v>25</v>
      </c>
      <c r="Q73" s="475">
        <v>25</v>
      </c>
      <c r="R73" s="475">
        <v>25</v>
      </c>
      <c r="S73" s="475">
        <v>25</v>
      </c>
      <c r="T73" s="475">
        <v>25</v>
      </c>
      <c r="U73" s="475">
        <v>25</v>
      </c>
      <c r="V73" s="475">
        <v>25</v>
      </c>
      <c r="W73" s="475">
        <v>25</v>
      </c>
      <c r="X73" s="475">
        <v>25</v>
      </c>
      <c r="Y73" s="475">
        <v>25</v>
      </c>
      <c r="Z73" s="475">
        <v>25</v>
      </c>
      <c r="AA73" s="475">
        <v>25</v>
      </c>
      <c r="AB73" s="475">
        <v>25</v>
      </c>
      <c r="AC73" s="475"/>
      <c r="AD73" s="563">
        <f>SUM(E73:AC73)</f>
        <v>400</v>
      </c>
      <c r="AE73" s="649">
        <f>AD73*D73</f>
        <v>0</v>
      </c>
      <c r="AF73" s="650" t="str">
        <f>IF(AD73&lt;0,"buy","sell")</f>
        <v>sell</v>
      </c>
    </row>
    <row r="74" spans="1:32" s="356" customFormat="1" ht="12.75" customHeight="1" x14ac:dyDescent="0.2">
      <c r="A74" s="585"/>
      <c r="B74" s="584"/>
      <c r="C74" s="584"/>
      <c r="D74" s="655"/>
      <c r="E74" s="654"/>
      <c r="F74" s="475"/>
      <c r="G74" s="475"/>
      <c r="H74" s="475"/>
      <c r="I74" s="475"/>
      <c r="J74" s="475"/>
      <c r="K74" s="475"/>
      <c r="L74" s="475"/>
      <c r="M74" s="475"/>
      <c r="N74" s="475"/>
      <c r="O74" s="475"/>
      <c r="P74" s="475"/>
      <c r="Q74" s="475"/>
      <c r="R74" s="475"/>
      <c r="S74" s="475"/>
      <c r="T74" s="475"/>
      <c r="U74" s="475"/>
      <c r="V74" s="475"/>
      <c r="W74" s="475"/>
      <c r="X74" s="475"/>
      <c r="Y74" s="475"/>
      <c r="Z74" s="475"/>
      <c r="AA74" s="475"/>
      <c r="AB74" s="475"/>
      <c r="AC74" s="475"/>
      <c r="AD74" s="563">
        <f t="shared" si="9"/>
        <v>0</v>
      </c>
      <c r="AE74" s="649">
        <f t="shared" si="10"/>
        <v>0</v>
      </c>
      <c r="AF74" s="650" t="str">
        <f t="shared" si="11"/>
        <v>sell</v>
      </c>
    </row>
    <row r="75" spans="1:32" s="356" customFormat="1" ht="15" x14ac:dyDescent="0.25">
      <c r="A75" s="691" t="s">
        <v>361</v>
      </c>
      <c r="B75" s="643"/>
      <c r="C75" s="578"/>
      <c r="D75" s="643"/>
      <c r="E75" s="363"/>
      <c r="F75" s="624"/>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43"/>
      <c r="AE75" s="646"/>
      <c r="AF75" s="646"/>
    </row>
    <row r="76" spans="1:32" s="356" customFormat="1" x14ac:dyDescent="0.2">
      <c r="A76" s="586"/>
      <c r="B76" s="589"/>
      <c r="C76" s="589"/>
      <c r="D76" s="588"/>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c r="AC76" s="656"/>
      <c r="AD76" s="563">
        <f>SUM(E76:AC76)</f>
        <v>0</v>
      </c>
      <c r="AE76" s="649">
        <f>AD76*D76</f>
        <v>0</v>
      </c>
      <c r="AF76" s="650" t="str">
        <f>IF(AD76&lt;0,"buy","sell")</f>
        <v>sell</v>
      </c>
    </row>
    <row r="77" spans="1:32" s="356" customFormat="1" x14ac:dyDescent="0.2">
      <c r="A77" s="586"/>
      <c r="B77" s="589"/>
      <c r="C77" s="589"/>
      <c r="D77" s="588"/>
      <c r="E77" s="583"/>
      <c r="F77" s="656"/>
      <c r="G77" s="656"/>
      <c r="H77" s="656"/>
      <c r="I77" s="656"/>
      <c r="J77" s="656"/>
      <c r="K77" s="656"/>
      <c r="L77" s="656"/>
      <c r="M77" s="656"/>
      <c r="N77" s="656"/>
      <c r="O77" s="656"/>
      <c r="P77" s="656"/>
      <c r="Q77" s="656"/>
      <c r="R77" s="656"/>
      <c r="S77" s="656"/>
      <c r="T77" s="656"/>
      <c r="U77" s="656"/>
      <c r="V77" s="656"/>
      <c r="W77" s="656"/>
      <c r="X77" s="656"/>
      <c r="Y77" s="656"/>
      <c r="Z77" s="656"/>
      <c r="AA77" s="656"/>
      <c r="AB77" s="656"/>
      <c r="AC77" s="656"/>
      <c r="AD77" s="563">
        <f>SUM(E77:AC77)</f>
        <v>0</v>
      </c>
      <c r="AE77" s="649">
        <f>AD77*D77</f>
        <v>0</v>
      </c>
      <c r="AF77" s="650" t="str">
        <f>IF(AD77&lt;0,"buy","sell")</f>
        <v>sell</v>
      </c>
    </row>
    <row r="78" spans="1:32" s="356" customFormat="1" ht="15" x14ac:dyDescent="0.25">
      <c r="A78" s="691" t="s">
        <v>358</v>
      </c>
      <c r="B78" s="643"/>
      <c r="C78" s="578"/>
      <c r="D78" s="643"/>
      <c r="E78" s="363"/>
      <c r="F78" s="624"/>
      <c r="G78" s="624"/>
      <c r="H78" s="624"/>
      <c r="I78" s="624"/>
      <c r="J78" s="624"/>
      <c r="K78" s="624"/>
      <c r="L78" s="624"/>
      <c r="M78" s="624"/>
      <c r="N78" s="624"/>
      <c r="O78" s="624"/>
      <c r="P78" s="624"/>
      <c r="Q78" s="624"/>
      <c r="R78" s="624"/>
      <c r="S78" s="624"/>
      <c r="T78" s="624"/>
      <c r="U78" s="624"/>
      <c r="V78" s="624"/>
      <c r="W78" s="624"/>
      <c r="X78" s="624"/>
      <c r="Y78" s="624"/>
      <c r="Z78" s="624"/>
      <c r="AA78" s="624"/>
      <c r="AB78" s="624"/>
      <c r="AC78" s="624"/>
      <c r="AD78" s="643"/>
      <c r="AE78" s="646"/>
      <c r="AF78" s="646"/>
    </row>
    <row r="79" spans="1:32" s="356" customFormat="1" ht="12.75" customHeight="1" x14ac:dyDescent="0.2">
      <c r="A79" s="585"/>
      <c r="B79" s="584"/>
      <c r="C79" s="584"/>
      <c r="D79" s="655"/>
      <c r="E79" s="654"/>
      <c r="F79" s="475"/>
      <c r="G79" s="475"/>
      <c r="H79" s="475"/>
      <c r="I79" s="475"/>
      <c r="J79" s="475"/>
      <c r="K79" s="475"/>
      <c r="L79" s="475"/>
      <c r="M79" s="475"/>
      <c r="N79" s="475"/>
      <c r="O79" s="475"/>
      <c r="P79" s="475"/>
      <c r="Q79" s="475"/>
      <c r="R79" s="475"/>
      <c r="S79" s="475"/>
      <c r="T79" s="475"/>
      <c r="U79" s="475"/>
      <c r="V79" s="475"/>
      <c r="W79" s="475"/>
      <c r="X79" s="475"/>
      <c r="Y79" s="475"/>
      <c r="Z79" s="475"/>
      <c r="AA79" s="475"/>
      <c r="AB79" s="475"/>
      <c r="AC79" s="475"/>
      <c r="AD79" s="563">
        <f t="shared" ref="AD79:AD84" si="12">SUM(E79:AC79)</f>
        <v>0</v>
      </c>
      <c r="AE79" s="649">
        <f t="shared" ref="AE79:AE84" si="13">AD79*D79</f>
        <v>0</v>
      </c>
      <c r="AF79" s="650" t="str">
        <f t="shared" ref="AF79:AF84" si="14">IF(AD79&lt;0,"buy","sell")</f>
        <v>sell</v>
      </c>
    </row>
    <row r="80" spans="1:32" s="356" customFormat="1" ht="12.75" customHeight="1" x14ac:dyDescent="0.2">
      <c r="A80" s="585" t="s">
        <v>386</v>
      </c>
      <c r="B80" s="584" t="s">
        <v>240</v>
      </c>
      <c r="C80" s="584" t="s">
        <v>151</v>
      </c>
      <c r="D80" s="655"/>
      <c r="E80" s="654"/>
      <c r="F80" s="475"/>
      <c r="G80" s="475"/>
      <c r="H80" s="475"/>
      <c r="I80" s="475"/>
      <c r="J80" s="475"/>
      <c r="K80" s="475"/>
      <c r="L80" s="475"/>
      <c r="M80" s="475">
        <v>-50</v>
      </c>
      <c r="N80" s="475">
        <v>-50</v>
      </c>
      <c r="O80" s="475"/>
      <c r="P80" s="475"/>
      <c r="Q80" s="475"/>
      <c r="R80" s="475"/>
      <c r="S80" s="475"/>
      <c r="T80" s="475"/>
      <c r="U80" s="475"/>
      <c r="V80" s="475"/>
      <c r="W80" s="475"/>
      <c r="X80" s="475"/>
      <c r="Y80" s="475"/>
      <c r="Z80" s="475"/>
      <c r="AA80" s="475"/>
      <c r="AB80" s="475"/>
      <c r="AC80" s="475"/>
      <c r="AD80" s="563">
        <f t="shared" si="12"/>
        <v>-100</v>
      </c>
      <c r="AE80" s="649">
        <f t="shared" si="13"/>
        <v>0</v>
      </c>
      <c r="AF80" s="650" t="str">
        <f t="shared" si="14"/>
        <v>buy</v>
      </c>
    </row>
    <row r="81" spans="1:33" s="356" customFormat="1" ht="12.75" customHeight="1" x14ac:dyDescent="0.2">
      <c r="A81" s="585" t="s">
        <v>387</v>
      </c>
      <c r="B81" s="584" t="s">
        <v>240</v>
      </c>
      <c r="C81" s="584" t="s">
        <v>268</v>
      </c>
      <c r="D81" s="655"/>
      <c r="E81" s="654"/>
      <c r="F81" s="475"/>
      <c r="G81" s="475"/>
      <c r="H81" s="475"/>
      <c r="I81" s="475"/>
      <c r="J81" s="475"/>
      <c r="K81" s="475"/>
      <c r="L81" s="475"/>
      <c r="M81" s="475"/>
      <c r="N81" s="475"/>
      <c r="O81" s="475">
        <v>-50</v>
      </c>
      <c r="P81" s="475">
        <v>-50</v>
      </c>
      <c r="Q81" s="475">
        <v>-50</v>
      </c>
      <c r="R81" s="475">
        <v>-50</v>
      </c>
      <c r="S81" s="475">
        <v>-50</v>
      </c>
      <c r="T81" s="475">
        <v>-50</v>
      </c>
      <c r="U81" s="475">
        <v>-50</v>
      </c>
      <c r="V81" s="475">
        <v>-50</v>
      </c>
      <c r="W81" s="475">
        <v>-50</v>
      </c>
      <c r="X81" s="475">
        <v>-50</v>
      </c>
      <c r="Y81" s="475">
        <v>-50</v>
      </c>
      <c r="Z81" s="475">
        <v>-50</v>
      </c>
      <c r="AA81" s="475">
        <v>-50</v>
      </c>
      <c r="AB81" s="475">
        <v>-50</v>
      </c>
      <c r="AC81" s="475"/>
      <c r="AD81" s="563">
        <f t="shared" si="12"/>
        <v>-700</v>
      </c>
      <c r="AE81" s="649">
        <f t="shared" si="13"/>
        <v>0</v>
      </c>
      <c r="AF81" s="650" t="str">
        <f t="shared" si="14"/>
        <v>buy</v>
      </c>
    </row>
    <row r="82" spans="1:33" s="356" customFormat="1" ht="12.75" customHeight="1" x14ac:dyDescent="0.2">
      <c r="A82" s="585" t="s">
        <v>224</v>
      </c>
      <c r="B82" s="584" t="s">
        <v>240</v>
      </c>
      <c r="C82" s="584" t="s">
        <v>151</v>
      </c>
      <c r="D82" s="655"/>
      <c r="E82" s="654"/>
      <c r="F82" s="475"/>
      <c r="G82" s="475"/>
      <c r="H82" s="475"/>
      <c r="I82" s="475"/>
      <c r="J82" s="475"/>
      <c r="K82" s="475"/>
      <c r="L82" s="475"/>
      <c r="M82" s="475">
        <v>-50</v>
      </c>
      <c r="N82" s="475">
        <v>-50</v>
      </c>
      <c r="O82" s="475">
        <v>-50</v>
      </c>
      <c r="P82" s="475">
        <v>-50</v>
      </c>
      <c r="Q82" s="475">
        <v>-50</v>
      </c>
      <c r="R82" s="475">
        <v>-50</v>
      </c>
      <c r="S82" s="475">
        <v>-50</v>
      </c>
      <c r="T82" s="475">
        <v>-50</v>
      </c>
      <c r="U82" s="475">
        <v>-50</v>
      </c>
      <c r="V82" s="475">
        <v>-50</v>
      </c>
      <c r="W82" s="475">
        <v>-50</v>
      </c>
      <c r="X82" s="475">
        <v>-50</v>
      </c>
      <c r="Y82" s="475">
        <v>-50</v>
      </c>
      <c r="Z82" s="475">
        <v>-50</v>
      </c>
      <c r="AA82" s="475">
        <v>-50</v>
      </c>
      <c r="AB82" s="475">
        <v>-50</v>
      </c>
      <c r="AC82" s="475"/>
      <c r="AD82" s="563">
        <f t="shared" si="12"/>
        <v>-800</v>
      </c>
      <c r="AE82" s="649">
        <f t="shared" si="13"/>
        <v>0</v>
      </c>
      <c r="AF82" s="650" t="str">
        <f t="shared" si="14"/>
        <v>buy</v>
      </c>
    </row>
    <row r="83" spans="1:33" s="356" customFormat="1" x14ac:dyDescent="0.2">
      <c r="A83" s="585" t="s">
        <v>385</v>
      </c>
      <c r="B83" s="584" t="s">
        <v>240</v>
      </c>
      <c r="C83" s="584" t="s">
        <v>151</v>
      </c>
      <c r="D83" s="655"/>
      <c r="E83" s="654"/>
      <c r="F83" s="475"/>
      <c r="G83" s="475"/>
      <c r="H83" s="475"/>
      <c r="I83" s="475"/>
      <c r="J83" s="475"/>
      <c r="K83" s="475"/>
      <c r="L83" s="475"/>
      <c r="M83" s="475">
        <v>-25</v>
      </c>
      <c r="N83" s="475">
        <v>-25</v>
      </c>
      <c r="O83" s="475">
        <v>-25</v>
      </c>
      <c r="P83" s="475">
        <v>-25</v>
      </c>
      <c r="Q83" s="475">
        <v>-25</v>
      </c>
      <c r="R83" s="475">
        <v>-25</v>
      </c>
      <c r="S83" s="475">
        <v>-25</v>
      </c>
      <c r="T83" s="475">
        <v>-25</v>
      </c>
      <c r="U83" s="475">
        <v>-25</v>
      </c>
      <c r="V83" s="475">
        <v>-25</v>
      </c>
      <c r="W83" s="475">
        <v>-25</v>
      </c>
      <c r="X83" s="475">
        <v>-25</v>
      </c>
      <c r="Y83" s="475">
        <v>-25</v>
      </c>
      <c r="Z83" s="475">
        <v>-25</v>
      </c>
      <c r="AA83" s="475">
        <v>-25</v>
      </c>
      <c r="AB83" s="475">
        <v>-25</v>
      </c>
      <c r="AC83" s="475"/>
      <c r="AD83" s="563">
        <f t="shared" si="12"/>
        <v>-400</v>
      </c>
      <c r="AE83" s="649">
        <f t="shared" si="13"/>
        <v>0</v>
      </c>
      <c r="AF83" s="650" t="str">
        <f t="shared" si="14"/>
        <v>buy</v>
      </c>
    </row>
    <row r="84" spans="1:33" s="356" customFormat="1" x14ac:dyDescent="0.2">
      <c r="A84" s="585"/>
      <c r="B84" s="584"/>
      <c r="C84" s="584"/>
      <c r="D84" s="655"/>
      <c r="E84" s="654"/>
      <c r="F84" s="475"/>
      <c r="G84" s="475"/>
      <c r="H84" s="475"/>
      <c r="I84" s="475"/>
      <c r="J84" s="475"/>
      <c r="K84" s="475"/>
      <c r="L84" s="475"/>
      <c r="M84" s="475"/>
      <c r="N84" s="475"/>
      <c r="O84" s="475"/>
      <c r="P84" s="475"/>
      <c r="Q84" s="475"/>
      <c r="R84" s="475"/>
      <c r="S84" s="475"/>
      <c r="T84" s="475"/>
      <c r="U84" s="475"/>
      <c r="V84" s="475"/>
      <c r="W84" s="475"/>
      <c r="X84" s="475"/>
      <c r="Y84" s="475"/>
      <c r="Z84" s="475"/>
      <c r="AA84" s="475"/>
      <c r="AB84" s="475"/>
      <c r="AC84" s="475"/>
      <c r="AD84" s="563">
        <f t="shared" si="12"/>
        <v>0</v>
      </c>
      <c r="AE84" s="649">
        <f t="shared" si="13"/>
        <v>0</v>
      </c>
      <c r="AF84" s="650" t="str">
        <f t="shared" si="14"/>
        <v>sell</v>
      </c>
    </row>
    <row r="85" spans="1:33" s="356" customFormat="1" ht="15" x14ac:dyDescent="0.25">
      <c r="A85" s="692" t="s">
        <v>359</v>
      </c>
      <c r="B85" s="537"/>
      <c r="C85" s="537"/>
      <c r="D85" s="537"/>
      <c r="E85" s="579"/>
      <c r="F85" s="537"/>
      <c r="G85" s="537"/>
      <c r="H85" s="537"/>
      <c r="I85" s="537"/>
      <c r="J85" s="537"/>
      <c r="K85" s="537"/>
      <c r="L85" s="537"/>
      <c r="M85" s="537"/>
      <c r="N85" s="537"/>
      <c r="O85" s="537"/>
      <c r="P85" s="537"/>
      <c r="Q85" s="537"/>
      <c r="R85" s="537"/>
      <c r="S85" s="689"/>
      <c r="T85" s="537"/>
      <c r="U85" s="537"/>
      <c r="V85" s="537"/>
      <c r="W85" s="537"/>
      <c r="X85" s="537"/>
      <c r="Y85" s="537"/>
      <c r="Z85" s="537"/>
      <c r="AA85" s="537"/>
      <c r="AB85" s="537"/>
      <c r="AC85" s="537"/>
      <c r="AD85" s="537"/>
      <c r="AE85" s="537"/>
      <c r="AF85" s="537"/>
      <c r="AG85" s="466"/>
    </row>
    <row r="86" spans="1:33" s="356" customFormat="1" x14ac:dyDescent="0.2">
      <c r="A86" s="682"/>
      <c r="B86" s="589"/>
      <c r="C86" s="683"/>
      <c r="D86" s="588"/>
      <c r="E86" s="684"/>
      <c r="F86" s="656"/>
      <c r="G86" s="685"/>
      <c r="H86" s="685"/>
      <c r="I86" s="685"/>
      <c r="J86" s="685"/>
      <c r="K86" s="685"/>
      <c r="L86" s="685"/>
      <c r="M86" s="685"/>
      <c r="N86" s="685"/>
      <c r="O86" s="685"/>
      <c r="P86" s="685"/>
      <c r="Q86" s="685"/>
      <c r="R86" s="685"/>
      <c r="S86" s="690"/>
      <c r="T86" s="685"/>
      <c r="U86" s="685"/>
      <c r="V86" s="685"/>
      <c r="W86" s="685"/>
      <c r="X86" s="685"/>
      <c r="Y86" s="685"/>
      <c r="Z86" s="685"/>
      <c r="AA86" s="685"/>
      <c r="AB86" s="685"/>
      <c r="AC86" s="685"/>
      <c r="AD86" s="563">
        <f>SUM(AA86:AC86)</f>
        <v>0</v>
      </c>
      <c r="AE86" s="649">
        <f>AD86*D86</f>
        <v>0</v>
      </c>
      <c r="AF86" s="650"/>
    </row>
    <row r="87" spans="1:33" s="356" customFormat="1" x14ac:dyDescent="0.2">
      <c r="A87" s="682" t="s">
        <v>228</v>
      </c>
      <c r="B87" s="589" t="s">
        <v>383</v>
      </c>
      <c r="C87" s="683" t="s">
        <v>151</v>
      </c>
      <c r="D87" s="588">
        <v>23</v>
      </c>
      <c r="E87" s="684"/>
      <c r="F87" s="656"/>
      <c r="G87" s="685"/>
      <c r="H87" s="685"/>
      <c r="I87" s="685"/>
      <c r="J87" s="685"/>
      <c r="K87" s="685"/>
      <c r="L87" s="685"/>
      <c r="M87" s="685"/>
      <c r="N87" s="685"/>
      <c r="O87" s="685">
        <v>-25</v>
      </c>
      <c r="P87" s="685"/>
      <c r="Q87" s="685"/>
      <c r="R87" s="685"/>
      <c r="S87" s="690"/>
      <c r="T87" s="685"/>
      <c r="U87" s="685"/>
      <c r="V87" s="685"/>
      <c r="W87" s="685"/>
      <c r="X87" s="685"/>
      <c r="Y87" s="685"/>
      <c r="Z87" s="685"/>
      <c r="AA87" s="685"/>
      <c r="AB87" s="685"/>
      <c r="AC87" s="685"/>
      <c r="AD87" s="563">
        <f>SUM(E87:AC87)</f>
        <v>-25</v>
      </c>
      <c r="AE87" s="649">
        <f>AD87*D87</f>
        <v>-575</v>
      </c>
      <c r="AF87" s="650" t="str">
        <f>IF(AD87&lt;0,"buy","sell")</f>
        <v>buy</v>
      </c>
    </row>
    <row r="88" spans="1:33" s="356" customFormat="1" x14ac:dyDescent="0.2">
      <c r="A88" s="682" t="s">
        <v>228</v>
      </c>
      <c r="B88" s="589" t="s">
        <v>383</v>
      </c>
      <c r="C88" s="683" t="s">
        <v>151</v>
      </c>
      <c r="D88" s="588">
        <v>20</v>
      </c>
      <c r="E88" s="684"/>
      <c r="F88" s="656"/>
      <c r="G88" s="685"/>
      <c r="H88" s="685"/>
      <c r="I88" s="685"/>
      <c r="J88" s="685"/>
      <c r="K88" s="685"/>
      <c r="L88" s="685"/>
      <c r="M88" s="685"/>
      <c r="N88" s="685"/>
      <c r="O88" s="685"/>
      <c r="P88" s="685">
        <v>-50</v>
      </c>
      <c r="Q88" s="685">
        <v>-50</v>
      </c>
      <c r="R88" s="685">
        <v>-50</v>
      </c>
      <c r="S88" s="685">
        <v>-50</v>
      </c>
      <c r="T88" s="685"/>
      <c r="U88" s="685"/>
      <c r="V88" s="685"/>
      <c r="W88" s="685"/>
      <c r="X88" s="685"/>
      <c r="Y88" s="685"/>
      <c r="Z88" s="685"/>
      <c r="AA88" s="685"/>
      <c r="AB88" s="685"/>
      <c r="AC88" s="685"/>
      <c r="AD88" s="563">
        <f>SUM(E88:AC88)</f>
        <v>-200</v>
      </c>
      <c r="AE88" s="649">
        <f>AD88*D88</f>
        <v>-4000</v>
      </c>
      <c r="AF88" s="650" t="str">
        <f>IF(AD88&lt;0,"buy","sell")</f>
        <v>buy</v>
      </c>
    </row>
    <row r="89" spans="1:33" s="356" customFormat="1" x14ac:dyDescent="0.2">
      <c r="A89" s="682" t="s">
        <v>224</v>
      </c>
      <c r="B89" s="589" t="s">
        <v>390</v>
      </c>
      <c r="C89" s="683" t="s">
        <v>151</v>
      </c>
      <c r="D89" s="588">
        <v>20</v>
      </c>
      <c r="E89" s="684"/>
      <c r="F89" s="656"/>
      <c r="G89" s="685"/>
      <c r="H89" s="685"/>
      <c r="I89" s="685"/>
      <c r="J89" s="685"/>
      <c r="K89" s="685"/>
      <c r="L89" s="685"/>
      <c r="M89" s="685"/>
      <c r="N89" s="685"/>
      <c r="O89" s="685"/>
      <c r="P89" s="685"/>
      <c r="Q89" s="685"/>
      <c r="R89" s="685"/>
      <c r="S89" s="685"/>
      <c r="T89" s="685"/>
      <c r="U89" s="685"/>
      <c r="V89" s="685"/>
      <c r="W89" s="685"/>
      <c r="X89" s="685"/>
      <c r="Y89" s="685"/>
      <c r="Z89" s="685"/>
      <c r="AA89" s="685"/>
      <c r="AB89" s="685"/>
      <c r="AC89" s="685">
        <v>-50</v>
      </c>
      <c r="AD89" s="563">
        <f>SUM(E89:AC89)</f>
        <v>-50</v>
      </c>
      <c r="AE89" s="649">
        <f>AD89*D89</f>
        <v>-1000</v>
      </c>
      <c r="AF89" s="650" t="str">
        <f>IF(AD89&lt;0,"buy","sell")</f>
        <v>buy</v>
      </c>
    </row>
    <row r="90" spans="1:33" s="356" customFormat="1" x14ac:dyDescent="0.2">
      <c r="A90" s="682"/>
      <c r="B90" s="589"/>
      <c r="C90" s="683"/>
      <c r="D90" s="588"/>
      <c r="E90" s="684"/>
      <c r="F90" s="656"/>
      <c r="G90" s="685"/>
      <c r="H90" s="685"/>
      <c r="I90" s="685"/>
      <c r="J90" s="685"/>
      <c r="K90" s="685"/>
      <c r="L90" s="685"/>
      <c r="M90" s="685"/>
      <c r="N90" s="685"/>
      <c r="O90" s="685"/>
      <c r="P90" s="685"/>
      <c r="Q90" s="685"/>
      <c r="R90" s="685"/>
      <c r="S90" s="685"/>
      <c r="T90" s="685"/>
      <c r="U90" s="685"/>
      <c r="V90" s="685"/>
      <c r="W90" s="685"/>
      <c r="X90" s="685"/>
      <c r="Y90" s="685"/>
      <c r="Z90" s="685"/>
      <c r="AA90" s="685"/>
      <c r="AB90" s="685"/>
      <c r="AC90" s="685"/>
      <c r="AD90" s="563">
        <f>SUM(AA90:AC90)</f>
        <v>0</v>
      </c>
      <c r="AE90" s="649">
        <f>AD90*D90</f>
        <v>0</v>
      </c>
      <c r="AF90" s="650"/>
    </row>
    <row r="91" spans="1:33" s="356" customFormat="1" ht="15" x14ac:dyDescent="0.25">
      <c r="A91" s="692" t="s">
        <v>362</v>
      </c>
      <c r="B91" s="537"/>
      <c r="C91" s="537"/>
      <c r="D91" s="537"/>
      <c r="E91" s="579"/>
      <c r="F91" s="537"/>
      <c r="G91" s="537"/>
      <c r="H91" s="537"/>
      <c r="I91" s="537"/>
      <c r="J91" s="537"/>
      <c r="K91" s="537"/>
      <c r="L91" s="537"/>
      <c r="M91" s="537"/>
      <c r="N91" s="537"/>
      <c r="O91" s="537"/>
      <c r="P91" s="537"/>
      <c r="Q91" s="537"/>
      <c r="R91" s="537"/>
      <c r="S91" s="537"/>
      <c r="T91" s="537"/>
      <c r="U91" s="537"/>
      <c r="V91" s="537"/>
      <c r="W91" s="537"/>
      <c r="X91" s="537"/>
      <c r="Y91" s="537"/>
      <c r="Z91" s="537"/>
      <c r="AA91" s="537"/>
      <c r="AB91" s="537"/>
      <c r="AC91" s="537"/>
      <c r="AD91" s="537"/>
      <c r="AE91" s="537"/>
      <c r="AF91" s="537"/>
      <c r="AG91" s="466"/>
    </row>
    <row r="92" spans="1:33" s="356" customFormat="1" x14ac:dyDescent="0.2">
      <c r="A92" s="542"/>
      <c r="B92" s="547"/>
      <c r="C92" s="547"/>
      <c r="D92" s="661"/>
      <c r="E92" s="713"/>
      <c r="F92" s="544"/>
      <c r="G92" s="544"/>
      <c r="H92" s="544"/>
      <c r="I92" s="544"/>
      <c r="J92" s="544"/>
      <c r="K92" s="544"/>
      <c r="L92" s="544"/>
      <c r="M92" s="544"/>
      <c r="N92" s="544"/>
      <c r="O92" s="544"/>
      <c r="P92" s="544"/>
      <c r="Q92" s="544"/>
      <c r="R92" s="544"/>
      <c r="S92" s="544"/>
      <c r="T92" s="544"/>
      <c r="U92" s="544"/>
      <c r="V92" s="544"/>
      <c r="W92" s="544"/>
      <c r="X92" s="544"/>
      <c r="Y92" s="544"/>
      <c r="Z92" s="544"/>
      <c r="AA92" s="544"/>
      <c r="AB92" s="544"/>
      <c r="AC92" s="544"/>
      <c r="AD92" s="563">
        <f>SUM(AA92:AC92)</f>
        <v>0</v>
      </c>
      <c r="AE92" s="649">
        <f t="shared" ref="AE92:AE97" si="15">AD92*D92</f>
        <v>0</v>
      </c>
      <c r="AF92" s="650" t="str">
        <f t="shared" ref="AF92:AF97" si="16">IF(AD92&lt;0,"buy","sell")</f>
        <v>sell</v>
      </c>
    </row>
    <row r="93" spans="1:33" s="356" customFormat="1" x14ac:dyDescent="0.2">
      <c r="A93" s="715" t="s">
        <v>63</v>
      </c>
      <c r="B93" s="547" t="s">
        <v>383</v>
      </c>
      <c r="C93" s="547" t="s">
        <v>268</v>
      </c>
      <c r="D93" s="661">
        <v>10</v>
      </c>
      <c r="E93" s="713"/>
      <c r="F93" s="544"/>
      <c r="G93" s="544"/>
      <c r="H93" s="544"/>
      <c r="I93" s="544"/>
      <c r="J93" s="544"/>
      <c r="K93" s="544"/>
      <c r="L93" s="544"/>
      <c r="M93" s="544"/>
      <c r="N93" s="544"/>
      <c r="O93" s="544">
        <v>-25</v>
      </c>
      <c r="P93" s="544">
        <v>-25</v>
      </c>
      <c r="Q93" s="544">
        <v>-25</v>
      </c>
      <c r="R93" s="544">
        <v>-25</v>
      </c>
      <c r="S93" s="544">
        <v>-25</v>
      </c>
      <c r="T93" s="544"/>
      <c r="U93" s="544"/>
      <c r="V93" s="544"/>
      <c r="W93" s="544"/>
      <c r="X93" s="544"/>
      <c r="Y93" s="544"/>
      <c r="Z93" s="544"/>
      <c r="AA93" s="544"/>
      <c r="AB93" s="544"/>
      <c r="AC93" s="544"/>
      <c r="AD93" s="563">
        <f>SUM(E93:AC93)</f>
        <v>-125</v>
      </c>
      <c r="AE93" s="649">
        <f t="shared" si="15"/>
        <v>-1250</v>
      </c>
      <c r="AF93" s="650" t="str">
        <f t="shared" si="16"/>
        <v>buy</v>
      </c>
    </row>
    <row r="94" spans="1:33" s="356" customFormat="1" x14ac:dyDescent="0.2">
      <c r="A94" s="715" t="s">
        <v>384</v>
      </c>
      <c r="B94" s="547" t="s">
        <v>383</v>
      </c>
      <c r="C94" s="547" t="s">
        <v>151</v>
      </c>
      <c r="D94" s="661">
        <v>11.86</v>
      </c>
      <c r="E94" s="713"/>
      <c r="F94" s="544"/>
      <c r="G94" s="544"/>
      <c r="H94" s="544"/>
      <c r="I94" s="544"/>
      <c r="J94" s="544"/>
      <c r="K94" s="544"/>
      <c r="L94" s="544"/>
      <c r="M94" s="544"/>
      <c r="N94" s="544">
        <v>6</v>
      </c>
      <c r="O94" s="544"/>
      <c r="P94" s="544"/>
      <c r="Q94" s="544"/>
      <c r="R94" s="544"/>
      <c r="S94" s="544"/>
      <c r="T94" s="544"/>
      <c r="U94" s="544"/>
      <c r="V94" s="544"/>
      <c r="W94" s="544"/>
      <c r="X94" s="544"/>
      <c r="Y94" s="544"/>
      <c r="Z94" s="544"/>
      <c r="AA94" s="544"/>
      <c r="AB94" s="544"/>
      <c r="AC94" s="544"/>
      <c r="AD94" s="563">
        <f>SUM(E94:AC94)</f>
        <v>6</v>
      </c>
      <c r="AE94" s="649">
        <f t="shared" si="15"/>
        <v>71.16</v>
      </c>
      <c r="AF94" s="650" t="str">
        <f t="shared" si="16"/>
        <v>sell</v>
      </c>
    </row>
    <row r="95" spans="1:33" s="356" customFormat="1" x14ac:dyDescent="0.2">
      <c r="A95" s="715" t="s">
        <v>384</v>
      </c>
      <c r="B95" s="547" t="s">
        <v>383</v>
      </c>
      <c r="C95" s="547" t="s">
        <v>151</v>
      </c>
      <c r="D95" s="661">
        <v>15</v>
      </c>
      <c r="E95" s="713"/>
      <c r="F95" s="544"/>
      <c r="G95" s="544"/>
      <c r="H95" s="544"/>
      <c r="I95" s="544"/>
      <c r="J95" s="544"/>
      <c r="K95" s="544"/>
      <c r="L95" s="544"/>
      <c r="M95" s="544"/>
      <c r="N95" s="544"/>
      <c r="O95" s="544">
        <v>25</v>
      </c>
      <c r="P95" s="544"/>
      <c r="Q95" s="544"/>
      <c r="R95" s="544"/>
      <c r="S95" s="544"/>
      <c r="T95" s="544"/>
      <c r="U95" s="544"/>
      <c r="V95" s="544"/>
      <c r="W95" s="544"/>
      <c r="X95" s="544"/>
      <c r="Y95" s="544"/>
      <c r="Z95" s="544"/>
      <c r="AA95" s="544"/>
      <c r="AB95" s="544"/>
      <c r="AC95" s="544"/>
      <c r="AD95" s="563">
        <f>SUM(E95:AC95)</f>
        <v>25</v>
      </c>
      <c r="AE95" s="649">
        <f t="shared" si="15"/>
        <v>375</v>
      </c>
      <c r="AF95" s="650" t="str">
        <f t="shared" si="16"/>
        <v>sell</v>
      </c>
    </row>
    <row r="96" spans="1:33" s="356" customFormat="1" x14ac:dyDescent="0.2">
      <c r="A96" s="715" t="s">
        <v>384</v>
      </c>
      <c r="B96" s="547" t="s">
        <v>383</v>
      </c>
      <c r="C96" s="547" t="s">
        <v>151</v>
      </c>
      <c r="D96" s="661">
        <v>16.86</v>
      </c>
      <c r="E96" s="713"/>
      <c r="F96" s="544"/>
      <c r="G96" s="544"/>
      <c r="H96" s="544"/>
      <c r="I96" s="544"/>
      <c r="J96" s="544"/>
      <c r="K96" s="544"/>
      <c r="L96" s="544"/>
      <c r="M96" s="544"/>
      <c r="N96" s="544"/>
      <c r="O96" s="544"/>
      <c r="P96" s="544">
        <v>28</v>
      </c>
      <c r="Q96" s="544"/>
      <c r="R96" s="544"/>
      <c r="S96" s="544"/>
      <c r="T96" s="544"/>
      <c r="U96" s="544"/>
      <c r="V96" s="544"/>
      <c r="W96" s="544"/>
      <c r="X96" s="544"/>
      <c r="Y96" s="544"/>
      <c r="Z96" s="544"/>
      <c r="AA96" s="544"/>
      <c r="AB96" s="544"/>
      <c r="AC96" s="544"/>
      <c r="AD96" s="563">
        <f>SUM(E96:AC96)</f>
        <v>28</v>
      </c>
      <c r="AE96" s="649">
        <f t="shared" si="15"/>
        <v>472.08</v>
      </c>
      <c r="AF96" s="650" t="str">
        <f t="shared" si="16"/>
        <v>sell</v>
      </c>
    </row>
    <row r="97" spans="1:33" s="356" customFormat="1" x14ac:dyDescent="0.2">
      <c r="A97" s="542"/>
      <c r="B97" s="547"/>
      <c r="C97" s="547"/>
      <c r="D97" s="543"/>
      <c r="E97" s="714"/>
      <c r="F97" s="544"/>
      <c r="G97" s="544"/>
      <c r="H97" s="544"/>
      <c r="I97" s="544"/>
      <c r="J97" s="544"/>
      <c r="K97" s="544"/>
      <c r="L97" s="544"/>
      <c r="M97" s="544"/>
      <c r="N97" s="544"/>
      <c r="O97" s="544"/>
      <c r="P97" s="544"/>
      <c r="Q97" s="544"/>
      <c r="R97" s="544"/>
      <c r="S97" s="544"/>
      <c r="T97" s="544"/>
      <c r="U97" s="544"/>
      <c r="V97" s="544"/>
      <c r="W97" s="544"/>
      <c r="X97" s="544"/>
      <c r="Y97" s="544"/>
      <c r="Z97" s="544"/>
      <c r="AA97" s="544"/>
      <c r="AB97" s="544"/>
      <c r="AC97" s="544"/>
      <c r="AD97" s="553">
        <f>SUM(F102:AC102)</f>
        <v>0</v>
      </c>
      <c r="AE97" s="554">
        <f t="shared" si="15"/>
        <v>0</v>
      </c>
      <c r="AF97" s="525" t="str">
        <f t="shared" si="16"/>
        <v>sell</v>
      </c>
    </row>
    <row r="98" spans="1:33" s="356" customFormat="1" x14ac:dyDescent="0.2">
      <c r="A98" s="545" t="s">
        <v>206</v>
      </c>
      <c r="B98" s="480"/>
      <c r="C98" s="480"/>
      <c r="D98" s="480"/>
      <c r="E98" s="480"/>
      <c r="F98" s="480"/>
      <c r="G98" s="480"/>
      <c r="H98" s="480"/>
      <c r="I98" s="480"/>
      <c r="J98" s="480"/>
      <c r="K98" s="480"/>
      <c r="L98" s="480"/>
      <c r="M98" s="480"/>
      <c r="N98" s="480"/>
      <c r="O98" s="480"/>
      <c r="P98" s="480"/>
      <c r="Q98" s="480"/>
      <c r="R98" s="480"/>
      <c r="S98" s="480"/>
      <c r="T98" s="480"/>
      <c r="U98" s="480"/>
      <c r="V98" s="480"/>
      <c r="W98" s="480"/>
      <c r="X98" s="480"/>
      <c r="Y98" s="480"/>
      <c r="Z98" s="480"/>
      <c r="AA98" s="480"/>
      <c r="AB98" s="480"/>
      <c r="AC98" s="480"/>
      <c r="AD98" s="480"/>
      <c r="AE98" s="480"/>
      <c r="AF98" s="480"/>
    </row>
    <row r="99" spans="1:33" s="356" customFormat="1" x14ac:dyDescent="0.2">
      <c r="B99" s="364"/>
      <c r="C99" s="364"/>
      <c r="D99" s="365"/>
      <c r="E99" s="365"/>
      <c r="F99" s="364"/>
      <c r="G99" s="366"/>
      <c r="H99" s="366"/>
      <c r="I99" s="366"/>
      <c r="J99" s="366"/>
      <c r="K99" s="366"/>
      <c r="L99" s="366"/>
      <c r="M99" s="366"/>
      <c r="N99" s="366"/>
      <c r="O99" s="366"/>
      <c r="P99" s="366"/>
      <c r="Q99" s="366"/>
      <c r="R99" s="366"/>
      <c r="S99" s="366"/>
      <c r="T99" s="366"/>
      <c r="U99" s="366"/>
      <c r="V99" s="366"/>
      <c r="W99" s="366"/>
      <c r="X99" s="366"/>
      <c r="Y99" s="366"/>
      <c r="Z99" s="440"/>
      <c r="AA99" s="440"/>
      <c r="AB99" s="440"/>
      <c r="AC99" s="528"/>
      <c r="AD99" s="457"/>
      <c r="AE99" s="458"/>
      <c r="AF99" s="440"/>
    </row>
    <row r="100" spans="1:33" s="356" customFormat="1" ht="18" x14ac:dyDescent="0.25">
      <c r="A100" s="680" t="s">
        <v>363</v>
      </c>
      <c r="B100" s="431"/>
      <c r="C100" s="538"/>
      <c r="D100" s="432"/>
      <c r="E100" s="432"/>
      <c r="F100" s="433"/>
      <c r="G100" s="434"/>
      <c r="H100" s="370"/>
      <c r="I100" s="370"/>
      <c r="J100" s="370"/>
      <c r="K100" s="371"/>
      <c r="L100" s="370"/>
      <c r="M100" s="370"/>
      <c r="N100" s="370"/>
      <c r="O100" s="370"/>
      <c r="P100" s="370"/>
      <c r="Q100" s="370"/>
      <c r="R100" s="370"/>
      <c r="S100" s="370" t="s">
        <v>15</v>
      </c>
      <c r="T100" s="370"/>
      <c r="U100" s="370"/>
      <c r="V100" s="370"/>
      <c r="W100" s="370"/>
      <c r="X100" s="370"/>
      <c r="Y100" s="370"/>
      <c r="Z100" s="372"/>
      <c r="AA100" s="372"/>
      <c r="AB100" s="372"/>
      <c r="AC100" s="529"/>
      <c r="AD100" s="457"/>
      <c r="AE100" s="458"/>
      <c r="AF100" s="372"/>
    </row>
    <row r="101" spans="1:33" s="356" customFormat="1" x14ac:dyDescent="0.2">
      <c r="A101" s="435"/>
      <c r="B101" s="436"/>
      <c r="C101" s="436"/>
      <c r="D101" s="432"/>
      <c r="E101" s="432"/>
      <c r="F101" s="434"/>
      <c r="G101" s="434"/>
      <c r="H101" s="370"/>
      <c r="I101" s="370"/>
      <c r="J101" s="370"/>
      <c r="K101" s="373"/>
      <c r="L101" s="373"/>
      <c r="M101" s="370"/>
      <c r="N101" s="370"/>
      <c r="O101" s="370"/>
      <c r="P101" s="370"/>
      <c r="Q101" s="370"/>
      <c r="R101" s="370"/>
      <c r="S101" s="370"/>
      <c r="T101" s="370"/>
      <c r="U101" s="370"/>
      <c r="V101" s="370"/>
      <c r="W101" s="370"/>
      <c r="X101" s="370"/>
      <c r="Y101" s="370"/>
      <c r="Z101" s="372"/>
      <c r="AA101" s="372"/>
      <c r="AB101" s="372"/>
      <c r="AC101" s="529"/>
      <c r="AD101" s="457"/>
      <c r="AE101" s="458"/>
      <c r="AF101" s="372"/>
    </row>
    <row r="102" spans="1:33" s="356" customFormat="1" ht="18" x14ac:dyDescent="0.25">
      <c r="A102" s="438"/>
      <c r="B102" s="439"/>
      <c r="C102" s="439"/>
      <c r="D102" s="439"/>
      <c r="E102" s="439"/>
      <c r="F102" s="678"/>
      <c r="G102" s="679"/>
      <c r="H102" s="370"/>
      <c r="I102" s="370"/>
      <c r="J102" s="370"/>
      <c r="K102" s="373"/>
      <c r="L102" s="371"/>
      <c r="M102" s="370"/>
      <c r="N102" s="370"/>
      <c r="O102" s="370"/>
      <c r="P102" s="370"/>
      <c r="Q102" s="370"/>
      <c r="R102" s="370"/>
      <c r="S102" s="370"/>
      <c r="T102" s="370"/>
      <c r="U102" s="370"/>
      <c r="V102" s="370"/>
      <c r="W102" s="370"/>
      <c r="X102" s="370"/>
      <c r="Y102" s="370"/>
      <c r="AA102" s="372"/>
      <c r="AB102" s="372"/>
      <c r="AC102" s="529"/>
      <c r="AD102" s="457"/>
      <c r="AE102" s="458"/>
      <c r="AF102" s="372"/>
    </row>
    <row r="103" spans="1:33" s="356" customFormat="1" ht="18" x14ac:dyDescent="0.25">
      <c r="A103" s="438"/>
      <c r="B103" s="439"/>
      <c r="C103" s="439"/>
      <c r="D103" s="551"/>
      <c r="E103" s="439"/>
      <c r="F103" s="437"/>
      <c r="G103" s="434"/>
      <c r="H103" s="370"/>
      <c r="I103" s="370"/>
      <c r="J103" s="370"/>
      <c r="K103" s="373"/>
      <c r="L103" s="371"/>
      <c r="M103" s="370"/>
      <c r="N103" s="370"/>
      <c r="O103" s="370"/>
      <c r="P103" s="370"/>
      <c r="Q103" s="370"/>
      <c r="R103" s="370"/>
      <c r="S103" s="370"/>
      <c r="T103" s="370"/>
      <c r="U103" s="370"/>
      <c r="V103" s="370"/>
      <c r="W103" s="370"/>
      <c r="X103" s="370"/>
      <c r="Y103" s="370"/>
      <c r="Z103" s="372" t="s">
        <v>207</v>
      </c>
      <c r="AA103" s="372"/>
      <c r="AB103" s="372"/>
      <c r="AC103" s="530"/>
      <c r="AD103" s="453"/>
      <c r="AE103" s="454"/>
      <c r="AF103" s="372"/>
    </row>
    <row r="104" spans="1:33" x14ac:dyDescent="0.2">
      <c r="A104" s="436"/>
      <c r="B104" s="436"/>
      <c r="C104" s="440"/>
      <c r="D104" s="555"/>
      <c r="E104" s="527"/>
      <c r="F104" s="561"/>
      <c r="G104" s="546"/>
      <c r="K104" s="373"/>
      <c r="M104" s="370"/>
      <c r="N104" s="370"/>
      <c r="Z104" s="372"/>
      <c r="AA104" s="531"/>
      <c r="AB104" s="531"/>
      <c r="AC104" s="530"/>
      <c r="AD104" s="402"/>
      <c r="AE104" s="402"/>
      <c r="AF104" s="531"/>
      <c r="AG104" s="356"/>
    </row>
    <row r="105" spans="1:33" s="356" customFormat="1" x14ac:dyDescent="0.2">
      <c r="A105" s="434"/>
      <c r="B105" s="434"/>
      <c r="C105" s="440"/>
      <c r="D105" s="555"/>
      <c r="E105" s="485"/>
      <c r="F105" s="561"/>
      <c r="G105" s="546"/>
      <c r="H105" s="370"/>
      <c r="I105" s="370"/>
      <c r="J105" s="370"/>
      <c r="K105" s="373"/>
      <c r="L105" s="370"/>
      <c r="M105" s="370"/>
      <c r="N105" s="370"/>
      <c r="O105" s="370"/>
      <c r="P105" s="370"/>
      <c r="Q105" s="370"/>
      <c r="R105" s="370"/>
      <c r="S105" s="370"/>
      <c r="T105" s="370"/>
      <c r="U105" s="370"/>
      <c r="V105" s="370"/>
      <c r="W105" s="370"/>
      <c r="X105" s="370"/>
      <c r="Y105" s="370"/>
      <c r="Z105" s="531" t="s">
        <v>261</v>
      </c>
      <c r="AA105" s="531"/>
      <c r="AB105" s="531"/>
      <c r="AC105" s="530"/>
      <c r="AD105" s="473">
        <f>SUM(AD16:AD66)+SUM(AD75:AD78)</f>
        <v>0</v>
      </c>
      <c r="AE105" s="473">
        <f>SUM(AE16:AE66)+SUM(AE75:AE78)</f>
        <v>0</v>
      </c>
      <c r="AF105" s="531"/>
    </row>
    <row r="106" spans="1:33" s="356" customFormat="1" x14ac:dyDescent="0.2">
      <c r="A106" s="436"/>
      <c r="B106" s="436"/>
      <c r="C106" s="440"/>
      <c r="D106" s="555"/>
      <c r="E106" s="485"/>
      <c r="F106" s="561"/>
      <c r="G106" s="546"/>
      <c r="H106" s="370"/>
      <c r="I106" s="370"/>
      <c r="J106" s="370"/>
      <c r="K106" s="373"/>
      <c r="L106" s="370"/>
      <c r="M106" s="370"/>
      <c r="N106" s="370"/>
      <c r="O106" s="370"/>
      <c r="P106" s="370"/>
      <c r="Q106" s="370"/>
      <c r="R106" s="370"/>
      <c r="S106" s="370"/>
      <c r="T106" s="370"/>
      <c r="U106" s="370"/>
      <c r="V106" s="370"/>
      <c r="W106" s="370"/>
      <c r="X106" s="370"/>
      <c r="Y106" s="370"/>
      <c r="Z106" s="531" t="s">
        <v>262</v>
      </c>
      <c r="AA106" s="531"/>
      <c r="AB106" s="531"/>
      <c r="AC106" s="532"/>
      <c r="AD106" s="473">
        <f>SUM(AD78:AD84)+SUM(AD85:AD91)</f>
        <v>-2275</v>
      </c>
      <c r="AE106" s="473">
        <f>SUM(AE78:AE84)+SUM(AE85:AE91)</f>
        <v>-5575</v>
      </c>
      <c r="AF106" s="531"/>
    </row>
    <row r="107" spans="1:33" s="356" customFormat="1" x14ac:dyDescent="0.2">
      <c r="A107" s="434"/>
      <c r="B107" s="434"/>
      <c r="C107" s="440"/>
      <c r="D107" s="555"/>
      <c r="E107" s="485"/>
      <c r="F107" s="561"/>
      <c r="G107" s="546"/>
      <c r="H107" s="377"/>
      <c r="I107" s="377"/>
      <c r="J107" s="377"/>
      <c r="K107" s="378"/>
      <c r="L107" s="377"/>
      <c r="M107" s="370"/>
      <c r="N107" s="370"/>
      <c r="O107" s="377"/>
      <c r="P107" s="377"/>
      <c r="Q107" s="377"/>
      <c r="R107" s="377"/>
      <c r="S107" s="377"/>
      <c r="T107" s="377"/>
      <c r="U107" s="377"/>
      <c r="V107" s="377"/>
      <c r="W107" s="377"/>
      <c r="X107" s="377"/>
      <c r="Y107" s="377"/>
      <c r="Z107" s="384"/>
      <c r="AA107" s="384"/>
      <c r="AB107" s="384"/>
      <c r="AC107" s="466"/>
      <c r="AF107" s="384"/>
    </row>
    <row r="108" spans="1:33" s="356" customFormat="1" x14ac:dyDescent="0.2">
      <c r="A108" s="436"/>
      <c r="B108" s="436"/>
      <c r="C108" s="440"/>
      <c r="D108" s="555"/>
      <c r="E108" s="485"/>
      <c r="F108" s="561"/>
      <c r="G108" s="546"/>
      <c r="H108" s="377"/>
      <c r="O108" s="370"/>
      <c r="P108" s="370"/>
      <c r="Q108" s="381"/>
      <c r="R108" s="381"/>
      <c r="S108" s="381"/>
      <c r="T108" s="381"/>
      <c r="U108" s="381"/>
      <c r="V108" s="381"/>
      <c r="W108" s="381"/>
      <c r="X108" s="381"/>
      <c r="Y108" s="381"/>
      <c r="Z108" s="533" t="s">
        <v>269</v>
      </c>
      <c r="AA108" s="533"/>
      <c r="AB108" s="533"/>
      <c r="AC108" s="534"/>
      <c r="AD108" s="477"/>
      <c r="AE108" s="478"/>
      <c r="AF108" s="402"/>
    </row>
    <row r="109" spans="1:33" s="356" customFormat="1" x14ac:dyDescent="0.2">
      <c r="A109" s="434"/>
      <c r="B109" s="434"/>
      <c r="C109" s="440"/>
      <c r="D109" s="555"/>
      <c r="E109" s="485"/>
      <c r="F109" s="561"/>
      <c r="G109" s="546"/>
      <c r="H109" s="370"/>
      <c r="O109" s="370"/>
      <c r="P109" s="370"/>
      <c r="Q109" s="370"/>
      <c r="R109" s="370"/>
      <c r="S109" s="370"/>
      <c r="T109" s="370"/>
      <c r="U109" s="370"/>
      <c r="V109" s="370"/>
      <c r="W109" s="370"/>
      <c r="X109" s="370"/>
      <c r="Y109" s="370"/>
      <c r="Z109" s="533"/>
      <c r="AA109" s="533"/>
      <c r="AB109" s="533"/>
      <c r="AC109" s="534"/>
      <c r="AD109" s="477"/>
      <c r="AE109" s="478"/>
      <c r="AF109" s="402"/>
    </row>
    <row r="110" spans="1:33" s="356" customFormat="1" x14ac:dyDescent="0.2">
      <c r="A110" s="436"/>
      <c r="B110" s="436"/>
      <c r="C110" s="440"/>
      <c r="D110" s="555"/>
      <c r="E110" s="485"/>
      <c r="F110" s="561"/>
      <c r="G110" s="546"/>
      <c r="H110" s="382"/>
      <c r="O110" s="370"/>
      <c r="P110" s="370"/>
      <c r="Q110" s="382"/>
      <c r="R110" s="382"/>
      <c r="S110" s="382"/>
      <c r="T110" s="382"/>
      <c r="U110" s="382"/>
      <c r="V110" s="382"/>
      <c r="W110" s="382"/>
      <c r="X110" s="382"/>
      <c r="Y110" s="382"/>
      <c r="Z110" s="533" t="s">
        <v>262</v>
      </c>
      <c r="AA110" s="533"/>
      <c r="AB110" s="533"/>
      <c r="AC110" s="534"/>
      <c r="AD110" s="479">
        <f>SUM(AD97:AD98)</f>
        <v>0</v>
      </c>
      <c r="AE110" s="479">
        <f>SUM(AE97:AE98)</f>
        <v>0</v>
      </c>
      <c r="AF110" s="402"/>
    </row>
    <row r="111" spans="1:33" s="356" customFormat="1" x14ac:dyDescent="0.2">
      <c r="A111" s="434"/>
      <c r="B111" s="434"/>
      <c r="C111" s="440"/>
      <c r="D111" s="555"/>
      <c r="E111" s="485"/>
      <c r="F111" s="561"/>
      <c r="G111" s="546"/>
      <c r="H111" s="382"/>
      <c r="O111" s="370"/>
      <c r="P111" s="370"/>
      <c r="Q111" s="382"/>
      <c r="R111" s="382"/>
      <c r="S111" s="382"/>
      <c r="T111" s="382"/>
      <c r="U111" s="382"/>
      <c r="V111" s="382"/>
      <c r="W111" s="382"/>
      <c r="X111" s="382"/>
      <c r="Y111" s="382"/>
      <c r="Z111" s="402"/>
      <c r="AA111" s="402"/>
      <c r="AB111" s="402"/>
      <c r="AC111" s="467"/>
      <c r="AD111" s="402"/>
      <c r="AE111" s="402"/>
      <c r="AF111" s="402"/>
    </row>
    <row r="112" spans="1:33" s="356" customFormat="1" x14ac:dyDescent="0.2">
      <c r="A112" s="436"/>
      <c r="B112" s="436"/>
      <c r="C112" s="440"/>
      <c r="D112" s="555"/>
      <c r="E112" s="485"/>
      <c r="F112" s="561"/>
      <c r="G112" s="546"/>
      <c r="H112" s="370"/>
      <c r="O112" s="370"/>
      <c r="P112" s="370"/>
      <c r="Q112" s="370"/>
      <c r="R112" s="370"/>
      <c r="S112" s="370"/>
      <c r="T112" s="370"/>
      <c r="U112" s="370"/>
      <c r="V112" s="370"/>
      <c r="W112" s="370"/>
      <c r="X112" s="370"/>
      <c r="Y112" s="370"/>
      <c r="Z112" s="402"/>
      <c r="AA112" s="402"/>
      <c r="AB112" s="402"/>
      <c r="AC112" s="467"/>
      <c r="AD112" s="402"/>
      <c r="AE112" s="402"/>
      <c r="AF112" s="402"/>
    </row>
    <row r="113" spans="1:33" s="402" customFormat="1" x14ac:dyDescent="0.2">
      <c r="A113" s="434"/>
      <c r="B113" s="434"/>
      <c r="C113" s="440"/>
      <c r="D113" s="555"/>
      <c r="E113" s="485"/>
      <c r="F113" s="561"/>
      <c r="G113" s="546"/>
      <c r="H113" s="370"/>
      <c r="I113" s="356"/>
      <c r="J113" s="356"/>
      <c r="K113" s="356"/>
      <c r="L113" s="356"/>
      <c r="M113" s="356"/>
      <c r="N113" s="356"/>
      <c r="O113" s="370"/>
      <c r="P113" s="370"/>
      <c r="Q113" s="370"/>
      <c r="R113" s="370"/>
      <c r="S113" s="370"/>
      <c r="T113" s="370"/>
      <c r="U113" s="370"/>
      <c r="V113" s="370"/>
      <c r="W113" s="370"/>
      <c r="X113" s="370"/>
      <c r="Y113" s="370"/>
      <c r="AC113" s="467"/>
      <c r="AG113" s="356"/>
    </row>
    <row r="114" spans="1:33" s="402" customFormat="1" ht="18" x14ac:dyDescent="0.25">
      <c r="A114" s="680" t="s">
        <v>357</v>
      </c>
      <c r="B114" s="436"/>
      <c r="C114" s="440"/>
      <c r="D114" s="555"/>
      <c r="E114" s="485"/>
      <c r="F114" s="561"/>
      <c r="G114" s="546"/>
      <c r="H114" s="383"/>
      <c r="I114" s="404"/>
      <c r="J114" s="404"/>
      <c r="K114" s="404"/>
      <c r="L114" s="404"/>
      <c r="M114" s="404"/>
      <c r="N114" s="404"/>
      <c r="O114" s="383"/>
      <c r="P114" s="383"/>
      <c r="Q114" s="383"/>
      <c r="R114" s="383"/>
      <c r="S114" s="383"/>
      <c r="T114" s="383"/>
      <c r="U114" s="383"/>
      <c r="V114" s="383"/>
      <c r="W114" s="383"/>
      <c r="X114" s="383"/>
      <c r="Y114" s="383"/>
      <c r="AC114" s="467"/>
      <c r="AG114" s="370"/>
    </row>
    <row r="115" spans="1:33" s="402" customFormat="1" x14ac:dyDescent="0.2">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AC115" s="467"/>
      <c r="AG115" s="356"/>
    </row>
    <row r="116" spans="1:33" s="402" customFormat="1" x14ac:dyDescent="0.2">
      <c r="A116" s="436"/>
      <c r="B116" s="436"/>
      <c r="C116" s="440"/>
      <c r="D116" s="555"/>
      <c r="E116" s="485"/>
      <c r="F116" s="561"/>
      <c r="G116" s="546"/>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66"/>
      <c r="AG116" s="356"/>
    </row>
    <row r="117" spans="1:33" s="402" customFormat="1" x14ac:dyDescent="0.2">
      <c r="A117" s="434"/>
      <c r="B117" s="434"/>
      <c r="C117" s="440"/>
      <c r="D117" s="555"/>
      <c r="E117" s="485"/>
      <c r="F117" s="561"/>
      <c r="G117" s="546"/>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D117" s="457"/>
      <c r="AE117" s="458"/>
      <c r="AF117" s="459"/>
      <c r="AG117" s="356"/>
    </row>
    <row r="118" spans="1:33" s="402" customFormat="1" ht="15.75" x14ac:dyDescent="0.25">
      <c r="A118" s="681"/>
      <c r="B118" s="436"/>
      <c r="C118" s="440"/>
      <c r="D118" s="555"/>
      <c r="E118" s="485"/>
      <c r="F118" s="561"/>
      <c r="G118" s="546"/>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66"/>
      <c r="AD118" s="457"/>
      <c r="AE118" s="458"/>
      <c r="AF118" s="459"/>
      <c r="AG118" s="356"/>
    </row>
    <row r="119" spans="1:33" s="402" customFormat="1" x14ac:dyDescent="0.2">
      <c r="A119" s="434"/>
      <c r="B119" s="434"/>
      <c r="C119" s="440"/>
      <c r="D119" s="555"/>
      <c r="E119" s="485"/>
      <c r="F119" s="561"/>
      <c r="G119" s="546"/>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66"/>
      <c r="AD119" s="457"/>
      <c r="AE119" s="458"/>
      <c r="AF119" s="459"/>
      <c r="AG119" s="356"/>
    </row>
    <row r="120" spans="1:33" s="402" customFormat="1" x14ac:dyDescent="0.2">
      <c r="A120" s="436"/>
      <c r="B120" s="436"/>
      <c r="C120" s="440"/>
      <c r="D120" s="555"/>
      <c r="E120" s="485"/>
      <c r="F120" s="561"/>
      <c r="G120" s="546"/>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D120" s="457"/>
      <c r="AE120" s="458"/>
      <c r="AF120" s="459"/>
      <c r="AG120" s="356"/>
    </row>
    <row r="121" spans="1:33" s="402" customFormat="1" x14ac:dyDescent="0.2">
      <c r="A121" s="434"/>
      <c r="B121" s="434"/>
      <c r="C121" s="440"/>
      <c r="D121" s="555"/>
      <c r="E121" s="485"/>
      <c r="F121" s="561"/>
      <c r="G121" s="546"/>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535"/>
      <c r="AG121" s="356"/>
    </row>
    <row r="122" spans="1:33" s="402" customFormat="1" x14ac:dyDescent="0.2">
      <c r="A122" s="436"/>
      <c r="B122" s="436"/>
      <c r="C122" s="440"/>
      <c r="D122" s="555"/>
      <c r="E122" s="485"/>
      <c r="F122" s="561"/>
      <c r="G122" s="546"/>
      <c r="H122" s="387"/>
      <c r="I122" s="356"/>
      <c r="J122" s="356"/>
      <c r="K122" s="356"/>
      <c r="L122" s="356"/>
      <c r="M122" s="356"/>
      <c r="N122" s="356"/>
      <c r="O122" s="386"/>
      <c r="P122" s="386"/>
      <c r="Q122" s="387"/>
      <c r="R122" s="387"/>
      <c r="S122" s="387"/>
      <c r="T122" s="387"/>
      <c r="U122" s="387"/>
      <c r="V122" s="387"/>
      <c r="W122" s="387"/>
      <c r="X122" s="387"/>
      <c r="Y122" s="387"/>
      <c r="Z122" s="387"/>
      <c r="AA122" s="387"/>
      <c r="AB122" s="387"/>
      <c r="AC122" s="468"/>
      <c r="AG122" s="356"/>
    </row>
    <row r="123" spans="1:33" s="402" customFormat="1" x14ac:dyDescent="0.2">
      <c r="A123" s="434"/>
      <c r="B123" s="434"/>
      <c r="C123" s="440"/>
      <c r="D123" s="555"/>
      <c r="E123" s="485"/>
      <c r="F123" s="561"/>
      <c r="G123" s="546"/>
      <c r="H123" s="388"/>
      <c r="I123" s="356"/>
      <c r="J123" s="356"/>
      <c r="K123" s="356"/>
      <c r="L123" s="356"/>
      <c r="M123" s="356"/>
      <c r="N123" s="356"/>
      <c r="O123" s="411"/>
      <c r="P123" s="411"/>
      <c r="Q123" s="388"/>
      <c r="R123" s="388"/>
      <c r="S123" s="388"/>
      <c r="T123" s="388"/>
      <c r="U123" s="388"/>
      <c r="V123" s="388"/>
      <c r="W123" s="388"/>
      <c r="X123" s="388"/>
      <c r="Y123" s="388"/>
      <c r="Z123" s="388"/>
      <c r="AA123" s="388"/>
      <c r="AB123" s="388"/>
      <c r="AC123" s="469"/>
      <c r="AD123" s="536"/>
      <c r="AE123" s="461"/>
    </row>
    <row r="124" spans="1:33" s="460" customFormat="1" ht="13.5" thickBot="1" x14ac:dyDescent="0.25">
      <c r="A124" s="436"/>
      <c r="B124" s="436"/>
      <c r="C124" s="440"/>
      <c r="D124" s="555"/>
      <c r="E124" s="485"/>
      <c r="F124" s="561"/>
      <c r="G124" s="546"/>
      <c r="H124" s="388"/>
      <c r="I124" s="356"/>
      <c r="J124" s="356"/>
      <c r="K124" s="356"/>
      <c r="L124" s="356"/>
      <c r="M124" s="356"/>
      <c r="N124" s="356"/>
      <c r="O124" s="411"/>
      <c r="P124" s="411"/>
      <c r="Q124" s="388"/>
      <c r="R124" s="388"/>
      <c r="S124" s="388"/>
      <c r="T124" s="388"/>
      <c r="U124" s="388"/>
      <c r="V124" s="388"/>
      <c r="W124" s="388"/>
      <c r="X124" s="388"/>
      <c r="Y124" s="388"/>
      <c r="Z124" s="388"/>
      <c r="AA124" s="388"/>
      <c r="AB124" s="388"/>
      <c r="AC124" s="469"/>
      <c r="AD124" s="461"/>
      <c r="AE124" s="461"/>
      <c r="AF124" s="402"/>
      <c r="AG124" s="402"/>
    </row>
    <row r="125" spans="1:33" s="402" customFormat="1" x14ac:dyDescent="0.2">
      <c r="A125" s="434"/>
      <c r="B125" s="434"/>
      <c r="C125" s="440"/>
      <c r="D125" s="555"/>
      <c r="E125" s="485"/>
      <c r="F125" s="561"/>
      <c r="G125" s="546"/>
      <c r="H125" s="388"/>
      <c r="I125" s="356"/>
      <c r="J125" s="428"/>
      <c r="K125" s="356"/>
      <c r="L125" s="356"/>
      <c r="M125" s="356"/>
      <c r="N125" s="356"/>
      <c r="O125" s="411"/>
      <c r="P125" s="411"/>
      <c r="Q125" s="388"/>
      <c r="R125" s="388"/>
      <c r="S125" s="388"/>
      <c r="T125" s="388"/>
      <c r="U125" s="388"/>
      <c r="V125" s="388"/>
      <c r="W125" s="388"/>
      <c r="X125" s="388"/>
      <c r="Y125" s="388"/>
      <c r="Z125" s="388"/>
      <c r="AA125" s="388"/>
      <c r="AB125" s="388"/>
      <c r="AC125" s="469"/>
      <c r="AD125" s="356"/>
      <c r="AE125" s="356"/>
    </row>
    <row r="126" spans="1:33" s="356" customFormat="1" x14ac:dyDescent="0.2">
      <c r="A126" s="436"/>
      <c r="B126" s="436"/>
      <c r="C126" s="440"/>
      <c r="D126" s="555"/>
      <c r="E126" s="485"/>
      <c r="F126" s="561"/>
      <c r="G126" s="546"/>
      <c r="H126" s="388"/>
      <c r="O126" s="411"/>
      <c r="P126" s="411"/>
      <c r="Q126" s="388"/>
      <c r="R126" s="388"/>
      <c r="S126" s="388"/>
      <c r="T126" s="388"/>
      <c r="U126" s="388"/>
      <c r="V126" s="388"/>
      <c r="W126" s="388"/>
      <c r="X126" s="388"/>
      <c r="Y126" s="388"/>
      <c r="Z126" s="388"/>
      <c r="AA126" s="388"/>
      <c r="AB126" s="388"/>
      <c r="AC126" s="469"/>
      <c r="AD126" s="457"/>
      <c r="AE126" s="535"/>
      <c r="AF126" s="537"/>
      <c r="AG126" s="402"/>
    </row>
    <row r="127" spans="1:33" s="356" customFormat="1" x14ac:dyDescent="0.2">
      <c r="A127" s="436"/>
      <c r="B127" s="434"/>
      <c r="C127" s="440"/>
      <c r="D127" s="555"/>
      <c r="E127" s="527"/>
      <c r="F127" s="561"/>
      <c r="G127" s="546"/>
      <c r="H127" s="391"/>
      <c r="O127" s="412"/>
      <c r="P127" s="412"/>
      <c r="Q127" s="391"/>
      <c r="R127" s="391"/>
      <c r="S127" s="391"/>
      <c r="T127" s="391"/>
      <c r="U127" s="391"/>
      <c r="V127" s="391"/>
      <c r="W127" s="391"/>
      <c r="X127" s="391"/>
      <c r="Y127" s="391"/>
      <c r="Z127" s="388"/>
      <c r="AA127" s="388"/>
      <c r="AB127" s="388"/>
      <c r="AC127" s="469"/>
      <c r="AD127" s="457"/>
      <c r="AE127" s="535"/>
      <c r="AF127" s="537"/>
      <c r="AG127" s="402"/>
    </row>
    <row r="128" spans="1:33" s="356" customFormat="1" x14ac:dyDescent="0.2">
      <c r="A128" s="550"/>
      <c r="B128" s="436"/>
      <c r="C128" s="440"/>
      <c r="D128" s="556"/>
      <c r="E128" s="481"/>
      <c r="F128" s="561"/>
      <c r="G128" s="546"/>
      <c r="H128" s="391"/>
      <c r="O128" s="412"/>
      <c r="P128" s="412"/>
      <c r="Q128" s="391"/>
      <c r="R128" s="391"/>
      <c r="S128" s="391"/>
      <c r="T128" s="391"/>
      <c r="U128" s="391"/>
      <c r="V128" s="391"/>
      <c r="W128" s="391"/>
      <c r="X128" s="391"/>
      <c r="Y128" s="391"/>
      <c r="Z128" s="388"/>
      <c r="AA128" s="388"/>
      <c r="AB128" s="388"/>
      <c r="AC128" s="469"/>
      <c r="AD128" s="461"/>
      <c r="AE128" s="461"/>
      <c r="AF128" s="537"/>
      <c r="AG128" s="402"/>
    </row>
    <row r="129" spans="1:33" s="402" customFormat="1" x14ac:dyDescent="0.2">
      <c r="A129" s="356"/>
      <c r="B129" s="356"/>
      <c r="C129" s="356"/>
      <c r="D129" s="555"/>
      <c r="E129" s="356"/>
      <c r="F129" s="356"/>
      <c r="G129" s="434"/>
      <c r="H129" s="391"/>
      <c r="I129" s="356"/>
      <c r="J129" s="356"/>
      <c r="K129" s="356"/>
      <c r="L129" s="356"/>
      <c r="M129" s="356"/>
      <c r="N129" s="356"/>
      <c r="O129" s="412"/>
      <c r="P129" s="412"/>
      <c r="Q129" s="391"/>
      <c r="R129" s="391"/>
      <c r="S129" s="391"/>
      <c r="T129" s="391"/>
      <c r="U129" s="391"/>
      <c r="V129" s="391"/>
      <c r="W129" s="391"/>
      <c r="X129" s="391"/>
      <c r="Y129" s="391"/>
      <c r="Z129" s="388"/>
      <c r="AA129" s="388"/>
      <c r="AB129" s="388"/>
      <c r="AC129" s="469"/>
      <c r="AF129" s="455"/>
    </row>
    <row r="130" spans="1:33" s="402" customFormat="1" ht="18" x14ac:dyDescent="0.25">
      <c r="A130" s="433"/>
      <c r="B130" s="442"/>
      <c r="C130" s="443"/>
      <c r="D130" s="557"/>
      <c r="E130" s="443"/>
      <c r="F130" s="443"/>
      <c r="G130" s="434"/>
      <c r="H130" s="434"/>
      <c r="I130" s="356"/>
      <c r="J130" s="356"/>
      <c r="K130" s="356"/>
      <c r="L130" s="356"/>
      <c r="M130" s="356"/>
      <c r="N130" s="356"/>
      <c r="O130" s="444"/>
      <c r="P130" s="444"/>
      <c r="Q130" s="434"/>
      <c r="R130" s="434"/>
      <c r="S130" s="434"/>
      <c r="T130" s="434"/>
      <c r="U130" s="434"/>
      <c r="V130" s="434"/>
      <c r="W130" s="434"/>
      <c r="X130" s="434"/>
      <c r="Y130" s="391"/>
      <c r="Z130" s="388"/>
      <c r="AA130" s="388"/>
      <c r="AB130" s="388"/>
      <c r="AC130" s="469"/>
      <c r="AF130" s="455"/>
    </row>
    <row r="131" spans="1:33" s="402" customFormat="1" x14ac:dyDescent="0.2">
      <c r="A131" s="434"/>
      <c r="B131" s="434"/>
      <c r="C131" s="434"/>
      <c r="D131" s="558"/>
      <c r="E131" s="434"/>
      <c r="F131" s="434"/>
      <c r="G131" s="434"/>
      <c r="H131" s="434"/>
      <c r="I131" s="356"/>
      <c r="J131" s="356"/>
      <c r="K131" s="356"/>
      <c r="L131" s="356"/>
      <c r="M131" s="356"/>
      <c r="N131" s="356"/>
      <c r="O131" s="444"/>
      <c r="P131" s="444"/>
      <c r="Q131" s="434"/>
      <c r="R131" s="434"/>
      <c r="S131" s="434"/>
      <c r="T131" s="434"/>
      <c r="U131" s="434"/>
      <c r="V131" s="434"/>
      <c r="W131" s="434"/>
      <c r="X131" s="434"/>
      <c r="Y131" s="391"/>
      <c r="Z131" s="388"/>
      <c r="AA131" s="388"/>
      <c r="AB131" s="388"/>
      <c r="AC131" s="469"/>
      <c r="AF131" s="356"/>
    </row>
    <row r="132" spans="1:33" s="402" customFormat="1" ht="18" x14ac:dyDescent="0.25">
      <c r="A132" s="438"/>
      <c r="B132" s="439"/>
      <c r="C132" s="439"/>
      <c r="D132" s="677"/>
      <c r="E132" s="439"/>
      <c r="F132" s="678"/>
      <c r="G132" s="439"/>
      <c r="H132" s="434"/>
      <c r="I132" s="356"/>
      <c r="J132" s="356"/>
      <c r="K132" s="356"/>
      <c r="L132" s="356"/>
      <c r="M132" s="356"/>
      <c r="N132" s="356"/>
      <c r="O132" s="444"/>
      <c r="P132" s="444"/>
      <c r="Q132" s="434"/>
      <c r="R132" s="434"/>
      <c r="S132" s="434"/>
      <c r="T132" s="434"/>
      <c r="U132" s="434"/>
      <c r="V132" s="434"/>
      <c r="W132" s="434"/>
      <c r="X132" s="434"/>
      <c r="Y132" s="391"/>
      <c r="Z132" s="391"/>
      <c r="AA132" s="391"/>
      <c r="AB132" s="391"/>
      <c r="AC132" s="470"/>
      <c r="AF132" s="356"/>
    </row>
    <row r="133" spans="1:33" s="402" customFormat="1" ht="18" x14ac:dyDescent="0.25">
      <c r="A133" s="438"/>
      <c r="B133" s="439"/>
      <c r="C133" s="439"/>
      <c r="D133" s="559"/>
      <c r="E133" s="437"/>
      <c r="F133" s="437"/>
      <c r="G133" s="434"/>
      <c r="H133" s="445"/>
      <c r="I133" s="446"/>
      <c r="J133" s="356"/>
      <c r="K133" s="356"/>
      <c r="L133" s="356"/>
      <c r="M133" s="447"/>
      <c r="N133" s="448"/>
      <c r="O133" s="444"/>
      <c r="P133" s="444"/>
      <c r="Q133" s="434"/>
      <c r="R133" s="434"/>
      <c r="S133" s="434"/>
      <c r="T133" s="434"/>
      <c r="U133" s="434"/>
      <c r="V133" s="434"/>
      <c r="W133" s="434"/>
      <c r="X133" s="434"/>
      <c r="Y133" s="391"/>
      <c r="Z133" s="391"/>
      <c r="AA133" s="391"/>
      <c r="AB133" s="391"/>
      <c r="AC133" s="470"/>
      <c r="AF133" s="356"/>
    </row>
    <row r="134" spans="1:33" s="402" customFormat="1" ht="13.5" thickBot="1" x14ac:dyDescent="0.25">
      <c r="A134" s="436"/>
      <c r="B134" s="434"/>
      <c r="C134" s="440"/>
      <c r="D134" s="555"/>
      <c r="E134" s="527"/>
      <c r="F134" s="561"/>
      <c r="G134" s="546"/>
      <c r="I134" s="449"/>
      <c r="J134" s="450"/>
      <c r="K134" s="356"/>
      <c r="L134" s="356"/>
      <c r="M134" s="356"/>
      <c r="N134" s="356"/>
      <c r="O134" s="444"/>
      <c r="P134" s="444"/>
      <c r="Q134" s="434"/>
      <c r="R134" s="434"/>
      <c r="S134" s="434"/>
      <c r="T134" s="434"/>
      <c r="U134" s="434"/>
      <c r="V134" s="434"/>
      <c r="W134" s="434"/>
      <c r="X134" s="434"/>
      <c r="Y134" s="391"/>
      <c r="Z134" s="391"/>
      <c r="AA134" s="452"/>
      <c r="AB134" s="391"/>
      <c r="AC134" s="470"/>
      <c r="AD134" s="356"/>
      <c r="AE134" s="356"/>
      <c r="AF134" s="356"/>
      <c r="AG134" s="460"/>
    </row>
    <row r="135" spans="1:33" s="402" customFormat="1" x14ac:dyDescent="0.2">
      <c r="A135" s="434"/>
      <c r="B135" s="434"/>
      <c r="C135" s="440"/>
      <c r="D135" s="560"/>
      <c r="E135" s="485"/>
      <c r="F135" s="561"/>
      <c r="G135" s="546"/>
      <c r="I135" s="449"/>
      <c r="J135" s="450"/>
      <c r="K135" s="356"/>
      <c r="L135" s="356"/>
      <c r="M135" s="356"/>
      <c r="N135" s="356"/>
      <c r="O135" s="444"/>
      <c r="P135" s="444"/>
      <c r="Q135" s="434"/>
      <c r="R135" s="434"/>
      <c r="S135" s="434"/>
      <c r="T135" s="434"/>
      <c r="U135" s="434"/>
      <c r="V135" s="434"/>
      <c r="W135" s="434"/>
      <c r="X135" s="434"/>
      <c r="Y135" s="391"/>
      <c r="Z135" s="391"/>
      <c r="AA135" s="452"/>
      <c r="AB135" s="391"/>
      <c r="AC135" s="470"/>
      <c r="AD135" s="403"/>
      <c r="AE135" s="356"/>
      <c r="AF135" s="356"/>
    </row>
    <row r="136" spans="1:33" s="402" customFormat="1" x14ac:dyDescent="0.2">
      <c r="A136" s="436"/>
      <c r="B136" s="434"/>
      <c r="C136" s="440"/>
      <c r="D136" s="556"/>
      <c r="E136" s="485"/>
      <c r="F136" s="561"/>
      <c r="G136" s="546"/>
      <c r="I136" s="449"/>
      <c r="J136" s="450"/>
      <c r="K136" s="376"/>
      <c r="L136" s="376"/>
      <c r="M136" s="376"/>
      <c r="N136" s="376"/>
      <c r="O136" s="444"/>
      <c r="P136" s="444"/>
      <c r="Q136" s="434"/>
      <c r="R136" s="434"/>
      <c r="S136" s="434"/>
      <c r="T136" s="434"/>
      <c r="U136" s="434"/>
      <c r="V136" s="434"/>
      <c r="W136" s="434"/>
      <c r="X136" s="434"/>
      <c r="Y136" s="391"/>
      <c r="Z136" s="391"/>
      <c r="AA136" s="452"/>
      <c r="AB136" s="391"/>
      <c r="AC136" s="470"/>
      <c r="AF136" s="356"/>
      <c r="AG136" s="356"/>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91"/>
      <c r="AA137" s="452"/>
      <c r="AB137" s="391"/>
      <c r="AC137" s="470"/>
      <c r="AD137" s="429"/>
      <c r="AE137" s="430"/>
      <c r="AF137" s="356"/>
      <c r="AG137" s="356"/>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91"/>
      <c r="AA138" s="452"/>
      <c r="AB138" s="391"/>
      <c r="AC138" s="470"/>
      <c r="AD138" s="403"/>
      <c r="AE138" s="356"/>
      <c r="AF138" s="356"/>
      <c r="AG138" s="356"/>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91"/>
      <c r="AA139" s="452"/>
      <c r="AB139" s="391"/>
      <c r="AC139" s="470"/>
      <c r="AD139" s="403"/>
      <c r="AE139" s="356"/>
      <c r="AF139" s="356"/>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3"/>
      <c r="AE140" s="356"/>
      <c r="AF140" s="356"/>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3"/>
      <c r="AE141" s="356"/>
      <c r="AF141" s="356"/>
    </row>
    <row r="142" spans="1:33" s="402" customFormat="1" x14ac:dyDescent="0.2">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396"/>
      <c r="AE142" s="397"/>
      <c r="AF142" s="403"/>
    </row>
    <row r="143" spans="1:33" s="402" customFormat="1" x14ac:dyDescent="0.2">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398"/>
      <c r="AE143" s="398"/>
      <c r="AF143" s="403"/>
    </row>
    <row r="144" spans="1:33" s="402" customFormat="1" x14ac:dyDescent="0.2">
      <c r="A144" s="436"/>
      <c r="B144" s="434"/>
      <c r="C144" s="440"/>
      <c r="D144" s="556"/>
      <c r="E144" s="485"/>
      <c r="F144" s="561"/>
      <c r="G144" s="546"/>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6"/>
      <c r="AE144" s="397"/>
      <c r="AF144" s="403"/>
    </row>
    <row r="145" spans="1:32" s="402" customFormat="1" x14ac:dyDescent="0.2">
      <c r="A145" s="434"/>
      <c r="B145" s="434"/>
      <c r="C145" s="440"/>
      <c r="D145" s="556"/>
      <c r="E145" s="485"/>
      <c r="F145" s="561"/>
      <c r="G145" s="546"/>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401"/>
      <c r="AE145" s="399"/>
      <c r="AF145" s="403"/>
    </row>
    <row r="146" spans="1:32" s="402" customFormat="1" x14ac:dyDescent="0.2">
      <c r="A146" s="436"/>
      <c r="B146" s="434"/>
      <c r="C146" s="440"/>
      <c r="D146" s="556"/>
      <c r="E146" s="485"/>
      <c r="F146" s="561"/>
      <c r="G146" s="546"/>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401"/>
      <c r="AE146" s="399"/>
      <c r="AF146" s="403"/>
    </row>
    <row r="147" spans="1:32" s="402" customFormat="1" x14ac:dyDescent="0.2">
      <c r="A147" s="434"/>
      <c r="B147" s="434"/>
      <c r="C147" s="440"/>
      <c r="D147" s="556"/>
      <c r="E147" s="485"/>
      <c r="F147" s="561"/>
      <c r="G147" s="546"/>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401"/>
      <c r="AE147" s="413"/>
      <c r="AF147" s="403"/>
    </row>
    <row r="148" spans="1:32" s="402" customFormat="1" x14ac:dyDescent="0.2">
      <c r="A148" s="436"/>
      <c r="B148" s="434"/>
      <c r="C148" s="440"/>
      <c r="D148" s="556"/>
      <c r="E148" s="485"/>
      <c r="F148" s="561"/>
      <c r="G148" s="546"/>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1"/>
      <c r="AE148" s="414"/>
      <c r="AF148" s="356"/>
    </row>
    <row r="149" spans="1:32" s="402" customFormat="1" x14ac:dyDescent="0.2">
      <c r="A149" s="434"/>
      <c r="B149" s="434"/>
      <c r="C149" s="440"/>
      <c r="D149" s="556"/>
      <c r="E149" s="485"/>
      <c r="F149" s="561"/>
      <c r="G149" s="546"/>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396"/>
      <c r="AE149" s="397"/>
      <c r="AF149" s="356"/>
    </row>
    <row r="150" spans="1:32" s="402" customFormat="1" x14ac:dyDescent="0.2">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96"/>
      <c r="AE150" s="397"/>
      <c r="AF150" s="398"/>
    </row>
    <row r="151" spans="1:32" s="402" customFormat="1" x14ac:dyDescent="0.2">
      <c r="A151" s="434"/>
      <c r="B151" s="434"/>
      <c r="C151" s="440"/>
      <c r="D151" s="556"/>
      <c r="E151" s="485"/>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81"/>
      <c r="AE151" s="381"/>
      <c r="AF151" s="396"/>
    </row>
    <row r="152" spans="1:32" s="402" customFormat="1" x14ac:dyDescent="0.2">
      <c r="A152" s="436"/>
      <c r="B152" s="434"/>
      <c r="C152" s="440"/>
      <c r="D152" s="556"/>
      <c r="E152" s="485"/>
      <c r="F152" s="561"/>
      <c r="G152" s="546"/>
      <c r="I152" s="451"/>
      <c r="J152" s="450"/>
      <c r="K152" s="434"/>
      <c r="L152" s="434"/>
      <c r="M152" s="444"/>
      <c r="N152" s="444"/>
      <c r="O152" s="434"/>
      <c r="R152" s="434"/>
      <c r="S152" s="434"/>
      <c r="T152" s="434"/>
      <c r="U152" s="434"/>
      <c r="V152" s="434"/>
      <c r="W152" s="434"/>
      <c r="X152" s="434"/>
      <c r="Y152" s="391"/>
      <c r="Z152" s="370"/>
      <c r="AA152" s="452"/>
      <c r="AB152" s="370"/>
      <c r="AC152" s="465"/>
      <c r="AD152" s="370"/>
      <c r="AE152" s="370"/>
      <c r="AF152" s="396"/>
    </row>
    <row r="153" spans="1:32" s="402" customFormat="1" x14ac:dyDescent="0.2">
      <c r="A153" s="434"/>
      <c r="B153" s="434"/>
      <c r="C153" s="440"/>
      <c r="D153" s="556"/>
      <c r="E153" s="485"/>
      <c r="F153" s="561"/>
      <c r="G153" s="546"/>
      <c r="I153" s="451"/>
      <c r="J153" s="450"/>
      <c r="K153" s="434"/>
      <c r="L153" s="434"/>
      <c r="M153" s="444"/>
      <c r="N153" s="444"/>
      <c r="O153" s="434"/>
      <c r="R153" s="434"/>
      <c r="S153" s="434"/>
      <c r="T153" s="434"/>
      <c r="U153" s="434"/>
      <c r="V153" s="434"/>
      <c r="W153" s="434"/>
      <c r="X153" s="434"/>
      <c r="Y153" s="391"/>
      <c r="Z153" s="370"/>
      <c r="AA153" s="452"/>
      <c r="AB153" s="370"/>
      <c r="AC153" s="465"/>
      <c r="AD153" s="382"/>
      <c r="AE153" s="382"/>
      <c r="AF153" s="394"/>
    </row>
    <row r="154" spans="1:32" s="402" customFormat="1" x14ac:dyDescent="0.2">
      <c r="A154" s="436"/>
      <c r="B154" s="434"/>
      <c r="C154" s="440"/>
      <c r="D154" s="556"/>
      <c r="E154" s="485"/>
      <c r="F154" s="561"/>
      <c r="G154" s="546"/>
      <c r="I154" s="451"/>
      <c r="J154" s="450"/>
      <c r="K154" s="434"/>
      <c r="L154" s="434"/>
      <c r="M154" s="444"/>
      <c r="N154" s="444"/>
      <c r="O154" s="434"/>
      <c r="R154" s="434"/>
      <c r="S154" s="434"/>
      <c r="T154" s="434"/>
      <c r="U154" s="434"/>
      <c r="V154" s="434"/>
      <c r="W154" s="434"/>
      <c r="X154" s="434"/>
      <c r="Y154" s="391"/>
      <c r="Z154" s="370"/>
      <c r="AA154" s="452"/>
      <c r="AB154" s="370"/>
      <c r="AC154" s="465"/>
      <c r="AD154" s="382"/>
      <c r="AE154" s="382"/>
      <c r="AF154" s="367"/>
    </row>
    <row r="155" spans="1:32" s="402" customFormat="1" x14ac:dyDescent="0.2">
      <c r="A155" s="434"/>
      <c r="B155" s="434"/>
      <c r="C155" s="440"/>
      <c r="D155" s="556"/>
      <c r="E155" s="485"/>
      <c r="F155" s="561"/>
      <c r="G155" s="546"/>
      <c r="I155" s="451"/>
      <c r="J155" s="450"/>
      <c r="K155" s="434"/>
      <c r="L155" s="434"/>
      <c r="M155" s="444"/>
      <c r="N155" s="444"/>
      <c r="O155" s="434"/>
      <c r="R155" s="434"/>
      <c r="S155" s="434"/>
      <c r="T155" s="434"/>
      <c r="U155" s="434"/>
      <c r="V155" s="434"/>
      <c r="W155" s="434"/>
      <c r="X155" s="434"/>
      <c r="Y155" s="391"/>
      <c r="Z155" s="370"/>
      <c r="AA155" s="452"/>
      <c r="AB155" s="370"/>
      <c r="AC155" s="465"/>
      <c r="AD155" s="370"/>
      <c r="AE155" s="370"/>
      <c r="AF155" s="367"/>
    </row>
    <row r="156" spans="1:32" s="402" customFormat="1" x14ac:dyDescent="0.2">
      <c r="A156" s="436"/>
      <c r="B156" s="434"/>
      <c r="C156" s="440"/>
      <c r="D156" s="556"/>
      <c r="E156" s="485"/>
      <c r="F156" s="561"/>
      <c r="G156" s="546"/>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67"/>
    </row>
    <row r="157" spans="1:32" s="402" customFormat="1" x14ac:dyDescent="0.2">
      <c r="A157" s="436"/>
      <c r="B157" s="434"/>
      <c r="C157" s="440"/>
      <c r="D157" s="556"/>
      <c r="E157" s="527"/>
      <c r="F157" s="561"/>
      <c r="G157" s="546"/>
      <c r="I157" s="451"/>
      <c r="J157" s="450"/>
      <c r="K157" s="434"/>
      <c r="L157" s="434"/>
      <c r="M157" s="444"/>
      <c r="N157" s="444"/>
      <c r="O157" s="434"/>
      <c r="R157" s="434"/>
      <c r="S157" s="434"/>
      <c r="T157" s="434"/>
      <c r="U157" s="434"/>
      <c r="V157" s="434"/>
      <c r="W157" s="434"/>
      <c r="X157" s="434"/>
      <c r="Y157" s="391"/>
      <c r="Z157" s="370"/>
      <c r="AA157" s="452"/>
      <c r="AB157" s="370"/>
      <c r="AC157" s="465"/>
      <c r="AD157" s="383"/>
      <c r="AE157" s="383"/>
      <c r="AF157" s="374"/>
    </row>
    <row r="158" spans="1:32" s="402" customFormat="1" x14ac:dyDescent="0.2">
      <c r="A158" s="370"/>
      <c r="B158" s="434"/>
      <c r="C158" s="440"/>
      <c r="D158" s="556"/>
      <c r="E158" s="481"/>
      <c r="F158" s="561"/>
      <c r="G158" s="546"/>
      <c r="H158" s="441"/>
      <c r="I158" s="451"/>
      <c r="J158" s="450"/>
      <c r="K158" s="434"/>
      <c r="L158" s="434"/>
      <c r="M158" s="444"/>
      <c r="N158" s="444"/>
      <c r="O158" s="434"/>
      <c r="R158" s="434"/>
      <c r="S158" s="434"/>
      <c r="T158" s="434"/>
      <c r="U158" s="434"/>
      <c r="V158" s="434"/>
      <c r="W158" s="434"/>
      <c r="X158" s="434"/>
      <c r="Y158" s="370"/>
      <c r="Z158" s="370"/>
      <c r="AA158" s="370"/>
      <c r="AB158" s="370"/>
      <c r="AC158" s="465"/>
      <c r="AD158" s="384"/>
      <c r="AE158" s="384"/>
      <c r="AF158" s="374"/>
    </row>
    <row r="159" spans="1:32" s="402" customFormat="1" x14ac:dyDescent="0.2">
      <c r="A159" s="370"/>
      <c r="B159" s="370"/>
      <c r="C159" s="370"/>
      <c r="D159" s="552"/>
      <c r="E159" s="484"/>
      <c r="F159" s="370"/>
      <c r="G159" s="370"/>
      <c r="H159" s="393"/>
      <c r="I159" s="370"/>
      <c r="J159" s="370"/>
      <c r="K159" s="370"/>
      <c r="L159" s="370"/>
      <c r="M159" s="385"/>
      <c r="N159" s="385"/>
      <c r="O159" s="370"/>
      <c r="R159" s="370"/>
      <c r="S159" s="370"/>
      <c r="T159" s="370"/>
      <c r="U159" s="370"/>
      <c r="V159" s="370"/>
      <c r="W159" s="370"/>
      <c r="X159" s="370"/>
      <c r="Y159" s="370"/>
      <c r="Z159" s="370"/>
      <c r="AA159" s="370"/>
      <c r="AB159" s="370"/>
      <c r="AC159" s="465"/>
      <c r="AD159" s="384"/>
      <c r="AE159" s="384"/>
      <c r="AF159" s="374"/>
    </row>
    <row r="160" spans="1:32" s="402" customFormat="1" x14ac:dyDescent="0.2">
      <c r="A160" s="370"/>
      <c r="B160" s="370"/>
      <c r="C160" s="370"/>
      <c r="D160" s="370"/>
      <c r="E160" s="370"/>
      <c r="F160" s="370"/>
      <c r="G160" s="370"/>
      <c r="H160" s="370"/>
      <c r="I160" s="370"/>
      <c r="J160" s="370"/>
      <c r="K160" s="370"/>
      <c r="L160" s="370"/>
      <c r="M160" s="385"/>
      <c r="N160" s="385"/>
      <c r="O160" s="370"/>
      <c r="R160" s="370"/>
      <c r="S160" s="370"/>
      <c r="T160" s="370"/>
      <c r="U160" s="370"/>
      <c r="V160" s="370"/>
      <c r="W160" s="370"/>
      <c r="X160" s="370"/>
      <c r="Y160" s="370"/>
      <c r="Z160" s="370"/>
      <c r="AA160" s="370"/>
      <c r="AB160" s="370"/>
      <c r="AC160" s="465"/>
      <c r="AD160" s="384"/>
      <c r="AE160" s="384"/>
      <c r="AF160" s="379"/>
    </row>
    <row r="161" spans="1:32" s="402" customFormat="1" x14ac:dyDescent="0.2">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65"/>
      <c r="AD161" s="384"/>
      <c r="AE161" s="384"/>
      <c r="AF161" s="381"/>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65"/>
      <c r="AD162" s="384"/>
      <c r="AE162" s="384"/>
      <c r="AF162" s="370"/>
    </row>
    <row r="163" spans="1:32" s="402" customFormat="1" x14ac:dyDescent="0.2">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82"/>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4"/>
      <c r="AE164" s="384"/>
      <c r="AF164" s="382"/>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7"/>
      <c r="AE165" s="387"/>
      <c r="AF165" s="370"/>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88"/>
      <c r="AF166" s="383"/>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88"/>
      <c r="AF167" s="384"/>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88"/>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88"/>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91"/>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91"/>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91"/>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91"/>
      <c r="AF173" s="384"/>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8"/>
      <c r="AE174" s="391"/>
      <c r="AF174" s="386"/>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91"/>
      <c r="AE175" s="391"/>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91"/>
      <c r="AE176" s="391"/>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91"/>
      <c r="AE178" s="391"/>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9"/>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4"/>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89"/>
      <c r="AF181" s="386"/>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92"/>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90"/>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89"/>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2"/>
      <c r="AF187" s="388"/>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91"/>
      <c r="AE189" s="389"/>
      <c r="AF189" s="388"/>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91"/>
      <c r="AE190" s="389"/>
      <c r="AF190" s="388"/>
    </row>
    <row r="191" spans="1:32" s="402" customFormat="1" ht="12.75" customHeigh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91"/>
      <c r="AE191" s="389"/>
      <c r="AF191" s="391"/>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3"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403"/>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403"/>
      <c r="AH250" s="40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403"/>
      <c r="AH251" s="398"/>
    </row>
    <row r="252" spans="1:34" s="356" customFormat="1" ht="14.2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403"/>
      <c r="AH252" s="397"/>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H253" s="397"/>
    </row>
    <row r="254" spans="1:34" s="404" customFormat="1" ht="12"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56"/>
      <c r="AH254" s="398"/>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H255" s="398"/>
    </row>
    <row r="256" spans="1:34" s="356" customFormat="1" ht="17.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H256" s="398"/>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88"/>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97"/>
      <c r="AH258" s="369"/>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97"/>
      <c r="AH259" s="369"/>
    </row>
    <row r="260" spans="1:34" s="356" customFormat="1" ht="13.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95"/>
      <c r="AH260" s="37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68"/>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68"/>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68"/>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5"/>
      <c r="AH264" s="377"/>
    </row>
    <row r="265" spans="1:34" s="356" customFormat="1" ht="15.7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5"/>
      <c r="AH265" s="381"/>
    </row>
    <row r="266" spans="1:34" s="356" customFormat="1" ht="15.7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75"/>
      <c r="AH266" s="370"/>
    </row>
    <row r="267" spans="1:34" s="356" customFormat="1" ht="12.7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0"/>
      <c r="AH267" s="382"/>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1"/>
      <c r="AH268" s="382"/>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0"/>
      <c r="AH269" s="370"/>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2"/>
      <c r="AH270" s="383"/>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2"/>
      <c r="AH271" s="384"/>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70"/>
      <c r="AH272" s="384"/>
    </row>
    <row r="273" spans="1:34" s="356" customFormat="1" ht="14.25" customHeigh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3"/>
      <c r="AH273" s="384"/>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c r="AH274" s="384"/>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c r="AH275" s="384"/>
    </row>
    <row r="276" spans="1:34" s="37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c r="AH276" s="384"/>
    </row>
    <row r="277" spans="1:34" s="376" customFormat="1" ht="12"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4"/>
    </row>
    <row r="278" spans="1:34" s="37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row>
    <row r="279" spans="1:34" s="377" customFormat="1" ht="11.25" customHeigh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row>
    <row r="280" spans="1:34" s="381"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row>
    <row r="281" spans="1:34" x14ac:dyDescent="0.2">
      <c r="AG281" s="386"/>
    </row>
    <row r="282" spans="1:34" s="382"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8"/>
    </row>
    <row r="283" spans="1:34" s="382"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8"/>
    </row>
    <row r="284" spans="1:34" x14ac:dyDescent="0.2">
      <c r="AG284" s="388"/>
    </row>
    <row r="285" spans="1:34" x14ac:dyDescent="0.2">
      <c r="AG285" s="388"/>
    </row>
    <row r="286" spans="1:34" s="385" customFormat="1" x14ac:dyDescent="0.2">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90"/>
    </row>
    <row r="287" spans="1:34"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76"/>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76"/>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77"/>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81"/>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0"/>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82"/>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82"/>
    </row>
    <row r="295" spans="1:33" s="383"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4"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7"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70"/>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3"/>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91" customForma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7"/>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33:33" x14ac:dyDescent="0.2">
      <c r="AG321" s="388"/>
    </row>
    <row r="322" spans="33:33" x14ac:dyDescent="0.2">
      <c r="AG322" s="388"/>
    </row>
    <row r="323" spans="33:33" x14ac:dyDescent="0.2">
      <c r="AG323" s="391"/>
    </row>
    <row r="324" spans="33:33" x14ac:dyDescent="0.2">
      <c r="AG324" s="391"/>
    </row>
    <row r="325" spans="33:33" x14ac:dyDescent="0.2">
      <c r="AG325" s="391"/>
    </row>
    <row r="326" spans="33:33" x14ac:dyDescent="0.2">
      <c r="AG326" s="391"/>
    </row>
    <row r="327" spans="33:33" x14ac:dyDescent="0.2">
      <c r="AG327" s="391"/>
    </row>
    <row r="328" spans="33:33" x14ac:dyDescent="0.2">
      <c r="AG328" s="391"/>
    </row>
    <row r="329" spans="33:33" x14ac:dyDescent="0.2">
      <c r="AG329" s="391"/>
    </row>
    <row r="330" spans="33:33" x14ac:dyDescent="0.2">
      <c r="AG330"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24" activePane="bottomLeft" state="frozen"/>
      <selection activeCell="O4" sqref="O4:AC4"/>
      <selection pane="bottomLeft" activeCell="O53" sqref="O53"/>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37285</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4"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3" t="s">
        <v>294</v>
      </c>
      <c r="B4" s="518">
        <v>609</v>
      </c>
      <c r="C4" s="518">
        <v>588</v>
      </c>
      <c r="D4" s="518">
        <v>564</v>
      </c>
      <c r="E4" s="518">
        <v>575</v>
      </c>
      <c r="F4" s="518">
        <v>589</v>
      </c>
      <c r="G4" s="518">
        <v>635</v>
      </c>
      <c r="H4" s="518">
        <v>717</v>
      </c>
      <c r="I4" s="518">
        <v>789</v>
      </c>
      <c r="J4" s="518">
        <v>790</v>
      </c>
      <c r="K4" s="518">
        <v>797</v>
      </c>
      <c r="L4" s="518">
        <v>833</v>
      </c>
      <c r="M4" s="518">
        <v>822</v>
      </c>
      <c r="N4" s="518">
        <v>830</v>
      </c>
      <c r="O4" s="518">
        <v>816</v>
      </c>
      <c r="P4" s="518">
        <v>809</v>
      </c>
      <c r="Q4" s="518">
        <v>783</v>
      </c>
      <c r="R4" s="518">
        <v>796</v>
      </c>
      <c r="S4" s="518">
        <v>835</v>
      </c>
      <c r="T4" s="518">
        <v>892</v>
      </c>
      <c r="U4" s="518">
        <v>878</v>
      </c>
      <c r="V4" s="518">
        <v>875</v>
      </c>
      <c r="W4" s="518">
        <v>789</v>
      </c>
      <c r="X4" s="519">
        <v>731</v>
      </c>
      <c r="Y4" s="519">
        <v>669</v>
      </c>
      <c r="Z4" s="354"/>
      <c r="AA4" s="354"/>
      <c r="AB4" s="354"/>
      <c r="AC4" s="354"/>
      <c r="AD4" s="354"/>
    </row>
    <row r="5" spans="1:213" s="161" customFormat="1" thickBot="1" x14ac:dyDescent="0.25">
      <c r="A5" s="705" t="s">
        <v>64</v>
      </c>
      <c r="B5" s="706">
        <f>Deals!F4</f>
        <v>50</v>
      </c>
      <c r="C5" s="706">
        <f>Deals!G4</f>
        <v>50</v>
      </c>
      <c r="D5" s="706">
        <f>Deals!H4</f>
        <v>50</v>
      </c>
      <c r="E5" s="706">
        <f>Deals!I4</f>
        <v>50</v>
      </c>
      <c r="F5" s="706">
        <f>Deals!J4</f>
        <v>50</v>
      </c>
      <c r="G5" s="706">
        <f>Deals!K4</f>
        <v>55</v>
      </c>
      <c r="H5" s="706">
        <f>Deals!L4</f>
        <v>65</v>
      </c>
      <c r="I5" s="706">
        <f>Deals!M4</f>
        <v>75</v>
      </c>
      <c r="J5" s="706">
        <f>Deals!N4</f>
        <v>75</v>
      </c>
      <c r="K5" s="706">
        <f>Deals!O4</f>
        <v>75</v>
      </c>
      <c r="L5" s="706">
        <f>Deals!P4</f>
        <v>75</v>
      </c>
      <c r="M5" s="706">
        <f>Deals!Q4</f>
        <v>75</v>
      </c>
      <c r="N5" s="706">
        <f>Deals!R4</f>
        <v>75</v>
      </c>
      <c r="O5" s="706">
        <f>Deals!S4</f>
        <v>75</v>
      </c>
      <c r="P5" s="706">
        <f>Deals!T4</f>
        <v>75</v>
      </c>
      <c r="Q5" s="706">
        <f>Deals!U4</f>
        <v>75</v>
      </c>
      <c r="R5" s="706">
        <f>Deals!V4</f>
        <v>70</v>
      </c>
      <c r="S5" s="706">
        <f>Deals!W4</f>
        <v>75</v>
      </c>
      <c r="T5" s="706">
        <f>Deals!X4</f>
        <v>75</v>
      </c>
      <c r="U5" s="706">
        <f>Deals!Y4</f>
        <v>75</v>
      </c>
      <c r="V5" s="706">
        <f>Deals!Z4</f>
        <v>75</v>
      </c>
      <c r="W5" s="706">
        <f>Deals!AA4</f>
        <v>75</v>
      </c>
      <c r="X5" s="706">
        <f>Deals!AB4</f>
        <v>70</v>
      </c>
      <c r="Y5" s="707">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-50</v>
      </c>
      <c r="L8" s="496">
        <f t="array" aca="1" ref="L8" ca="1">SUM(IF((DelPoint= "4C")*(DType = "pre")*(OFFSET(DelPoint,0,L3+2)&lt;0),OFFSET(DelPoint,0,L3+2),0))</f>
        <v>-50</v>
      </c>
      <c r="M8" s="496">
        <f t="array" aca="1" ref="M8" ca="1">SUM(IF((DelPoint= "4C")*(DType = "pre")*(OFFSET(DelPoint,0,M3+2)&lt;0),OFFSET(DelPoint,0,M3+2),0))</f>
        <v>-50</v>
      </c>
      <c r="N8" s="496">
        <f t="array" aca="1" ref="N8" ca="1">SUM(IF((DelPoint= "4C")*(DType = "pre")*(OFFSET(DelPoint,0,N3+2)&lt;0),OFFSET(DelPoint,0,N3+2),0))</f>
        <v>-50</v>
      </c>
      <c r="O8" s="496">
        <f t="array" aca="1" ref="O8" ca="1">SUM(IF((DelPoint= "4C")*(DType = "pre")*(OFFSET(DelPoint,0,O3+2)&lt;0),OFFSET(DelPoint,0,O3+2),0))</f>
        <v>-50</v>
      </c>
      <c r="P8" s="496">
        <f t="array" aca="1" ref="P8" ca="1">SUM(IF((DelPoint= "4C")*(DType = "pre")*(OFFSET(DelPoint,0,P3+2)&lt;0),OFFSET(DelPoint,0,P3+2),0))</f>
        <v>-50</v>
      </c>
      <c r="Q8" s="496">
        <f t="array" aca="1" ref="Q8" ca="1">SUM(IF((DelPoint= "4C")*(DType = "pre")*(OFFSET(DelPoint,0,Q3+2)&lt;0),OFFSET(DelPoint,0,Q3+2),0))</f>
        <v>-50</v>
      </c>
      <c r="R8" s="496">
        <f t="array" aca="1" ref="R8" ca="1">SUM(IF((DelPoint= "4C")*(DType = "pre")*(OFFSET(DelPoint,0,R3+2)&lt;0),OFFSET(DelPoint,0,R3+2),0))</f>
        <v>-50</v>
      </c>
      <c r="S8" s="496">
        <f t="array" aca="1" ref="S8" ca="1">SUM(IF((DelPoint= "4C")*(DType = "pre")*(OFFSET(DelPoint,0,S3+2)&lt;0),OFFSET(DelPoint,0,S3+2),0))</f>
        <v>-50</v>
      </c>
      <c r="T8" s="496">
        <f t="array" aca="1" ref="T8" ca="1">SUM(IF((DelPoint= "4C")*(DType = "pre")*(OFFSET(DelPoint,0,T3+2)&lt;0),OFFSET(DelPoint,0,T3+2),0))</f>
        <v>-50</v>
      </c>
      <c r="U8" s="496">
        <f t="array" aca="1" ref="U8" ca="1">SUM(IF((DelPoint= "4C")*(DType = "pre")*(OFFSET(DelPoint,0,U3+2)&lt;0),OFFSET(DelPoint,0,U3+2),0))</f>
        <v>-50</v>
      </c>
      <c r="V8" s="496">
        <f t="array" aca="1" ref="V8" ca="1">SUM(IF((DelPoint= "4C")*(DType = "pre")*(OFFSET(DelPoint,0,V3+2)&lt;0),OFFSET(DelPoint,0,V3+2),0))</f>
        <v>-50</v>
      </c>
      <c r="W8" s="496">
        <f t="array" aca="1" ref="W8" ca="1">SUM(IF((DelPoint= "4C")*(DType = "pre")*(OFFSET(DelPoint,0,W3+2)&lt;0),OFFSET(DelPoint,0,W3+2),0))</f>
        <v>-50</v>
      </c>
      <c r="X8" s="496">
        <f t="array" aca="1" ref="X8" ca="1">SUM(IF((DelPoint= "4C")*(DType = "pre")*(OFFSET(DelPoint,0,X3+2)&lt;0),OFFSET(DelPoint,0,X3+2),0))</f>
        <v>-50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-25</v>
      </c>
      <c r="L10" s="197">
        <f t="array" aca="1" ref="L10" ca="1">SUM(IF((DelPoint= "4C")*IF((DType = "firm")+(DType = "econ")&gt;0,1,0)*(OFFSET(DelPoint,0,L3+2)&lt;0),OFFSET(DelPoint,0,L3+2),0))</f>
        <v>-25</v>
      </c>
      <c r="M10" s="197">
        <f t="array" aca="1" ref="M10" ca="1">SUM(IF((DelPoint= "4C")*IF((DType = "firm")+(DType = "econ")&gt;0,1,0)*(OFFSET(DelPoint,0,M3+2)&lt;0),OFFSET(DelPoint,0,M3+2),0))</f>
        <v>-25</v>
      </c>
      <c r="N10" s="197">
        <f t="array" aca="1" ref="N10" ca="1">SUM(IF((DelPoint= "4C")*IF((DType = "firm")+(DType = "econ")&gt;0,1,0)*(OFFSET(DelPoint,0,N3+2)&lt;0),OFFSET(DelPoint,0,N3+2),0))</f>
        <v>-25</v>
      </c>
      <c r="O10" s="197">
        <f t="array" aca="1" ref="O10" ca="1">SUM(IF((DelPoint= "4C")*IF((DType = "firm")+(DType = "econ")&gt;0,1,0)*(OFFSET(DelPoint,0,O3+2)&lt;0),OFFSET(DelPoint,0,O3+2),0))</f>
        <v>-25</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-125</v>
      </c>
      <c r="J11" s="198">
        <f t="array" aca="1" ref="J11" ca="1">SUM(IF((DelPoint= "PV")*(DType = "pre")*(OFFSET(DelPoint,0,J3+2)&lt;0),OFFSET(DelPoint,0,J3+2),0))</f>
        <v>-125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-25</v>
      </c>
      <c r="L14" s="199">
        <f t="array" aca="1" ref="L14" ca="1">SUM(IF((DelPoint= "PV")*IF((DType = "firm")+(DType = "econ")&gt;0,1,0)*(OFFSET(DelPoint,0,L3+2)&lt;0),OFFSET(DelPoint,0,L3+2),0))</f>
        <v>-50</v>
      </c>
      <c r="M14" s="199">
        <f t="array" aca="1" ref="M14" ca="1">SUM(IF((DelPoint= "PV")*IF((DType = "firm")+(DType = "econ")&gt;0,1,0)*(OFFSET(DelPoint,0,M3+2)&lt;0),OFFSET(DelPoint,0,M3+2),0))</f>
        <v>-50</v>
      </c>
      <c r="N14" s="199">
        <f t="array" aca="1" ref="N14" ca="1">SUM(IF((DelPoint= "PV")*IF((DType = "firm")+(DType = "econ")&gt;0,1,0)*(OFFSET(DelPoint,0,N3+2)&lt;0),OFFSET(DelPoint,0,N3+2),0))</f>
        <v>-50</v>
      </c>
      <c r="O14" s="199">
        <f t="array" aca="1" ref="O14" ca="1">SUM(IF((DelPoint= "PV")*IF((DType = "firm")+(DType = "econ")&gt;0,1,0)*(OFFSET(DelPoint,0,O3+2)&lt;0),OFFSET(DelPoint,0,O3+2),0))</f>
        <v>-50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-50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-50</v>
      </c>
      <c r="C18" s="483">
        <f>Deals!G7</f>
        <v>0</v>
      </c>
      <c r="D18" s="483">
        <f>Deals!H7</f>
        <v>0</v>
      </c>
      <c r="E18" s="483">
        <f>Deals!I7</f>
        <v>0</v>
      </c>
      <c r="F18" s="483">
        <f>Deals!J7</f>
        <v>0</v>
      </c>
      <c r="G18" s="483">
        <f>Deals!K7</f>
        <v>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84</v>
      </c>
      <c r="C22" s="418">
        <f>Deals!G3</f>
        <v>75</v>
      </c>
      <c r="D22" s="418">
        <f>Deals!H3</f>
        <v>75</v>
      </c>
      <c r="E22" s="418">
        <f>Deals!I3</f>
        <v>75</v>
      </c>
      <c r="F22" s="418">
        <f>Deals!J3</f>
        <v>75</v>
      </c>
      <c r="G22" s="418">
        <f>Deals!K3</f>
        <v>75</v>
      </c>
      <c r="H22" s="418">
        <f>Deals!L3</f>
        <v>84</v>
      </c>
      <c r="I22" s="418">
        <f>Deals!M3</f>
        <v>108</v>
      </c>
      <c r="J22" s="418">
        <f>Deals!N3</f>
        <v>108</v>
      </c>
      <c r="K22" s="418">
        <f>Deals!O3</f>
        <v>108</v>
      </c>
      <c r="L22" s="418">
        <f>Deals!P3</f>
        <v>108</v>
      </c>
      <c r="M22" s="418">
        <f>Deals!Q3</f>
        <v>108</v>
      </c>
      <c r="N22" s="418">
        <f>Deals!R3</f>
        <v>108</v>
      </c>
      <c r="O22" s="418">
        <f>Deals!S3</f>
        <v>108</v>
      </c>
      <c r="P22" s="418">
        <f>Deals!T3</f>
        <v>108</v>
      </c>
      <c r="Q22" s="418">
        <f>Deals!U3</f>
        <v>108</v>
      </c>
      <c r="R22" s="418">
        <f>Deals!V3</f>
        <v>108</v>
      </c>
      <c r="S22" s="418">
        <f>Deals!W3</f>
        <v>108</v>
      </c>
      <c r="T22" s="418">
        <f>Deals!X3</f>
        <v>108</v>
      </c>
      <c r="U22" s="418">
        <f>Deals!Y3</f>
        <v>108</v>
      </c>
      <c r="V22" s="418">
        <f>Deals!Z3</f>
        <v>108</v>
      </c>
      <c r="W22" s="418">
        <f>Deals!AA3</f>
        <v>108</v>
      </c>
      <c r="X22" s="418">
        <f>Deals!AB3</f>
        <v>108</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50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100</v>
      </c>
      <c r="J29" s="637">
        <f t="array" aca="1" ref="J29" ca="1">SUM(IF((DelPoint= "pv")*(DType = "pre")*(OFFSET(DelPoint,0,J3+2)&gt;0),OFFSET(DelPoint,0,J3+2),0))</f>
        <v>100</v>
      </c>
      <c r="K29" s="637">
        <f t="array" aca="1" ref="K29" ca="1">SUM(IF((DelPoint= "pv")*(DType = "pre")*(OFFSET(DelPoint,0,K3+2)&gt;0),OFFSET(DelPoint,0,K3+2),0))</f>
        <v>100</v>
      </c>
      <c r="L29" s="637">
        <f t="array" aca="1" ref="L29" ca="1">SUM(IF((DelPoint= "pv")*(DType = "pre")*(OFFSET(DelPoint,0,L3+2)&gt;0),OFFSET(DelPoint,0,L3+2),0))</f>
        <v>100</v>
      </c>
      <c r="M29" s="637">
        <f t="array" aca="1" ref="M29" ca="1">SUM(IF((DelPoint= "pv")*(DType = "pre")*(OFFSET(DelPoint,0,M3+2)&gt;0),OFFSET(DelPoint,0,M3+2),0))</f>
        <v>100</v>
      </c>
      <c r="N29" s="637">
        <f t="array" aca="1" ref="N29" ca="1">SUM(IF((DelPoint= "pv")*(DType = "pre")*(OFFSET(DelPoint,0,N3+2)&gt;0),OFFSET(DelPoint,0,N3+2),0))</f>
        <v>100</v>
      </c>
      <c r="O29" s="637">
        <f t="array" aca="1" ref="O29" ca="1">SUM(IF((DelPoint= "pv")*(DType = "pre")*(OFFSET(DelPoint,0,O3+2)&gt;0),OFFSET(DelPoint,0,O3+2),0))</f>
        <v>100</v>
      </c>
      <c r="P29" s="637">
        <f t="array" aca="1" ref="P29" ca="1">SUM(IF((DelPoint= "pv")*(DType = "pre")*(OFFSET(DelPoint,0,P3+2)&gt;0),OFFSET(DelPoint,0,P3+2),0))</f>
        <v>100</v>
      </c>
      <c r="Q29" s="637">
        <f t="array" aca="1" ref="Q29" ca="1">SUM(IF((DelPoint= "pv")*(DType = "pre")*(OFFSET(DelPoint,0,Q3+2)&gt;0),OFFSET(DelPoint,0,Q3+2),0))</f>
        <v>100</v>
      </c>
      <c r="R29" s="637">
        <f t="array" aca="1" ref="R29" ca="1">SUM(IF((DelPoint= "pv")*(DType = "pre")*(OFFSET(DelPoint,0,R3+2)&gt;0),OFFSET(DelPoint,0,R3+2),0))</f>
        <v>100</v>
      </c>
      <c r="S29" s="637">
        <f t="array" aca="1" ref="S29" ca="1">SUM(IF((DelPoint= "pv")*(DType = "pre")*(OFFSET(DelPoint,0,S3+2)&gt;0),OFFSET(DelPoint,0,S3+2),0))</f>
        <v>100</v>
      </c>
      <c r="T29" s="637">
        <f t="array" aca="1" ref="T29" ca="1">SUM(IF((DelPoint= "pv")*(DType = "pre")*(OFFSET(DelPoint,0,T3+2)&gt;0),OFFSET(DelPoint,0,T3+2),0))</f>
        <v>100</v>
      </c>
      <c r="U29" s="637">
        <f t="array" aca="1" ref="U29" ca="1">SUM(IF((DelPoint= "pv")*(DType = "pre")*(OFFSET(DelPoint,0,U3+2)&gt;0),OFFSET(DelPoint,0,U3+2),0))</f>
        <v>100</v>
      </c>
      <c r="V29" s="637">
        <f t="array" aca="1" ref="V29" ca="1">SUM(IF((DelPoint= "pv")*(DType = "pre")*(OFFSET(DelPoint,0,V3+2)&gt;0),OFFSET(DelPoint,0,V3+2),0))</f>
        <v>100</v>
      </c>
      <c r="W29" s="637">
        <f t="array" aca="1" ref="W29" ca="1">SUM(IF((DelPoint= "pv")*(DType = "pre")*(OFFSET(DelPoint,0,W3+2)&gt;0),OFFSET(DelPoint,0,W3+2),0))</f>
        <v>100</v>
      </c>
      <c r="X29" s="637">
        <f t="array" aca="1" ref="X29" ca="1">SUM(IF((DelPoint= "pv")*(DType = "pre")*(OFFSET(DelPoint,0,X3+2)&gt;0),OFFSET(DelPoint,0,X3+2),0))</f>
        <v>100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6</v>
      </c>
      <c r="K32" s="582">
        <f t="array" aca="1" ref="K32" ca="1">SUM(IF((DelPoint= "PV")*IF((DType = "firm")+(DType = "econ")&gt;0,1,0)*(OFFSET(DelPoint,0,K3+2)&gt;0),OFFSET(DelPoint,0,K3+2),0))</f>
        <v>25</v>
      </c>
      <c r="L32" s="582">
        <f t="array" aca="1" ref="L32" ca="1">SUM(IF((DelPoint= "PV")*IF((DType = "firm")+(DType = "econ")&gt;0,1,0)*(OFFSET(DelPoint,0,L3+2)&gt;0),OFFSET(DelPoint,0,L3+2),0))</f>
        <v>28</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818</v>
      </c>
      <c r="C38" s="674">
        <f t="shared" ca="1" si="4"/>
        <v>738</v>
      </c>
      <c r="D38" s="674">
        <f t="shared" ca="1" si="4"/>
        <v>714</v>
      </c>
      <c r="E38" s="674">
        <f t="shared" ca="1" si="4"/>
        <v>725</v>
      </c>
      <c r="F38" s="674">
        <f t="shared" ca="1" si="4"/>
        <v>739</v>
      </c>
      <c r="G38" s="674">
        <f t="shared" ca="1" si="4"/>
        <v>790</v>
      </c>
      <c r="H38" s="674">
        <f t="shared" ca="1" si="4"/>
        <v>921</v>
      </c>
      <c r="I38" s="674">
        <f t="shared" ca="1" si="4"/>
        <v>1102</v>
      </c>
      <c r="J38" s="674">
        <f t="shared" ca="1" si="4"/>
        <v>1109</v>
      </c>
      <c r="K38" s="674">
        <f t="shared" ca="1" si="4"/>
        <v>1135</v>
      </c>
      <c r="L38" s="674">
        <f t="shared" ca="1" si="4"/>
        <v>1174</v>
      </c>
      <c r="M38" s="674">
        <f t="shared" ca="1" si="4"/>
        <v>1135</v>
      </c>
      <c r="N38" s="674">
        <f t="shared" ca="1" si="4"/>
        <v>1143</v>
      </c>
      <c r="O38" s="674">
        <f t="shared" ca="1" si="4"/>
        <v>1129</v>
      </c>
      <c r="P38" s="674">
        <f t="shared" ca="1" si="4"/>
        <v>1122</v>
      </c>
      <c r="Q38" s="674">
        <f t="shared" ca="1" si="4"/>
        <v>1096</v>
      </c>
      <c r="R38" s="674">
        <f t="shared" ca="1" si="4"/>
        <v>1104</v>
      </c>
      <c r="S38" s="674">
        <f t="shared" ca="1" si="4"/>
        <v>1148</v>
      </c>
      <c r="T38" s="674">
        <f t="shared" ca="1" si="4"/>
        <v>1205</v>
      </c>
      <c r="U38" s="674">
        <f t="shared" ca="1" si="4"/>
        <v>1191</v>
      </c>
      <c r="V38" s="674">
        <f t="shared" ca="1" si="4"/>
        <v>1188</v>
      </c>
      <c r="W38" s="674">
        <f t="shared" ca="1" si="4"/>
        <v>1102</v>
      </c>
      <c r="X38" s="674">
        <f t="shared" ca="1" si="4"/>
        <v>1039</v>
      </c>
      <c r="Y38" s="675">
        <f t="shared" ca="1" si="4"/>
        <v>838</v>
      </c>
      <c r="Z38" s="348"/>
      <c r="AA38" s="162"/>
    </row>
    <row r="39" spans="1:33" s="161" customFormat="1" ht="16.5"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ht="13.5" thickTop="1" thickBot="1" x14ac:dyDescent="0.25">
      <c r="A40" s="708"/>
      <c r="B40" s="709"/>
      <c r="C40" s="710"/>
      <c r="D40" s="710"/>
      <c r="E40" s="711"/>
      <c r="F40" s="710"/>
      <c r="G40" s="710"/>
      <c r="H40" s="710"/>
      <c r="I40" s="710"/>
      <c r="J40" s="710"/>
      <c r="K40" s="710"/>
      <c r="L40" s="710"/>
      <c r="M40" s="710"/>
      <c r="N40" s="710"/>
      <c r="O40" s="710"/>
      <c r="P40" s="710"/>
      <c r="Q40" s="710"/>
      <c r="R40" s="710"/>
      <c r="S40" s="710"/>
      <c r="T40" s="710"/>
      <c r="U40" s="710"/>
      <c r="V40" s="710"/>
      <c r="W40" s="710"/>
      <c r="X40" s="710"/>
      <c r="Y40" s="712"/>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35</v>
      </c>
      <c r="C42" s="592">
        <v>31</v>
      </c>
      <c r="D42" s="592">
        <v>31</v>
      </c>
      <c r="E42" s="593">
        <v>30</v>
      </c>
      <c r="F42" s="592">
        <v>30</v>
      </c>
      <c r="G42" s="592">
        <v>30</v>
      </c>
      <c r="H42" s="592">
        <v>42</v>
      </c>
      <c r="I42" s="592">
        <v>52</v>
      </c>
      <c r="J42" s="592">
        <v>34</v>
      </c>
      <c r="K42" s="592">
        <v>34</v>
      </c>
      <c r="L42" s="592">
        <v>37</v>
      </c>
      <c r="M42" s="592">
        <v>35</v>
      </c>
      <c r="N42" s="592">
        <v>38</v>
      </c>
      <c r="O42" s="592">
        <v>33</v>
      </c>
      <c r="P42" s="592">
        <v>34</v>
      </c>
      <c r="Q42" s="592">
        <v>34</v>
      </c>
      <c r="R42" s="592">
        <v>34</v>
      </c>
      <c r="S42" s="592">
        <v>38</v>
      </c>
      <c r="T42" s="592">
        <v>34</v>
      </c>
      <c r="U42" s="592">
        <v>34</v>
      </c>
      <c r="V42" s="592">
        <v>34</v>
      </c>
      <c r="W42" s="592">
        <v>34</v>
      </c>
      <c r="X42" s="592">
        <v>36</v>
      </c>
      <c r="Y42" s="592">
        <v>34</v>
      </c>
      <c r="Z42" s="350">
        <v>78</v>
      </c>
      <c r="AA42" s="210">
        <f ca="1">-Economics!D35/Economics!I35</f>
        <v>9105.4328762755104</v>
      </c>
    </row>
    <row r="43" spans="1:33" s="161" customFormat="1" ht="12.75" customHeight="1" x14ac:dyDescent="0.2">
      <c r="A43" s="591" t="s">
        <v>131</v>
      </c>
      <c r="B43" s="595">
        <v>38</v>
      </c>
      <c r="C43" s="595">
        <v>41</v>
      </c>
      <c r="D43" s="595">
        <v>39</v>
      </c>
      <c r="E43" s="596">
        <v>52</v>
      </c>
      <c r="F43" s="595">
        <v>62</v>
      </c>
      <c r="G43" s="595">
        <v>62</v>
      </c>
      <c r="H43" s="595">
        <v>74</v>
      </c>
      <c r="I43" s="595">
        <v>40</v>
      </c>
      <c r="J43" s="595">
        <v>65</v>
      </c>
      <c r="K43" s="595">
        <v>95</v>
      </c>
      <c r="L43" s="595">
        <v>98</v>
      </c>
      <c r="M43" s="595">
        <v>87</v>
      </c>
      <c r="N43" s="595">
        <v>87</v>
      </c>
      <c r="O43" s="595">
        <v>37</v>
      </c>
      <c r="P43" s="595">
        <v>38</v>
      </c>
      <c r="Q43" s="595">
        <v>38</v>
      </c>
      <c r="R43" s="595">
        <v>38</v>
      </c>
      <c r="S43" s="595">
        <v>38</v>
      </c>
      <c r="T43" s="595">
        <v>42</v>
      </c>
      <c r="U43" s="595">
        <v>42</v>
      </c>
      <c r="V43" s="595">
        <v>50</v>
      </c>
      <c r="W43" s="595">
        <v>39</v>
      </c>
      <c r="X43" s="595">
        <v>38</v>
      </c>
      <c r="Y43" s="595">
        <v>64</v>
      </c>
      <c r="Z43" s="352">
        <v>103</v>
      </c>
      <c r="AA43" s="211">
        <f ca="1">-Economics!D36/Economics!I36</f>
        <v>13605.621213329081</v>
      </c>
    </row>
    <row r="44" spans="1:33" s="161" customFormat="1" ht="12.75" customHeight="1" x14ac:dyDescent="0.2">
      <c r="A44" s="590" t="s">
        <v>49</v>
      </c>
      <c r="B44" s="592">
        <v>22</v>
      </c>
      <c r="C44" s="592">
        <v>20</v>
      </c>
      <c r="D44" s="592">
        <v>21</v>
      </c>
      <c r="E44" s="592">
        <v>21</v>
      </c>
      <c r="F44" s="592">
        <v>21</v>
      </c>
      <c r="G44" s="592">
        <v>21</v>
      </c>
      <c r="H44" s="592">
        <v>0</v>
      </c>
      <c r="I44" s="592">
        <v>0</v>
      </c>
      <c r="J44" s="592">
        <v>0</v>
      </c>
      <c r="K44" s="592">
        <v>51</v>
      </c>
      <c r="L44" s="592">
        <v>50</v>
      </c>
      <c r="M44" s="592">
        <v>50</v>
      </c>
      <c r="N44" s="592">
        <v>50</v>
      </c>
      <c r="O44" s="592">
        <v>0</v>
      </c>
      <c r="P44" s="592">
        <v>0</v>
      </c>
      <c r="Q44" s="592">
        <v>0</v>
      </c>
      <c r="R44" s="592">
        <v>0</v>
      </c>
      <c r="S44" s="592">
        <v>0</v>
      </c>
      <c r="T44" s="592">
        <v>0</v>
      </c>
      <c r="U44" s="592">
        <v>0</v>
      </c>
      <c r="V44" s="592">
        <v>0</v>
      </c>
      <c r="W44" s="592">
        <v>0</v>
      </c>
      <c r="X44" s="592">
        <v>0</v>
      </c>
      <c r="Y44" s="594">
        <v>21</v>
      </c>
      <c r="Z44" s="350">
        <v>40</v>
      </c>
      <c r="AA44" s="210">
        <f ca="1">-Economics!D37/Economics!I37</f>
        <v>5194.1839724170923</v>
      </c>
    </row>
    <row r="45" spans="1:33" s="161" customFormat="1" ht="12.75" customHeight="1" x14ac:dyDescent="0.2">
      <c r="A45" s="590" t="s">
        <v>50</v>
      </c>
      <c r="B45" s="592">
        <v>22</v>
      </c>
      <c r="C45" s="592">
        <v>21</v>
      </c>
      <c r="D45" s="592">
        <v>21</v>
      </c>
      <c r="E45" s="592">
        <v>21</v>
      </c>
      <c r="F45" s="592">
        <v>21</v>
      </c>
      <c r="G45" s="592">
        <v>21</v>
      </c>
      <c r="H45" s="592">
        <v>0</v>
      </c>
      <c r="I45" s="592">
        <v>0</v>
      </c>
      <c r="J45" s="592">
        <v>0</v>
      </c>
      <c r="K45" s="592">
        <v>49</v>
      </c>
      <c r="L45" s="592">
        <v>50</v>
      </c>
      <c r="M45" s="592">
        <v>49</v>
      </c>
      <c r="N45" s="592">
        <v>49</v>
      </c>
      <c r="O45" s="592">
        <v>0</v>
      </c>
      <c r="P45" s="592">
        <v>0</v>
      </c>
      <c r="Q45" s="592">
        <v>0</v>
      </c>
      <c r="R45" s="592">
        <v>0</v>
      </c>
      <c r="S45" s="592">
        <v>0</v>
      </c>
      <c r="T45" s="592">
        <v>0</v>
      </c>
      <c r="U45" s="592">
        <v>0</v>
      </c>
      <c r="V45" s="592">
        <v>0</v>
      </c>
      <c r="W45" s="592">
        <v>0</v>
      </c>
      <c r="X45" s="592">
        <v>0</v>
      </c>
      <c r="Y45" s="594">
        <v>20</v>
      </c>
      <c r="Z45" s="350">
        <v>40</v>
      </c>
      <c r="AA45" s="210">
        <f ca="1">-Economics!D38/Economics!I38</f>
        <v>5148.5899633290819</v>
      </c>
    </row>
    <row r="46" spans="1:33" s="161" customFormat="1" ht="12.75" customHeight="1" x14ac:dyDescent="0.2">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116</v>
      </c>
      <c r="I48" s="595">
        <v>146</v>
      </c>
      <c r="J48" s="595">
        <v>148</v>
      </c>
      <c r="K48" s="595">
        <v>0</v>
      </c>
      <c r="L48" s="595">
        <v>0</v>
      </c>
      <c r="M48" s="595">
        <v>0</v>
      </c>
      <c r="N48" s="595">
        <v>0</v>
      </c>
      <c r="O48" s="595">
        <v>147</v>
      </c>
      <c r="P48" s="595">
        <v>190</v>
      </c>
      <c r="Q48" s="595">
        <v>164</v>
      </c>
      <c r="R48" s="595">
        <v>179</v>
      </c>
      <c r="S48" s="595">
        <v>159</v>
      </c>
      <c r="T48" s="595">
        <v>216</v>
      </c>
      <c r="U48" s="595">
        <v>202</v>
      </c>
      <c r="V48" s="595">
        <v>187</v>
      </c>
      <c r="W48" s="595">
        <v>170</v>
      </c>
      <c r="X48" s="595">
        <v>105</v>
      </c>
      <c r="Y48" s="595">
        <v>0</v>
      </c>
      <c r="Z48" s="352">
        <v>212</v>
      </c>
      <c r="AA48" s="211">
        <f ca="1">-Economics!D41/Economics!I41</f>
        <v>0</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200</v>
      </c>
      <c r="C53" s="592">
        <v>201</v>
      </c>
      <c r="D53" s="592">
        <v>201</v>
      </c>
      <c r="E53" s="592">
        <v>201</v>
      </c>
      <c r="F53" s="592">
        <v>201</v>
      </c>
      <c r="G53" s="592">
        <v>201</v>
      </c>
      <c r="H53" s="592">
        <v>201</v>
      </c>
      <c r="I53" s="592">
        <v>201</v>
      </c>
      <c r="J53" s="592">
        <v>201</v>
      </c>
      <c r="K53" s="592">
        <v>201</v>
      </c>
      <c r="L53" s="592">
        <v>201</v>
      </c>
      <c r="M53" s="592">
        <v>201</v>
      </c>
      <c r="N53" s="592">
        <v>201</v>
      </c>
      <c r="O53" s="592">
        <v>201</v>
      </c>
      <c r="P53" s="592">
        <v>201</v>
      </c>
      <c r="Q53" s="592">
        <v>201</v>
      </c>
      <c r="R53" s="592">
        <v>200</v>
      </c>
      <c r="S53" s="592">
        <v>201</v>
      </c>
      <c r="T53" s="592">
        <v>201</v>
      </c>
      <c r="U53" s="592">
        <v>200</v>
      </c>
      <c r="V53" s="592">
        <v>201</v>
      </c>
      <c r="W53" s="592">
        <v>201</v>
      </c>
      <c r="X53" s="592">
        <v>201</v>
      </c>
      <c r="Y53" s="594">
        <v>201</v>
      </c>
      <c r="Z53" s="350">
        <v>198</v>
      </c>
      <c r="AA53" s="208"/>
    </row>
    <row r="54" spans="1:27" s="161" customFormat="1" ht="12.75" customHeight="1" x14ac:dyDescent="0.2">
      <c r="A54" s="590" t="s">
        <v>127</v>
      </c>
      <c r="B54" s="592">
        <v>200</v>
      </c>
      <c r="C54" s="592">
        <v>201</v>
      </c>
      <c r="D54" s="592">
        <v>201</v>
      </c>
      <c r="E54" s="592">
        <v>201</v>
      </c>
      <c r="F54" s="592">
        <v>201</v>
      </c>
      <c r="G54" s="592">
        <v>201</v>
      </c>
      <c r="H54" s="592">
        <v>201</v>
      </c>
      <c r="I54" s="592">
        <v>201</v>
      </c>
      <c r="J54" s="592">
        <v>201</v>
      </c>
      <c r="K54" s="592">
        <v>201</v>
      </c>
      <c r="L54" s="592">
        <v>201</v>
      </c>
      <c r="M54" s="592">
        <v>201</v>
      </c>
      <c r="N54" s="592">
        <v>201</v>
      </c>
      <c r="O54" s="592">
        <v>201</v>
      </c>
      <c r="P54" s="592">
        <v>201</v>
      </c>
      <c r="Q54" s="592">
        <v>201</v>
      </c>
      <c r="R54" s="592">
        <v>200</v>
      </c>
      <c r="S54" s="592">
        <v>201</v>
      </c>
      <c r="T54" s="592">
        <v>201</v>
      </c>
      <c r="U54" s="592">
        <v>200</v>
      </c>
      <c r="V54" s="592">
        <v>201</v>
      </c>
      <c r="W54" s="592">
        <v>201</v>
      </c>
      <c r="X54" s="592">
        <v>201</v>
      </c>
      <c r="Y54" s="592">
        <v>201</v>
      </c>
      <c r="Z54" s="350">
        <v>198</v>
      </c>
      <c r="AA54" s="208"/>
    </row>
    <row r="55" spans="1:27" s="161" customFormat="1" ht="12.75" customHeight="1" x14ac:dyDescent="0.2">
      <c r="A55" s="590" t="s">
        <v>128</v>
      </c>
      <c r="B55" s="592">
        <v>200</v>
      </c>
      <c r="C55" s="592">
        <v>201</v>
      </c>
      <c r="D55" s="592">
        <v>201</v>
      </c>
      <c r="E55" s="592">
        <v>201</v>
      </c>
      <c r="F55" s="592">
        <v>201</v>
      </c>
      <c r="G55" s="592">
        <v>201</v>
      </c>
      <c r="H55" s="592">
        <v>201</v>
      </c>
      <c r="I55" s="592">
        <v>201</v>
      </c>
      <c r="J55" s="592">
        <v>201</v>
      </c>
      <c r="K55" s="592">
        <v>201</v>
      </c>
      <c r="L55" s="592">
        <v>201</v>
      </c>
      <c r="M55" s="592">
        <v>201</v>
      </c>
      <c r="N55" s="592">
        <v>201</v>
      </c>
      <c r="O55" s="592">
        <v>201</v>
      </c>
      <c r="P55" s="592">
        <v>201</v>
      </c>
      <c r="Q55" s="592">
        <v>201</v>
      </c>
      <c r="R55" s="592">
        <v>200</v>
      </c>
      <c r="S55" s="592">
        <v>201</v>
      </c>
      <c r="T55" s="592">
        <v>201</v>
      </c>
      <c r="U55" s="592">
        <v>200</v>
      </c>
      <c r="V55" s="592">
        <v>201</v>
      </c>
      <c r="W55" s="592">
        <v>201</v>
      </c>
      <c r="X55" s="592">
        <v>201</v>
      </c>
      <c r="Y55" s="592">
        <v>201</v>
      </c>
      <c r="Z55" s="350">
        <v>198</v>
      </c>
      <c r="AA55" s="208"/>
    </row>
    <row r="56" spans="1:27" s="161" customFormat="1" ht="12" customHeight="1" x14ac:dyDescent="0.2">
      <c r="A56" s="590" t="s">
        <v>124</v>
      </c>
      <c r="B56" s="592">
        <v>52</v>
      </c>
      <c r="C56" s="592">
        <v>21</v>
      </c>
      <c r="D56" s="592">
        <v>2</v>
      </c>
      <c r="E56" s="592">
        <v>2</v>
      </c>
      <c r="F56" s="592">
        <v>2</v>
      </c>
      <c r="G56" s="592">
        <v>52</v>
      </c>
      <c r="H56" s="592">
        <v>52</v>
      </c>
      <c r="I56" s="592">
        <v>52</v>
      </c>
      <c r="J56" s="592">
        <v>52</v>
      </c>
      <c r="K56" s="592">
        <v>52</v>
      </c>
      <c r="L56" s="592">
        <v>52</v>
      </c>
      <c r="M56" s="592">
        <v>52</v>
      </c>
      <c r="N56" s="592">
        <v>52</v>
      </c>
      <c r="O56" s="592">
        <v>52</v>
      </c>
      <c r="P56" s="592">
        <v>52</v>
      </c>
      <c r="Q56" s="592">
        <v>52</v>
      </c>
      <c r="R56" s="592">
        <v>52</v>
      </c>
      <c r="S56" s="592">
        <v>52</v>
      </c>
      <c r="T56" s="592">
        <v>52</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5" t="s">
        <v>10</v>
      </c>
      <c r="B58" s="696">
        <f ca="1">B59-B38</f>
        <v>1</v>
      </c>
      <c r="C58" s="696">
        <f t="shared" ref="C58:I58" ca="1" si="5">C59-C38</f>
        <v>-1</v>
      </c>
      <c r="D58" s="696">
        <f t="shared" ca="1" si="5"/>
        <v>3</v>
      </c>
      <c r="E58" s="696">
        <f t="shared" ca="1" si="5"/>
        <v>4</v>
      </c>
      <c r="F58" s="696">
        <f t="shared" ca="1" si="5"/>
        <v>0</v>
      </c>
      <c r="G58" s="696">
        <f ca="1">G59-G38</f>
        <v>-1</v>
      </c>
      <c r="H58" s="696">
        <f t="shared" ca="1" si="5"/>
        <v>-4</v>
      </c>
      <c r="I58" s="696">
        <f t="shared" ca="1" si="5"/>
        <v>-4</v>
      </c>
      <c r="J58" s="696">
        <f t="shared" ref="J58:Y58" ca="1" si="6">J59-J38</f>
        <v>-2</v>
      </c>
      <c r="K58" s="696">
        <f t="shared" ca="1" si="6"/>
        <v>4</v>
      </c>
      <c r="L58" s="696">
        <f t="shared" ca="1" si="6"/>
        <v>-4</v>
      </c>
      <c r="M58" s="696">
        <f t="shared" ca="1" si="6"/>
        <v>21</v>
      </c>
      <c r="N58" s="696">
        <f t="shared" ca="1" si="6"/>
        <v>16</v>
      </c>
      <c r="O58" s="696">
        <f t="shared" ca="1" si="6"/>
        <v>23</v>
      </c>
      <c r="P58" s="696">
        <f t="shared" ca="1" si="6"/>
        <v>0</v>
      </c>
      <c r="Q58" s="696">
        <f t="shared" ca="1" si="6"/>
        <v>0</v>
      </c>
      <c r="R58" s="696">
        <f t="shared" ca="1" si="6"/>
        <v>4</v>
      </c>
      <c r="S58" s="696">
        <f t="shared" ca="1" si="6"/>
        <v>0</v>
      </c>
      <c r="T58" s="696">
        <f t="shared" ca="1" si="6"/>
        <v>0</v>
      </c>
      <c r="U58" s="696">
        <f t="shared" ca="1" si="6"/>
        <v>-3</v>
      </c>
      <c r="V58" s="696">
        <f t="shared" ca="1" si="6"/>
        <v>-4</v>
      </c>
      <c r="W58" s="696">
        <f t="shared" ca="1" si="6"/>
        <v>1</v>
      </c>
      <c r="X58" s="696">
        <f t="shared" ca="1" si="6"/>
        <v>0</v>
      </c>
      <c r="Y58" s="697">
        <f t="shared" ca="1" si="6"/>
        <v>6</v>
      </c>
      <c r="Z58" s="351">
        <f>SUM(Z41:Z55)+Z41+Z42+Z43+Z48+Z49+Z50+Z51+Z52</f>
        <v>2416</v>
      </c>
      <c r="AA58" s="209">
        <f ca="1">SUM(AA41:AA55)</f>
        <v>33053.828025350769</v>
      </c>
    </row>
    <row r="59" spans="1:27" s="161" customFormat="1" ht="12" x14ac:dyDescent="0.2">
      <c r="A59" s="548">
        <v>0</v>
      </c>
      <c r="B59" s="549">
        <f t="shared" ref="B59:I59" ca="1" si="7">SUM(B41:B57)-SUM(B7:B20)</f>
        <v>819</v>
      </c>
      <c r="C59" s="549">
        <f t="shared" ca="1" si="7"/>
        <v>737</v>
      </c>
      <c r="D59" s="549">
        <f t="shared" ca="1" si="7"/>
        <v>717</v>
      </c>
      <c r="E59" s="549">
        <f t="shared" ca="1" si="7"/>
        <v>729</v>
      </c>
      <c r="F59" s="549">
        <f t="shared" ca="1" si="7"/>
        <v>739</v>
      </c>
      <c r="G59" s="549">
        <f t="shared" ca="1" si="7"/>
        <v>789</v>
      </c>
      <c r="H59" s="549">
        <f t="shared" ca="1" si="7"/>
        <v>917</v>
      </c>
      <c r="I59" s="549">
        <f t="shared" ca="1" si="7"/>
        <v>1098</v>
      </c>
      <c r="J59" s="549">
        <f t="shared" ref="J59:Y59" ca="1" si="8">SUM(J41:J57)-SUM(J7:J20)</f>
        <v>1107</v>
      </c>
      <c r="K59" s="549">
        <f t="shared" ca="1" si="8"/>
        <v>1139</v>
      </c>
      <c r="L59" s="549">
        <f t="shared" ca="1" si="8"/>
        <v>1170</v>
      </c>
      <c r="M59" s="549">
        <f t="shared" ca="1" si="8"/>
        <v>1156</v>
      </c>
      <c r="N59" s="549">
        <f t="shared" ca="1" si="8"/>
        <v>1159</v>
      </c>
      <c r="O59" s="549">
        <f t="shared" ca="1" si="8"/>
        <v>1152</v>
      </c>
      <c r="P59" s="549">
        <f t="shared" ca="1" si="8"/>
        <v>1122</v>
      </c>
      <c r="Q59" s="549">
        <f t="shared" ca="1" si="8"/>
        <v>1096</v>
      </c>
      <c r="R59" s="549">
        <f t="shared" ca="1" si="8"/>
        <v>1108</v>
      </c>
      <c r="S59" s="549">
        <f t="shared" ca="1" si="8"/>
        <v>1148</v>
      </c>
      <c r="T59" s="549">
        <f t="shared" ca="1" si="8"/>
        <v>1205</v>
      </c>
      <c r="U59" s="549">
        <f ca="1">SUM(U41:U57)-SUM(U7:U20)</f>
        <v>1188</v>
      </c>
      <c r="V59" s="549">
        <f t="shared" ca="1" si="8"/>
        <v>1184</v>
      </c>
      <c r="W59" s="549">
        <f t="shared" ca="1" si="8"/>
        <v>1103</v>
      </c>
      <c r="X59" s="549">
        <f t="shared" ca="1" si="8"/>
        <v>1039</v>
      </c>
      <c r="Y59" s="549">
        <f t="shared" ca="1" si="8"/>
        <v>844</v>
      </c>
      <c r="Z59" s="213">
        <f ca="1">SUM(Economics!D28:D45)</f>
        <v>-166902.84788968749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0</v>
      </c>
      <c r="D61" s="169">
        <f t="shared" ca="1" si="9"/>
        <v>0</v>
      </c>
      <c r="E61" s="169">
        <f ca="1">IF(-SUM(E18:E20,E35:E37)&gt;134,"err",-SUM(E18:E20,))</f>
        <v>0</v>
      </c>
      <c r="F61" s="169">
        <f t="shared" ca="1" si="9"/>
        <v>0</v>
      </c>
      <c r="G61" s="169">
        <f t="shared" ca="1" si="9"/>
        <v>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466</v>
      </c>
      <c r="C62" s="169">
        <f t="shared" ca="1" si="10"/>
        <v>528</v>
      </c>
      <c r="D62" s="169">
        <f t="shared" ca="1" si="10"/>
        <v>528</v>
      </c>
      <c r="E62" s="169">
        <f t="shared" ca="1" si="10"/>
        <v>528</v>
      </c>
      <c r="F62" s="169">
        <f t="shared" ca="1" si="10"/>
        <v>528</v>
      </c>
      <c r="G62" s="169">
        <f t="shared" ca="1" si="10"/>
        <v>528</v>
      </c>
      <c r="H62" s="169">
        <f t="shared" ca="1" si="10"/>
        <v>519</v>
      </c>
      <c r="I62" s="169">
        <f t="shared" ca="1" si="10"/>
        <v>520</v>
      </c>
      <c r="J62" s="169">
        <f t="shared" ca="1" si="10"/>
        <v>514</v>
      </c>
      <c r="K62" s="169">
        <f t="shared" ca="1" si="10"/>
        <v>470</v>
      </c>
      <c r="L62" s="169">
        <f t="shared" ca="1" si="10"/>
        <v>492</v>
      </c>
      <c r="M62" s="169">
        <f t="shared" ca="1" si="10"/>
        <v>520</v>
      </c>
      <c r="N62" s="169">
        <f t="shared" ca="1" si="10"/>
        <v>520</v>
      </c>
      <c r="O62" s="169">
        <f t="shared" ca="1" si="10"/>
        <v>520</v>
      </c>
      <c r="P62" s="169">
        <f t="shared" ca="1" si="10"/>
        <v>470</v>
      </c>
      <c r="Q62" s="169">
        <f t="shared" ca="1" si="10"/>
        <v>470</v>
      </c>
      <c r="R62" s="169">
        <f t="shared" ca="1" si="10"/>
        <v>467</v>
      </c>
      <c r="S62" s="169">
        <f t="shared" ca="1" si="10"/>
        <v>470</v>
      </c>
      <c r="T62" s="169">
        <f t="shared" ca="1" si="10"/>
        <v>470</v>
      </c>
      <c r="U62" s="169">
        <f t="shared" ca="1" si="10"/>
        <v>467</v>
      </c>
      <c r="V62" s="169">
        <f t="shared" ca="1" si="10"/>
        <v>470</v>
      </c>
      <c r="W62" s="169">
        <f t="shared" ca="1" si="10"/>
        <v>470</v>
      </c>
      <c r="X62" s="169">
        <f t="shared" ca="1" si="10"/>
        <v>470</v>
      </c>
      <c r="Y62" s="170">
        <f t="shared" ca="1" si="10"/>
        <v>569</v>
      </c>
      <c r="Z62" s="191"/>
      <c r="AA62" s="162"/>
    </row>
    <row r="63" spans="1:27" s="161" customFormat="1" ht="12" x14ac:dyDescent="0.2">
      <c r="A63" s="193" t="s">
        <v>140</v>
      </c>
      <c r="B63" s="169">
        <f t="shared" ref="B63:L63" ca="1" si="11">-SUM(B8:B10,B25:B28) + SUM(B56:B57)</f>
        <v>27</v>
      </c>
      <c r="C63" s="169">
        <f t="shared" ca="1" si="11"/>
        <v>-4</v>
      </c>
      <c r="D63" s="169">
        <f t="shared" ca="1" si="11"/>
        <v>-23</v>
      </c>
      <c r="E63" s="169">
        <f t="shared" ca="1" si="11"/>
        <v>-23</v>
      </c>
      <c r="F63" s="169">
        <f t="shared" ca="1" si="11"/>
        <v>-23</v>
      </c>
      <c r="G63" s="169">
        <f t="shared" ca="1" si="11"/>
        <v>27</v>
      </c>
      <c r="H63" s="169">
        <f t="shared" ca="1" si="11"/>
        <v>-3</v>
      </c>
      <c r="I63" s="169">
        <f t="shared" ca="1" si="11"/>
        <v>22</v>
      </c>
      <c r="J63" s="169">
        <f t="shared" ca="1" si="11"/>
        <v>22</v>
      </c>
      <c r="K63" s="169">
        <f t="shared" ca="1" si="11"/>
        <v>97</v>
      </c>
      <c r="L63" s="169">
        <f t="shared" ca="1" si="11"/>
        <v>97</v>
      </c>
      <c r="M63" s="169">
        <f ca="1">-SUM(M8:M10,M25:M28) + SUM(M57:M57)</f>
        <v>45</v>
      </c>
      <c r="N63" s="169">
        <f t="shared" ref="N63:Y63" ca="1" si="12">-SUM(N8:N10,N25:N28) + SUM(N56:N57)</f>
        <v>97</v>
      </c>
      <c r="O63" s="169">
        <f t="shared" ca="1" si="12"/>
        <v>97</v>
      </c>
      <c r="P63" s="169">
        <f t="shared" ca="1" si="12"/>
        <v>72</v>
      </c>
      <c r="Q63" s="169">
        <f t="shared" ca="1" si="12"/>
        <v>72</v>
      </c>
      <c r="R63" s="169">
        <f t="shared" ca="1" si="12"/>
        <v>72</v>
      </c>
      <c r="S63" s="169">
        <f t="shared" ca="1" si="12"/>
        <v>72</v>
      </c>
      <c r="T63" s="169">
        <f t="shared" ca="1" si="12"/>
        <v>72</v>
      </c>
      <c r="U63" s="169">
        <f t="shared" ca="1" si="12"/>
        <v>72</v>
      </c>
      <c r="V63" s="169">
        <f t="shared" ca="1" si="12"/>
        <v>72</v>
      </c>
      <c r="W63" s="169">
        <f t="shared" ca="1" si="12"/>
        <v>72</v>
      </c>
      <c r="X63" s="169">
        <f t="shared" ca="1" si="12"/>
        <v>72</v>
      </c>
      <c r="Y63" s="170">
        <f t="shared" ca="1" si="12"/>
        <v>27</v>
      </c>
      <c r="Z63" s="191"/>
      <c r="AA63" s="162"/>
    </row>
    <row r="64" spans="1:27" s="161" customFormat="1" ht="12" x14ac:dyDescent="0.2">
      <c r="A64" s="193" t="s">
        <v>141</v>
      </c>
      <c r="B64" s="169">
        <f ca="1">IF(B62+B63&gt;645,"err",B62+B63)</f>
        <v>493</v>
      </c>
      <c r="C64" s="169">
        <f t="shared" ref="C64:Y64" ca="1" si="13">IF(C62+C63&gt;645,"err",C62+C63)</f>
        <v>524</v>
      </c>
      <c r="D64" s="169">
        <f t="shared" ca="1" si="13"/>
        <v>505</v>
      </c>
      <c r="E64" s="169">
        <f t="shared" ca="1" si="13"/>
        <v>505</v>
      </c>
      <c r="F64" s="169">
        <f t="shared" ca="1" si="13"/>
        <v>505</v>
      </c>
      <c r="G64" s="169">
        <f t="shared" ca="1" si="13"/>
        <v>555</v>
      </c>
      <c r="H64" s="169">
        <f t="shared" ca="1" si="13"/>
        <v>516</v>
      </c>
      <c r="I64" s="169">
        <f t="shared" ca="1" si="13"/>
        <v>542</v>
      </c>
      <c r="J64" s="169">
        <f t="shared" ca="1" si="13"/>
        <v>536</v>
      </c>
      <c r="K64" s="169">
        <f t="shared" ca="1" si="13"/>
        <v>567</v>
      </c>
      <c r="L64" s="169">
        <f t="shared" ca="1" si="13"/>
        <v>589</v>
      </c>
      <c r="M64" s="169">
        <f t="shared" ca="1" si="13"/>
        <v>565</v>
      </c>
      <c r="N64" s="169">
        <f t="shared" ca="1" si="13"/>
        <v>617</v>
      </c>
      <c r="O64" s="169">
        <f t="shared" ca="1" si="13"/>
        <v>617</v>
      </c>
      <c r="P64" s="169">
        <f t="shared" ca="1" si="13"/>
        <v>542</v>
      </c>
      <c r="Q64" s="169">
        <f t="shared" ca="1" si="13"/>
        <v>542</v>
      </c>
      <c r="R64" s="169">
        <f t="shared" ca="1" si="13"/>
        <v>539</v>
      </c>
      <c r="S64" s="169">
        <f t="shared" ca="1" si="13"/>
        <v>542</v>
      </c>
      <c r="T64" s="169">
        <f t="shared" ca="1" si="13"/>
        <v>542</v>
      </c>
      <c r="U64" s="169">
        <f t="shared" ca="1" si="13"/>
        <v>539</v>
      </c>
      <c r="V64" s="169">
        <f t="shared" ca="1" si="13"/>
        <v>542</v>
      </c>
      <c r="W64" s="169">
        <f t="shared" ca="1" si="13"/>
        <v>542</v>
      </c>
      <c r="X64" s="169">
        <f t="shared" ca="1" si="13"/>
        <v>542</v>
      </c>
      <c r="Y64" s="170">
        <f t="shared" ca="1" si="13"/>
        <v>596</v>
      </c>
      <c r="Z64" s="192"/>
      <c r="AA64" s="162"/>
    </row>
    <row r="65" spans="1:27" s="161" customFormat="1" ht="12" x14ac:dyDescent="0.2">
      <c r="A65" s="193" t="s">
        <v>18</v>
      </c>
      <c r="B65" s="169">
        <f ca="1">SUM(B61:B63)</f>
        <v>543</v>
      </c>
      <c r="C65" s="169">
        <f t="shared" ref="C65:Y65" ca="1" si="14">SUM(C61:C63)</f>
        <v>524</v>
      </c>
      <c r="D65" s="169">
        <f t="shared" ca="1" si="14"/>
        <v>505</v>
      </c>
      <c r="E65" s="169">
        <f t="shared" ca="1" si="14"/>
        <v>505</v>
      </c>
      <c r="F65" s="169">
        <f t="shared" ca="1" si="14"/>
        <v>505</v>
      </c>
      <c r="G65" s="169">
        <f t="shared" ca="1" si="14"/>
        <v>555</v>
      </c>
      <c r="H65" s="169">
        <f t="shared" ca="1" si="14"/>
        <v>546</v>
      </c>
      <c r="I65" s="169">
        <f t="shared" ca="1" si="14"/>
        <v>622</v>
      </c>
      <c r="J65" s="169">
        <f t="shared" ca="1" si="14"/>
        <v>616</v>
      </c>
      <c r="K65" s="169">
        <f t="shared" ca="1" si="14"/>
        <v>647</v>
      </c>
      <c r="L65" s="169">
        <f t="shared" ca="1" si="14"/>
        <v>669</v>
      </c>
      <c r="M65" s="169">
        <f t="shared" ca="1" si="14"/>
        <v>645</v>
      </c>
      <c r="N65" s="169">
        <f t="shared" ca="1" si="14"/>
        <v>697</v>
      </c>
      <c r="O65" s="169">
        <f t="shared" ca="1" si="14"/>
        <v>697</v>
      </c>
      <c r="P65" s="169">
        <f t="shared" ca="1" si="14"/>
        <v>622</v>
      </c>
      <c r="Q65" s="169">
        <f t="shared" ca="1" si="14"/>
        <v>622</v>
      </c>
      <c r="R65" s="169">
        <f t="shared" ca="1" si="14"/>
        <v>619</v>
      </c>
      <c r="S65" s="169">
        <f t="shared" ca="1" si="14"/>
        <v>675</v>
      </c>
      <c r="T65" s="169">
        <f t="shared" ca="1" si="14"/>
        <v>675</v>
      </c>
      <c r="U65" s="169">
        <f t="shared" ca="1" si="14"/>
        <v>672</v>
      </c>
      <c r="V65" s="169">
        <f t="shared" ca="1" si="14"/>
        <v>675</v>
      </c>
      <c r="W65" s="169">
        <f t="shared" ca="1" si="14"/>
        <v>622</v>
      </c>
      <c r="X65" s="169">
        <f t="shared" ca="1" si="14"/>
        <v>622</v>
      </c>
      <c r="Y65" s="170">
        <f t="shared" ca="1" si="14"/>
        <v>596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138</v>
      </c>
      <c r="C67" s="169">
        <f t="array" ref="C67">SUM(IF(C$41:C$55 = 0,0,$Z$41:$Z$55-C$41:C$55))-INDEX(Balancing!$R$4:$R$27,C$3)</f>
        <v>139</v>
      </c>
      <c r="D67" s="169">
        <f t="array" ref="D67">SUM(IF(D$41:D$55 = 0,0,$Z$41:$Z$55-D$41:D$55))-INDEX(Balancing!$R$4:$R$27,D$3)</f>
        <v>140</v>
      </c>
      <c r="E67" s="169">
        <f t="array" ref="E67">SUM(IF(E$41:E$55 = 0,0,$Z$41:$Z$55-E$41:E$55))-INDEX(Balancing!$R$4:$R$27,E$3)</f>
        <v>128</v>
      </c>
      <c r="F67" s="169">
        <f t="array" ref="F67">SUM(IF(F$41:F$55 = 0,0,$Z$41:$Z$55-F$41:F$55))-INDEX(Balancing!$R$4:$R$27,F$3)</f>
        <v>118</v>
      </c>
      <c r="G67" s="169">
        <f t="array" ref="G67">SUM(IF(G$41:G$55 = 0,0,$Z$41:$Z$55-G$41:G$55))-INDEX(Balancing!$R$4:$R$27,G$3)</f>
        <v>118</v>
      </c>
      <c r="H67" s="169">
        <f t="array" ref="H67">SUM(IF(H$41:H$55 = 0,0,$Z$41:$Z$55-H$41:H$55))-INDEX(Balancing!$R$4:$R$27,H$3)</f>
        <v>152</v>
      </c>
      <c r="I67" s="169">
        <f t="array" ref="I67">SUM(IF(I$41:I$55 = 0,0,$Z$41:$Z$55-I$41:I$55))-INDEX(Balancing!$R$4:$R$27,I$3)</f>
        <v>146</v>
      </c>
      <c r="J67" s="169">
        <f t="array" ref="J67">SUM(IF(J$41:J$55 = 0,0,$Z$41:$Z$55-J$41:J$55))-INDEX(Balancing!$R$4:$R$27,J$3)</f>
        <v>137</v>
      </c>
      <c r="K67" s="169">
        <f t="array" ref="K67">SUM(IF(K$41:K$55 = 0,0,$Z$41:$Z$55-K$41:K$55))-INDEX(Balancing!$R$4:$R$27,K$3)</f>
        <v>23</v>
      </c>
      <c r="L67" s="169">
        <f t="array" ref="L67">SUM(IF(L$41:L$55 = 0,0,$Z$41:$Z$55-L$41:L$55))-INDEX(Balancing!$R$4:$R$27,L$3)</f>
        <v>17</v>
      </c>
      <c r="M67" s="169">
        <f t="array" ref="M67">SUM(IF(M$41:M$55 = 0,0,$Z$41:$Z$55-M$41:M$55))-INDEX(Balancing!$R$4:$R$27,M$3)</f>
        <v>31</v>
      </c>
      <c r="N67" s="169">
        <v>179</v>
      </c>
      <c r="O67" s="169">
        <f t="array" ref="O67">SUM(IF(O$41:O$55 = 0,0,$Z$41:$Z$55-O$41:O$55))-INDEX(Balancing!$R$4:$R$27,O$3)</f>
        <v>167</v>
      </c>
      <c r="P67" s="169">
        <f t="array" ref="P67">SUM(IF(P$41:P$55 = 0,0,$Z$41:$Z$55-P$41:P$55))-INDEX(Balancing!$R$4:$R$27,P$3)</f>
        <v>122</v>
      </c>
      <c r="Q67" s="169">
        <f t="array" ref="Q67">SUM(IF(Q$41:Q$55 = 0,0,$Z$41:$Z$55-Q$41:Q$55))-INDEX(Balancing!$R$4:$R$27,Q$3)</f>
        <v>148</v>
      </c>
      <c r="R67" s="169">
        <f t="array" ref="R67">SUM(IF(R$41:R$55 = 0,0,$Z$41:$Z$55-R$41:R$55))-INDEX(Balancing!$R$4:$R$27,R$3)</f>
        <v>136</v>
      </c>
      <c r="S67" s="169">
        <f t="array" ref="S67">SUM(IF(S$41:S$55 = 0,0,$Z$41:$Z$55-S$41:S$55))-INDEX(Balancing!$R$4:$R$27,S$3)</f>
        <v>149</v>
      </c>
      <c r="T67" s="169">
        <f t="array" ref="T67">SUM(IF(T$41:T$55 = 0,0,$Z$41:$Z$55-T$41:T$55))-INDEX(Balancing!$R$4:$R$27,T$3)</f>
        <v>92</v>
      </c>
      <c r="U67" s="169">
        <f t="array" ref="U67">SUM(IF(U$41:U$55 = 0,0,$Z$41:$Z$55-U$41:U$55))-INDEX(Balancing!$R$4:$R$27,U$3)</f>
        <v>109</v>
      </c>
      <c r="V67" s="169">
        <f t="array" ref="V67">SUM(IF(V$41:V$55 = 0,0,$Z$41:$Z$55-V$41:V$55))-INDEX(Balancing!$R$4:$R$27,V$3)</f>
        <v>113</v>
      </c>
      <c r="W67" s="169">
        <f t="array" ref="W67">SUM(IF(W$41:W$55 = 0,0,$Z$41:$Z$55-W$41:W$55))-INDEX(Balancing!$R$4:$R$27,W$3)</f>
        <v>141</v>
      </c>
      <c r="X67" s="169">
        <f t="array" ref="X67">SUM(IF(X$41:X$55 = 0,0,$Z$41:$Z$55-X$41:X$55))-INDEX(Balancing!$R$4:$R$27,X$3)</f>
        <v>205</v>
      </c>
      <c r="Y67" s="170">
        <f t="array" ref="Y67">SUM(IF(Y$41:Y$55 = 0,0,$Z$41:$Z$55-Y$41:Y$55))-INDEX(Balancing!$R$4:$R$27,Y$3)</f>
        <v>113</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43</v>
      </c>
      <c r="C69" s="171">
        <f t="shared" si="15"/>
        <v>41</v>
      </c>
      <c r="D69" s="171">
        <f t="shared" si="15"/>
        <v>39</v>
      </c>
      <c r="E69" s="171">
        <f t="shared" si="15"/>
        <v>40</v>
      </c>
      <c r="F69" s="171">
        <f t="shared" si="15"/>
        <v>41</v>
      </c>
      <c r="G69" s="171">
        <f t="shared" si="15"/>
        <v>44</v>
      </c>
      <c r="H69" s="171">
        <f t="shared" ref="H69:X69" si="16">IF(H67&lt;0.07*I4,"err",ROUND(I4*0.07,0))</f>
        <v>55</v>
      </c>
      <c r="I69" s="171">
        <f t="shared" si="16"/>
        <v>55</v>
      </c>
      <c r="J69" s="171">
        <f t="shared" si="16"/>
        <v>56</v>
      </c>
      <c r="K69" s="171" t="str">
        <f t="shared" si="16"/>
        <v>err</v>
      </c>
      <c r="L69" s="171" t="str">
        <f t="shared" si="16"/>
        <v>err</v>
      </c>
      <c r="M69" s="171" t="str">
        <f t="shared" si="16"/>
        <v>err</v>
      </c>
      <c r="N69" s="171">
        <f t="shared" si="16"/>
        <v>57</v>
      </c>
      <c r="O69" s="171">
        <f t="shared" si="16"/>
        <v>57</v>
      </c>
      <c r="P69" s="171">
        <f t="shared" si="16"/>
        <v>55</v>
      </c>
      <c r="Q69" s="171">
        <f t="shared" si="16"/>
        <v>56</v>
      </c>
      <c r="R69" s="171">
        <f t="shared" si="16"/>
        <v>58</v>
      </c>
      <c r="S69" s="171">
        <f t="shared" si="16"/>
        <v>62</v>
      </c>
      <c r="T69" s="171">
        <f t="shared" si="16"/>
        <v>61</v>
      </c>
      <c r="U69" s="171">
        <f t="shared" si="16"/>
        <v>61</v>
      </c>
      <c r="V69" s="171">
        <f t="shared" si="16"/>
        <v>55</v>
      </c>
      <c r="W69" s="171">
        <f t="shared" si="16"/>
        <v>51</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159</v>
      </c>
      <c r="C78" s="462">
        <f t="shared" ca="1" si="17"/>
        <v>100</v>
      </c>
      <c r="D78" s="462">
        <f t="shared" ca="1" si="17"/>
        <v>100</v>
      </c>
      <c r="E78" s="462">
        <f ca="1">(E22+E25+E29)</f>
        <v>100</v>
      </c>
      <c r="F78" s="462">
        <f t="shared" ca="1" si="17"/>
        <v>100</v>
      </c>
      <c r="G78" s="462">
        <f ca="1">(G22+G25+G29)</f>
        <v>100</v>
      </c>
      <c r="H78" s="462">
        <f ca="1">(H22+H25+H29)</f>
        <v>139</v>
      </c>
      <c r="I78" s="462">
        <f ca="1">(I22+I25+I29)</f>
        <v>238</v>
      </c>
      <c r="J78" s="462">
        <f ca="1">(J22+J25+J29)</f>
        <v>238</v>
      </c>
      <c r="K78" s="462">
        <f t="shared" ca="1" si="17"/>
        <v>238</v>
      </c>
      <c r="L78" s="462">
        <f t="shared" ca="1" si="17"/>
        <v>238</v>
      </c>
      <c r="M78" s="462">
        <f t="shared" ca="1" si="17"/>
        <v>238</v>
      </c>
      <c r="N78" s="462">
        <f t="shared" ca="1" si="17"/>
        <v>238</v>
      </c>
      <c r="O78" s="462">
        <f t="shared" ca="1" si="17"/>
        <v>238</v>
      </c>
      <c r="P78" s="462">
        <f t="shared" ca="1" si="17"/>
        <v>238</v>
      </c>
      <c r="Q78" s="462">
        <f t="shared" ca="1" si="17"/>
        <v>238</v>
      </c>
      <c r="R78" s="462">
        <f t="shared" ca="1" si="17"/>
        <v>238</v>
      </c>
      <c r="S78" s="462">
        <f t="shared" ca="1" si="17"/>
        <v>238</v>
      </c>
      <c r="T78" s="462">
        <f t="shared" ca="1" si="17"/>
        <v>238</v>
      </c>
      <c r="U78" s="462">
        <f t="shared" ca="1" si="17"/>
        <v>238</v>
      </c>
      <c r="V78" s="462">
        <f t="shared" ca="1" si="17"/>
        <v>238</v>
      </c>
      <c r="W78" s="462">
        <f t="shared" ca="1" si="17"/>
        <v>238</v>
      </c>
      <c r="X78" s="462">
        <f t="shared" ca="1" si="17"/>
        <v>238</v>
      </c>
      <c r="Y78" s="462">
        <f t="shared" ca="1" si="17"/>
        <v>109</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4715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#VALUE!</v>
      </c>
    </row>
    <row r="87" spans="1:27" x14ac:dyDescent="0.2">
      <c r="X87" s="223"/>
      <c r="Y87" s="224" t="s">
        <v>163</v>
      </c>
      <c r="Z87" s="255">
        <f ca="1">SUM(Z90,Z93,Z96,Z99,Z102,Z107,Z112,Z117,Z122,Z127,Z132,Z137,Z142,Z147,Z152,Z157,Z162)</f>
        <v>255909.76193714057</v>
      </c>
    </row>
    <row r="88" spans="1:27" ht="13.5" thickBot="1" x14ac:dyDescent="0.25">
      <c r="A88" s="173" t="s">
        <v>164</v>
      </c>
      <c r="X88" s="225"/>
      <c r="Y88" s="226" t="s">
        <v>165</v>
      </c>
      <c r="Z88" s="256" t="e">
        <f ca="1">Z86-Z87</f>
        <v>#VALUE!</v>
      </c>
    </row>
    <row r="89" spans="1:27" x14ac:dyDescent="0.2">
      <c r="A89" s="227" t="str">
        <f>Economics!A28</f>
        <v>4 Corners Unit 4</v>
      </c>
      <c r="B89" s="228">
        <f t="shared" ref="B89:Y89" si="18">B56</f>
        <v>52</v>
      </c>
      <c r="C89" s="228">
        <f t="shared" si="18"/>
        <v>21</v>
      </c>
      <c r="D89" s="228">
        <f t="shared" si="18"/>
        <v>2</v>
      </c>
      <c r="E89" s="228">
        <f>E56</f>
        <v>2</v>
      </c>
      <c r="F89" s="228">
        <f t="shared" si="18"/>
        <v>2</v>
      </c>
      <c r="G89" s="228">
        <f t="shared" si="18"/>
        <v>52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52</v>
      </c>
      <c r="T89" s="228">
        <f t="shared" si="18"/>
        <v>52</v>
      </c>
      <c r="U89" s="228">
        <f t="shared" si="18"/>
        <v>52</v>
      </c>
      <c r="V89" s="228">
        <f t="shared" si="18"/>
        <v>52</v>
      </c>
      <c r="W89" s="228">
        <f t="shared" si="18"/>
        <v>52</v>
      </c>
      <c r="X89" s="228">
        <f t="shared" si="18"/>
        <v>52</v>
      </c>
      <c r="Y89" s="228">
        <f t="shared" si="18"/>
        <v>52</v>
      </c>
      <c r="Z89" s="257">
        <f t="array" ref="Z89">SUM(B89:Y89*Economics!F$28)</f>
        <v>13271.003200000006</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31</v>
      </c>
      <c r="D91" s="206">
        <f t="shared" si="19"/>
        <v>0</v>
      </c>
      <c r="E91" s="206">
        <f t="shared" si="19"/>
        <v>0</v>
      </c>
      <c r="F91" s="206">
        <f t="shared" si="19"/>
        <v>0</v>
      </c>
      <c r="G91" s="206">
        <f t="shared" si="19"/>
        <v>-50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51</v>
      </c>
      <c r="T91" s="206">
        <f t="shared" si="19"/>
        <v>51</v>
      </c>
      <c r="U91" s="206">
        <f t="shared" si="19"/>
        <v>51</v>
      </c>
      <c r="V91" s="206">
        <f t="shared" si="19"/>
        <v>0</v>
      </c>
      <c r="W91" s="206">
        <f t="shared" si="19"/>
        <v>0</v>
      </c>
      <c r="X91" s="206">
        <f t="shared" si="19"/>
        <v>0</v>
      </c>
      <c r="Y91" s="206">
        <f t="shared" si="19"/>
        <v>0</v>
      </c>
      <c r="Z91" s="260">
        <f>Z89-Z90</f>
        <v>-7766.4787199999882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200</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200</v>
      </c>
      <c r="S95" s="181">
        <f t="shared" si="22"/>
        <v>201</v>
      </c>
      <c r="T95" s="181">
        <f t="shared" si="22"/>
        <v>201</v>
      </c>
      <c r="U95" s="181">
        <f t="shared" si="22"/>
        <v>200</v>
      </c>
      <c r="V95" s="181">
        <f t="shared" si="22"/>
        <v>201</v>
      </c>
      <c r="W95" s="181">
        <f t="shared" si="22"/>
        <v>201</v>
      </c>
      <c r="X95" s="181">
        <f t="shared" si="22"/>
        <v>201</v>
      </c>
      <c r="Y95" s="181">
        <f t="shared" si="22"/>
        <v>201</v>
      </c>
      <c r="Z95" s="259">
        <f t="array" ref="Z95">SUM(B95:Y95*Economics!F$30)</f>
        <v>29388.815999999992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0</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0</v>
      </c>
      <c r="S97" s="206">
        <f t="shared" si="23"/>
        <v>-1</v>
      </c>
      <c r="T97" s="206">
        <f t="shared" si="23"/>
        <v>-1</v>
      </c>
      <c r="U97" s="206">
        <f t="shared" si="23"/>
        <v>0</v>
      </c>
      <c r="V97" s="206">
        <f t="shared" si="23"/>
        <v>-1</v>
      </c>
      <c r="W97" s="206">
        <f t="shared" si="23"/>
        <v>-1</v>
      </c>
      <c r="X97" s="206">
        <f t="shared" si="23"/>
        <v>-1</v>
      </c>
      <c r="Y97" s="206">
        <f t="shared" si="23"/>
        <v>-1</v>
      </c>
      <c r="Z97" s="260">
        <f>Z95-Z96</f>
        <v>128.01599999998143</v>
      </c>
    </row>
    <row r="98" spans="1:29" x14ac:dyDescent="0.2">
      <c r="A98" s="183" t="str">
        <f>Economics!A31</f>
        <v>PV Unit 2</v>
      </c>
      <c r="B98" s="181">
        <f t="shared" ref="B98:Y98" si="24">B54</f>
        <v>200</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200</v>
      </c>
      <c r="S98" s="181">
        <f t="shared" si="24"/>
        <v>201</v>
      </c>
      <c r="T98" s="181">
        <f t="shared" si="24"/>
        <v>201</v>
      </c>
      <c r="U98" s="181">
        <f t="shared" si="24"/>
        <v>200</v>
      </c>
      <c r="V98" s="181">
        <f t="shared" si="24"/>
        <v>201</v>
      </c>
      <c r="W98" s="181">
        <f t="shared" si="24"/>
        <v>201</v>
      </c>
      <c r="X98" s="181">
        <f t="shared" si="24"/>
        <v>201</v>
      </c>
      <c r="Y98" s="181">
        <f t="shared" si="24"/>
        <v>201</v>
      </c>
      <c r="Z98" s="259">
        <f t="array" ref="Z98">SUM(B98:Y98*Economics!F$31)</f>
        <v>29388.815999999992</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-6</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-5</v>
      </c>
      <c r="S100" s="206">
        <f t="shared" si="25"/>
        <v>-6</v>
      </c>
      <c r="T100" s="206">
        <f t="shared" si="25"/>
        <v>-6</v>
      </c>
      <c r="U100" s="206">
        <f t="shared" si="25"/>
        <v>-5</v>
      </c>
      <c r="V100" s="206">
        <f t="shared" si="25"/>
        <v>-6</v>
      </c>
      <c r="W100" s="206">
        <f t="shared" si="25"/>
        <v>-6</v>
      </c>
      <c r="X100" s="206">
        <f t="shared" si="25"/>
        <v>-6</v>
      </c>
      <c r="Y100" s="206">
        <f t="shared" si="25"/>
        <v>-6</v>
      </c>
      <c r="Z100" s="260">
        <f>Z98-Z99</f>
        <v>883.9199999999837</v>
      </c>
    </row>
    <row r="101" spans="1:29" x14ac:dyDescent="0.2">
      <c r="A101" s="183" t="str">
        <f>Economics!A32</f>
        <v>PV Unit 3</v>
      </c>
      <c r="B101" s="181">
        <f t="shared" ref="B101:Y101" si="26">B55</f>
        <v>200</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200</v>
      </c>
      <c r="S101" s="181">
        <f t="shared" si="26"/>
        <v>201</v>
      </c>
      <c r="T101" s="181">
        <f t="shared" si="26"/>
        <v>201</v>
      </c>
      <c r="U101" s="181">
        <f t="shared" si="26"/>
        <v>200</v>
      </c>
      <c r="V101" s="181">
        <f t="shared" si="26"/>
        <v>201</v>
      </c>
      <c r="W101" s="181">
        <f t="shared" si="26"/>
        <v>201</v>
      </c>
      <c r="X101" s="181">
        <f t="shared" si="26"/>
        <v>201</v>
      </c>
      <c r="Y101" s="181">
        <f t="shared" si="26"/>
        <v>201</v>
      </c>
      <c r="Z101" s="259">
        <f t="array" ref="Z101">SUM(B101:Y101*Economics!F$32)</f>
        <v>29388.815999999992</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0</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0</v>
      </c>
      <c r="S103" s="206">
        <f t="shared" si="27"/>
        <v>-1</v>
      </c>
      <c r="T103" s="206">
        <f t="shared" si="27"/>
        <v>-1</v>
      </c>
      <c r="U103" s="206">
        <f t="shared" si="27"/>
        <v>0</v>
      </c>
      <c r="V103" s="206">
        <f t="shared" si="27"/>
        <v>-1</v>
      </c>
      <c r="W103" s="206">
        <f t="shared" si="27"/>
        <v>-1</v>
      </c>
      <c r="X103" s="206">
        <f t="shared" si="27"/>
        <v>-1</v>
      </c>
      <c r="Y103" s="206">
        <f t="shared" si="27"/>
        <v>-1</v>
      </c>
      <c r="Z103" s="260">
        <f>Z101-Z102</f>
        <v>128.01599999998143</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35</v>
      </c>
      <c r="C109" s="181">
        <f t="shared" ref="C109:Y109" si="32">C42</f>
        <v>31</v>
      </c>
      <c r="D109" s="181">
        <f t="shared" si="32"/>
        <v>31</v>
      </c>
      <c r="E109" s="181">
        <f>E42</f>
        <v>30</v>
      </c>
      <c r="F109" s="181">
        <f t="shared" si="32"/>
        <v>30</v>
      </c>
      <c r="G109" s="181">
        <f t="shared" si="32"/>
        <v>30</v>
      </c>
      <c r="H109" s="181">
        <f t="shared" si="32"/>
        <v>42</v>
      </c>
      <c r="I109" s="181">
        <f>I42</f>
        <v>52</v>
      </c>
      <c r="J109" s="181">
        <f t="shared" si="32"/>
        <v>34</v>
      </c>
      <c r="K109" s="181">
        <f t="shared" si="32"/>
        <v>34</v>
      </c>
      <c r="L109" s="181">
        <f t="shared" si="32"/>
        <v>37</v>
      </c>
      <c r="M109" s="181">
        <f t="shared" si="32"/>
        <v>35</v>
      </c>
      <c r="N109" s="181">
        <f t="shared" si="32"/>
        <v>38</v>
      </c>
      <c r="O109" s="181">
        <f t="shared" si="32"/>
        <v>33</v>
      </c>
      <c r="P109" s="181">
        <f t="shared" si="32"/>
        <v>34</v>
      </c>
      <c r="Q109" s="181">
        <f t="shared" si="32"/>
        <v>34</v>
      </c>
      <c r="R109" s="181">
        <f t="shared" si="32"/>
        <v>34</v>
      </c>
      <c r="S109" s="181">
        <f t="shared" si="32"/>
        <v>38</v>
      </c>
      <c r="T109" s="181">
        <f t="shared" si="32"/>
        <v>34</v>
      </c>
      <c r="U109" s="181">
        <f t="shared" si="32"/>
        <v>34</v>
      </c>
      <c r="V109" s="181">
        <f t="shared" si="32"/>
        <v>34</v>
      </c>
      <c r="W109" s="181">
        <f t="shared" si="32"/>
        <v>34</v>
      </c>
      <c r="X109" s="181">
        <f t="shared" si="32"/>
        <v>36</v>
      </c>
      <c r="Y109" s="181">
        <f t="shared" si="32"/>
        <v>34</v>
      </c>
      <c r="Z109" s="219">
        <f>SUM(B109:Y109)</f>
        <v>838</v>
      </c>
      <c r="AA109" s="318" t="s">
        <v>170</v>
      </c>
    </row>
    <row r="110" spans="1:29" x14ac:dyDescent="0.2">
      <c r="A110" s="185">
        <f>Economics!$I35</f>
        <v>1.96</v>
      </c>
      <c r="B110" s="189">
        <f t="shared" ref="B110:Y110" ca="1" si="33">IndGencost(B109,OFFSET(HeatRateStart,1,MATCH($A109,HeatRateNames,0)-1,250,1),$A110)</f>
        <v>21.285180414267952</v>
      </c>
      <c r="C110" s="189">
        <f t="shared" ca="1" si="33"/>
        <v>21.59118971054631</v>
      </c>
      <c r="D110" s="189">
        <f t="shared" ca="1" si="33"/>
        <v>21.59118971054631</v>
      </c>
      <c r="E110" s="189">
        <f ca="1">IndGencost(E109,OFFSET(HeatRateStart,1,MATCH($A109,HeatRateNames,0)-1,250,1),$A110)</f>
        <v>21.68217375532786</v>
      </c>
      <c r="F110" s="189">
        <f t="shared" ca="1" si="33"/>
        <v>21.68217375532786</v>
      </c>
      <c r="G110" s="189">
        <f t="shared" ca="1" si="33"/>
        <v>21.68217375532786</v>
      </c>
      <c r="H110" s="189">
        <f t="shared" ca="1" si="33"/>
        <v>20.908963073612398</v>
      </c>
      <c r="I110" s="189">
        <f t="shared" ca="1" si="33"/>
        <v>20.5811764005661</v>
      </c>
      <c r="J110" s="189">
        <f t="shared" ca="1" si="33"/>
        <v>21.354015945019448</v>
      </c>
      <c r="K110" s="189">
        <f t="shared" ca="1" si="33"/>
        <v>21.354015945019448</v>
      </c>
      <c r="L110" s="189">
        <f t="shared" ca="1" si="33"/>
        <v>21.160356411838535</v>
      </c>
      <c r="M110" s="189">
        <f t="shared" ca="1" si="33"/>
        <v>21.285180414267952</v>
      </c>
      <c r="N110" s="189">
        <f t="shared" ca="1" si="33"/>
        <v>21.103691779156737</v>
      </c>
      <c r="O110" s="189">
        <f t="shared" ca="1" si="33"/>
        <v>21.427652901889342</v>
      </c>
      <c r="P110" s="189">
        <f t="shared" ca="1" si="33"/>
        <v>21.354015945019448</v>
      </c>
      <c r="Q110" s="189">
        <f t="shared" ca="1" si="33"/>
        <v>21.354015945019448</v>
      </c>
      <c r="R110" s="189">
        <f t="shared" ca="1" si="33"/>
        <v>21.354015945019448</v>
      </c>
      <c r="S110" s="189">
        <f t="shared" ca="1" si="33"/>
        <v>21.103691779156737</v>
      </c>
      <c r="T110" s="189">
        <f t="shared" ca="1" si="33"/>
        <v>21.354015945019448</v>
      </c>
      <c r="U110" s="189">
        <f t="shared" ca="1" si="33"/>
        <v>21.354015945019448</v>
      </c>
      <c r="V110" s="189">
        <f t="shared" ca="1" si="33"/>
        <v>21.354015945019448</v>
      </c>
      <c r="W110" s="189">
        <f t="shared" ca="1" si="33"/>
        <v>21.354015945019448</v>
      </c>
      <c r="X110" s="189">
        <f t="shared" ca="1" si="33"/>
        <v>21.220746190791662</v>
      </c>
      <c r="Y110" s="189">
        <f t="shared" ca="1" si="33"/>
        <v>21.354015945019448</v>
      </c>
      <c r="Z110" s="259">
        <f t="array" aca="1" ref="Z110" ca="1">SUM(B109:Y109*B110:Y110)</f>
        <v>17846.648243344691</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0.30600929627835782</v>
      </c>
      <c r="C113" s="188">
        <f t="shared" ca="1" si="35"/>
        <v>0</v>
      </c>
      <c r="D113" s="188">
        <f t="shared" ca="1" si="35"/>
        <v>0</v>
      </c>
      <c r="E113" s="188">
        <f t="shared" ca="1" si="35"/>
        <v>-9.0984044781549755E-2</v>
      </c>
      <c r="F113" s="188">
        <f t="shared" ca="1" si="35"/>
        <v>-9.0984044781549755E-2</v>
      </c>
      <c r="G113" s="188">
        <f t="shared" ca="1" si="35"/>
        <v>-9.0984044781549755E-2</v>
      </c>
      <c r="H113" s="188">
        <f t="shared" ca="1" si="35"/>
        <v>0.68222663693391183</v>
      </c>
      <c r="I113" s="188">
        <f t="shared" ca="1" si="35"/>
        <v>1.0100133099802093</v>
      </c>
      <c r="J113" s="188">
        <f t="shared" ca="1" si="35"/>
        <v>0.23717376552686176</v>
      </c>
      <c r="K113" s="188">
        <f t="shared" ca="1" si="35"/>
        <v>0.23717376552686176</v>
      </c>
      <c r="L113" s="188">
        <f t="shared" ca="1" si="35"/>
        <v>0.43083329870777476</v>
      </c>
      <c r="M113" s="188">
        <f t="shared" ca="1" si="35"/>
        <v>0.30600929627835782</v>
      </c>
      <c r="N113" s="188">
        <f t="shared" ca="1" si="35"/>
        <v>0.48749793138957287</v>
      </c>
      <c r="O113" s="188">
        <f t="shared" ca="1" si="35"/>
        <v>0.16353680865696774</v>
      </c>
      <c r="P113" s="188">
        <f t="shared" ca="1" si="35"/>
        <v>0.23717376552686176</v>
      </c>
      <c r="Q113" s="188">
        <f t="shared" ca="1" si="35"/>
        <v>0.23717376552686176</v>
      </c>
      <c r="R113" s="188">
        <f t="shared" ca="1" si="35"/>
        <v>0.23717376552686176</v>
      </c>
      <c r="S113" s="188">
        <f t="shared" ca="1" si="35"/>
        <v>0.48749793138957287</v>
      </c>
      <c r="T113" s="188">
        <f t="shared" ca="1" si="35"/>
        <v>0.23717376552686176</v>
      </c>
      <c r="U113" s="188">
        <f t="shared" ca="1" si="35"/>
        <v>0.23717376552686176</v>
      </c>
      <c r="V113" s="188">
        <f t="shared" ca="1" si="35"/>
        <v>0.23717376552686176</v>
      </c>
      <c r="W113" s="188">
        <f t="shared" ca="1" si="35"/>
        <v>0.23717376552686176</v>
      </c>
      <c r="X113" s="188">
        <f t="shared" ca="1" si="35"/>
        <v>0.37044351975464807</v>
      </c>
      <c r="Y113" s="188">
        <f t="shared" ca="1" si="35"/>
        <v>0.23717376552686176</v>
      </c>
      <c r="Z113" s="260">
        <f ca="1">Z110-Z112</f>
        <v>1782.8030986982267</v>
      </c>
      <c r="AC113" s="174"/>
    </row>
    <row r="114" spans="1:29" x14ac:dyDescent="0.2">
      <c r="A114" s="183" t="str">
        <f>Economics!A36</f>
        <v>Newman 3</v>
      </c>
      <c r="B114" s="181">
        <f t="shared" ref="B114:Y114" si="36">B43</f>
        <v>38</v>
      </c>
      <c r="C114" s="181">
        <f t="shared" si="36"/>
        <v>41</v>
      </c>
      <c r="D114" s="181">
        <f t="shared" si="36"/>
        <v>39</v>
      </c>
      <c r="E114" s="181">
        <f>E43</f>
        <v>52</v>
      </c>
      <c r="F114" s="181">
        <f t="shared" si="36"/>
        <v>62</v>
      </c>
      <c r="G114" s="181">
        <f t="shared" si="36"/>
        <v>62</v>
      </c>
      <c r="H114" s="181">
        <f t="shared" si="36"/>
        <v>74</v>
      </c>
      <c r="I114" s="181">
        <f t="shared" si="36"/>
        <v>40</v>
      </c>
      <c r="J114" s="181">
        <f t="shared" si="36"/>
        <v>65</v>
      </c>
      <c r="K114" s="181">
        <f t="shared" si="36"/>
        <v>95</v>
      </c>
      <c r="L114" s="181">
        <f t="shared" si="36"/>
        <v>98</v>
      </c>
      <c r="M114" s="181">
        <f t="shared" si="36"/>
        <v>87</v>
      </c>
      <c r="N114" s="181">
        <f t="shared" si="36"/>
        <v>87</v>
      </c>
      <c r="O114" s="181">
        <f t="shared" si="36"/>
        <v>37</v>
      </c>
      <c r="P114" s="181">
        <f t="shared" si="36"/>
        <v>38</v>
      </c>
      <c r="Q114" s="181">
        <f t="shared" si="36"/>
        <v>38</v>
      </c>
      <c r="R114" s="181">
        <f t="shared" si="36"/>
        <v>38</v>
      </c>
      <c r="S114" s="181">
        <f t="shared" si="36"/>
        <v>38</v>
      </c>
      <c r="T114" s="181">
        <f t="shared" si="36"/>
        <v>42</v>
      </c>
      <c r="U114" s="181">
        <f t="shared" si="36"/>
        <v>42</v>
      </c>
      <c r="V114" s="181">
        <f t="shared" si="36"/>
        <v>50</v>
      </c>
      <c r="W114" s="181">
        <f t="shared" si="36"/>
        <v>39</v>
      </c>
      <c r="X114" s="181">
        <f t="shared" si="36"/>
        <v>38</v>
      </c>
      <c r="Y114" s="181">
        <f t="shared" si="36"/>
        <v>64</v>
      </c>
      <c r="Z114" s="219">
        <f>SUM(B114:Y114)</f>
        <v>1304</v>
      </c>
      <c r="AA114" s="318" t="s">
        <v>172</v>
      </c>
    </row>
    <row r="115" spans="1:29" x14ac:dyDescent="0.2">
      <c r="A115" s="185">
        <f>Economics!$I36</f>
        <v>1.96</v>
      </c>
      <c r="B115" s="189">
        <f t="shared" ref="B115:Y115" ca="1" si="37">IndGencost(B114,OFFSET(HeatRateStart,1,MATCH($A114,HeatRateNames,0)-1,250,1),$A115)</f>
        <v>21.409493048266363</v>
      </c>
      <c r="C115" s="189">
        <f t="shared" ca="1" si="37"/>
        <v>21.105997483951292</v>
      </c>
      <c r="D115" s="189">
        <f t="shared" ca="1" si="37"/>
        <v>21.301833235104883</v>
      </c>
      <c r="E115" s="189">
        <f ca="1">IndGencost(E114,OFFSET(HeatRateStart,1,MATCH($A114,HeatRateNames,0)-1,250,1),$A115)</f>
        <v>20.368245011806493</v>
      </c>
      <c r="F115" s="189">
        <f t="shared" ca="1" si="37"/>
        <v>20.011031357211451</v>
      </c>
      <c r="G115" s="189">
        <f t="shared" ca="1" si="37"/>
        <v>20.011031357211451</v>
      </c>
      <c r="H115" s="189">
        <f t="shared" ca="1" si="37"/>
        <v>19.800714979970774</v>
      </c>
      <c r="I115" s="189">
        <f t="shared" ca="1" si="37"/>
        <v>21.200830412626267</v>
      </c>
      <c r="J115" s="189">
        <f t="shared" ca="1" si="37"/>
        <v>19.940588080406187</v>
      </c>
      <c r="K115" s="189">
        <f t="shared" ca="1" si="37"/>
        <v>19.746381436950283</v>
      </c>
      <c r="L115" s="189">
        <f t="shared" ca="1" si="37"/>
        <v>19.759240384568976</v>
      </c>
      <c r="M115" s="189">
        <f t="shared" ca="1" si="37"/>
        <v>19.733528200160496</v>
      </c>
      <c r="N115" s="189">
        <f t="shared" ca="1" si="37"/>
        <v>19.733528200160496</v>
      </c>
      <c r="O115" s="189">
        <f t="shared" ca="1" si="37"/>
        <v>21.524349608112029</v>
      </c>
      <c r="P115" s="189">
        <f t="shared" ca="1" si="37"/>
        <v>21.409493048266363</v>
      </c>
      <c r="Q115" s="189">
        <f t="shared" ca="1" si="37"/>
        <v>21.409493048266363</v>
      </c>
      <c r="R115" s="189">
        <f t="shared" ca="1" si="37"/>
        <v>21.409493048266363</v>
      </c>
      <c r="S115" s="189">
        <f t="shared" ca="1" si="37"/>
        <v>21.409493048266363</v>
      </c>
      <c r="T115" s="189">
        <f t="shared" ca="1" si="37"/>
        <v>21.01689374237969</v>
      </c>
      <c r="U115" s="189">
        <f t="shared" ca="1" si="37"/>
        <v>21.01689374237969</v>
      </c>
      <c r="V115" s="189">
        <f t="shared" ca="1" si="37"/>
        <v>20.469064398384099</v>
      </c>
      <c r="W115" s="189">
        <f t="shared" ca="1" si="37"/>
        <v>21.301833235104883</v>
      </c>
      <c r="X115" s="189">
        <f t="shared" ca="1" si="37"/>
        <v>21.409493048266363</v>
      </c>
      <c r="Y115" s="189">
        <f t="shared" ca="1" si="37"/>
        <v>19.962539138525727</v>
      </c>
      <c r="Z115" s="259">
        <f t="array" aca="1" ref="Z115" ca="1">SUM(B114:Y114*B115:Y115)</f>
        <v>26667.015719013216</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-21.409493048266363</v>
      </c>
      <c r="C118" s="188">
        <f t="shared" ca="1" si="39"/>
        <v>-21.105997483951292</v>
      </c>
      <c r="D118" s="188">
        <f t="shared" ca="1" si="39"/>
        <v>-21.301833235104883</v>
      </c>
      <c r="E118" s="188">
        <f t="shared" ca="1" si="39"/>
        <v>-20.368245011806493</v>
      </c>
      <c r="F118" s="188">
        <f t="shared" ca="1" si="39"/>
        <v>-20.011031357211451</v>
      </c>
      <c r="G118" s="188">
        <f t="shared" ca="1" si="39"/>
        <v>-20.011031357211451</v>
      </c>
      <c r="H118" s="188">
        <f t="shared" ca="1" si="39"/>
        <v>-19.800714979970774</v>
      </c>
      <c r="I118" s="188">
        <f t="shared" ca="1" si="39"/>
        <v>-21.200830412626267</v>
      </c>
      <c r="J118" s="188">
        <f t="shared" ca="1" si="39"/>
        <v>-19.940588080406187</v>
      </c>
      <c r="K118" s="188">
        <f t="shared" ca="1" si="39"/>
        <v>-19.746381436950283</v>
      </c>
      <c r="L118" s="188">
        <f t="shared" ca="1" si="39"/>
        <v>-19.759240384568976</v>
      </c>
      <c r="M118" s="188">
        <f t="shared" ca="1" si="39"/>
        <v>-19.733528200160496</v>
      </c>
      <c r="N118" s="188">
        <f t="shared" ca="1" si="39"/>
        <v>-19.733528200160496</v>
      </c>
      <c r="O118" s="188">
        <f t="shared" ca="1" si="39"/>
        <v>-21.524349608112029</v>
      </c>
      <c r="P118" s="188">
        <f t="shared" ca="1" si="39"/>
        <v>-21.409493048266363</v>
      </c>
      <c r="Q118" s="188">
        <f t="shared" ca="1" si="39"/>
        <v>-21.409493048266363</v>
      </c>
      <c r="R118" s="188">
        <f t="shared" ca="1" si="39"/>
        <v>-21.409493048266363</v>
      </c>
      <c r="S118" s="188">
        <f t="shared" ca="1" si="39"/>
        <v>-21.409493048266363</v>
      </c>
      <c r="T118" s="188">
        <f t="shared" ca="1" si="39"/>
        <v>-21.01689374237969</v>
      </c>
      <c r="U118" s="188">
        <f t="shared" ca="1" si="39"/>
        <v>-21.01689374237969</v>
      </c>
      <c r="V118" s="188">
        <f t="shared" ca="1" si="39"/>
        <v>-20.469064398384099</v>
      </c>
      <c r="W118" s="188">
        <f t="shared" ca="1" si="39"/>
        <v>-21.301833235104883</v>
      </c>
      <c r="X118" s="188">
        <f t="shared" ca="1" si="39"/>
        <v>-21.409493048266363</v>
      </c>
      <c r="Y118" s="188">
        <f t="shared" ca="1" si="39"/>
        <v>-19.962539138525727</v>
      </c>
      <c r="Z118" s="260">
        <f ca="1">Z115-Z117</f>
        <v>26667.015719013216</v>
      </c>
    </row>
    <row r="119" spans="1:29" x14ac:dyDescent="0.2">
      <c r="A119" s="183" t="str">
        <f>Economics!A37</f>
        <v>GT 1</v>
      </c>
      <c r="B119" s="181">
        <f t="shared" ref="B119:Y119" si="40">B44</f>
        <v>22</v>
      </c>
      <c r="C119" s="181">
        <f t="shared" si="40"/>
        <v>20</v>
      </c>
      <c r="D119" s="181">
        <f t="shared" si="40"/>
        <v>21</v>
      </c>
      <c r="E119" s="181">
        <f>E44</f>
        <v>21</v>
      </c>
      <c r="F119" s="181">
        <f t="shared" si="40"/>
        <v>21</v>
      </c>
      <c r="G119" s="181">
        <f t="shared" si="40"/>
        <v>21</v>
      </c>
      <c r="H119" s="181">
        <f t="shared" si="40"/>
        <v>0</v>
      </c>
      <c r="I119" s="181">
        <f t="shared" si="40"/>
        <v>0</v>
      </c>
      <c r="J119" s="181">
        <f t="shared" si="40"/>
        <v>0</v>
      </c>
      <c r="K119" s="181">
        <f t="shared" si="40"/>
        <v>51</v>
      </c>
      <c r="L119" s="181">
        <f t="shared" si="40"/>
        <v>50</v>
      </c>
      <c r="M119" s="181">
        <f t="shared" si="40"/>
        <v>50</v>
      </c>
      <c r="N119" s="181">
        <f t="shared" si="40"/>
        <v>50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21</v>
      </c>
      <c r="Z119" s="219">
        <f>SUM(B119:Y119)</f>
        <v>348</v>
      </c>
      <c r="AA119" s="318" t="s">
        <v>174</v>
      </c>
    </row>
    <row r="120" spans="1:29" x14ac:dyDescent="0.2">
      <c r="A120" s="185">
        <f>Economics!$I37</f>
        <v>1.96</v>
      </c>
      <c r="B120" s="189">
        <f t="shared" ref="B120:Y120" ca="1" si="41">IndGencost(B119,OFFSET(HeatRateStart,1,MATCH($A119,HeatRateNames,0)-1,250,1),$A120)</f>
        <v>32.686605967080027</v>
      </c>
      <c r="C120" s="189">
        <f t="shared" ca="1" si="41"/>
        <v>33.930736660385129</v>
      </c>
      <c r="D120" s="189">
        <f t="shared" ca="1" si="41"/>
        <v>33.277313434334395</v>
      </c>
      <c r="E120" s="189">
        <f ca="1">IndGencost(E119,OFFSET(HeatRateStart,1,MATCH($A119,HeatRateNames,0)-1,250,1),$A120)</f>
        <v>33.277313434334395</v>
      </c>
      <c r="F120" s="189">
        <f t="shared" ca="1" si="41"/>
        <v>33.277313434334395</v>
      </c>
      <c r="G120" s="189">
        <f t="shared" ca="1" si="41"/>
        <v>33.277313434334395</v>
      </c>
      <c r="H120" s="189">
        <f t="shared" ca="1" si="41"/>
        <v>0</v>
      </c>
      <c r="I120" s="189">
        <f t="shared" ca="1" si="41"/>
        <v>0</v>
      </c>
      <c r="J120" s="189">
        <f t="shared" ca="1" si="41"/>
        <v>0</v>
      </c>
      <c r="K120" s="189">
        <f t="shared" ca="1" si="41"/>
        <v>26.254660034909211</v>
      </c>
      <c r="L120" s="189">
        <f t="shared" ca="1" si="41"/>
        <v>26.331836112489697</v>
      </c>
      <c r="M120" s="189">
        <f t="shared" ca="1" si="41"/>
        <v>26.331836112489697</v>
      </c>
      <c r="N120" s="189">
        <f t="shared" ca="1" si="41"/>
        <v>26.331836112489697</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33.277313434334395</v>
      </c>
      <c r="Z120" s="259">
        <f t="array" aca="1" ref="Z120" ca="1">SUM(B119:Y119*B120:Y120)</f>
        <v>10180.601053742397</v>
      </c>
      <c r="AA120" s="318" t="s">
        <v>167</v>
      </c>
    </row>
    <row r="121" spans="1:29" x14ac:dyDescent="0.2">
      <c r="A121" s="184" t="s">
        <v>163</v>
      </c>
      <c r="B121" s="186">
        <f t="shared" ref="B121:Y121" si="42">B119</f>
        <v>22</v>
      </c>
      <c r="C121" s="186">
        <f t="shared" si="42"/>
        <v>20</v>
      </c>
      <c r="D121" s="186">
        <f t="shared" si="42"/>
        <v>21</v>
      </c>
      <c r="E121" s="186">
        <f t="shared" si="42"/>
        <v>21</v>
      </c>
      <c r="F121" s="186">
        <f t="shared" si="42"/>
        <v>21</v>
      </c>
      <c r="G121" s="186">
        <f t="shared" si="42"/>
        <v>21</v>
      </c>
      <c r="H121" s="186">
        <f t="shared" si="42"/>
        <v>0</v>
      </c>
      <c r="I121" s="186">
        <f t="shared" si="42"/>
        <v>0</v>
      </c>
      <c r="J121" s="186">
        <f t="shared" si="42"/>
        <v>0</v>
      </c>
      <c r="K121" s="186">
        <f t="shared" si="42"/>
        <v>51</v>
      </c>
      <c r="L121" s="186">
        <f t="shared" si="42"/>
        <v>50</v>
      </c>
      <c r="M121" s="186">
        <f t="shared" si="42"/>
        <v>50</v>
      </c>
      <c r="N121" s="186">
        <f t="shared" si="42"/>
        <v>50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21</v>
      </c>
      <c r="Z121" s="220">
        <f>SUM(B121:Y121)</f>
        <v>348</v>
      </c>
    </row>
    <row r="122" spans="1:29" x14ac:dyDescent="0.2">
      <c r="A122" s="182"/>
      <c r="B122" s="190">
        <f t="shared" ref="B122:Y122" ca="1" si="43">IndGencost(B121,OFFSET(HeatRateStart,1,MATCH($A119,HeatRateNames,0)-1,250,1),$A120)</f>
        <v>32.686605967080027</v>
      </c>
      <c r="C122" s="190">
        <f t="shared" ca="1" si="43"/>
        <v>33.930736660385129</v>
      </c>
      <c r="D122" s="190">
        <f t="shared" ca="1" si="43"/>
        <v>33.277313434334395</v>
      </c>
      <c r="E122" s="190">
        <f ca="1">IndGencost(E121,OFFSET(HeatRateStart,1,MATCH($A119,HeatRateNames,0)-1,250,1),$A120)</f>
        <v>33.277313434334395</v>
      </c>
      <c r="F122" s="190">
        <f t="shared" ca="1" si="43"/>
        <v>33.277313434334395</v>
      </c>
      <c r="G122" s="190">
        <f t="shared" ca="1" si="43"/>
        <v>33.277313434334395</v>
      </c>
      <c r="H122" s="190">
        <f t="shared" ca="1" si="43"/>
        <v>0</v>
      </c>
      <c r="I122" s="190">
        <f t="shared" ca="1" si="43"/>
        <v>0</v>
      </c>
      <c r="J122" s="190">
        <f t="shared" ca="1" si="43"/>
        <v>0</v>
      </c>
      <c r="K122" s="190">
        <f t="shared" ca="1" si="43"/>
        <v>26.254660034909211</v>
      </c>
      <c r="L122" s="190">
        <f t="shared" ca="1" si="43"/>
        <v>26.331836112489697</v>
      </c>
      <c r="M122" s="190">
        <f t="shared" ca="1" si="43"/>
        <v>26.331836112489697</v>
      </c>
      <c r="N122" s="190">
        <f t="shared" ca="1" si="43"/>
        <v>26.331836112489697</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33.277313434334395</v>
      </c>
      <c r="Z122" s="258">
        <f t="array" aca="1" ref="Z122" ca="1">SUM(B121:Y121*B122:Y122)</f>
        <v>10180.601053742397</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22</v>
      </c>
      <c r="C124" s="181">
        <f t="shared" si="45"/>
        <v>21</v>
      </c>
      <c r="D124" s="181">
        <f t="shared" si="45"/>
        <v>21</v>
      </c>
      <c r="E124" s="181">
        <f>E45</f>
        <v>21</v>
      </c>
      <c r="F124" s="181">
        <f t="shared" si="45"/>
        <v>21</v>
      </c>
      <c r="G124" s="181">
        <f t="shared" si="45"/>
        <v>21</v>
      </c>
      <c r="H124" s="181">
        <f t="shared" si="45"/>
        <v>0</v>
      </c>
      <c r="I124" s="181">
        <f t="shared" si="45"/>
        <v>0</v>
      </c>
      <c r="J124" s="181">
        <f t="shared" si="45"/>
        <v>0</v>
      </c>
      <c r="K124" s="181">
        <f t="shared" si="45"/>
        <v>49</v>
      </c>
      <c r="L124" s="181">
        <f t="shared" si="45"/>
        <v>50</v>
      </c>
      <c r="M124" s="181">
        <f t="shared" si="45"/>
        <v>49</v>
      </c>
      <c r="N124" s="181">
        <f t="shared" si="45"/>
        <v>49</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344</v>
      </c>
      <c r="AA124" s="318" t="s">
        <v>174</v>
      </c>
    </row>
    <row r="125" spans="1:29" x14ac:dyDescent="0.2">
      <c r="A125" s="185">
        <f>Economics!$I38</f>
        <v>1.96</v>
      </c>
      <c r="B125" s="189">
        <f t="shared" ref="B125:Y125" ca="1" si="46">IndGencost(B124,OFFSET(HeatRateStart,1,MATCH($A124,HeatRateNames,0)-1,250,1),$A125)</f>
        <v>32.686605967080027</v>
      </c>
      <c r="C125" s="189">
        <f t="shared" ca="1" si="46"/>
        <v>33.277313434334395</v>
      </c>
      <c r="D125" s="189">
        <f t="shared" ca="1" si="46"/>
        <v>33.277313434334395</v>
      </c>
      <c r="E125" s="189">
        <f ca="1">IndGencost(E124,OFFSET(HeatRateStart,1,MATCH($A124,HeatRateNames,0)-1,250,1),$A125)</f>
        <v>33.277313434334395</v>
      </c>
      <c r="F125" s="189">
        <f t="shared" ca="1" si="46"/>
        <v>33.277313434334395</v>
      </c>
      <c r="G125" s="189">
        <f t="shared" ca="1" si="46"/>
        <v>33.277313434334395</v>
      </c>
      <c r="H125" s="189">
        <f t="shared" ca="1" si="46"/>
        <v>0</v>
      </c>
      <c r="I125" s="189">
        <f t="shared" ca="1" si="46"/>
        <v>0</v>
      </c>
      <c r="J125" s="189">
        <f t="shared" ca="1" si="46"/>
        <v>0</v>
      </c>
      <c r="K125" s="189">
        <f t="shared" ca="1" si="46"/>
        <v>26.413649994082022</v>
      </c>
      <c r="L125" s="189">
        <f t="shared" ca="1" si="46"/>
        <v>26.331836112489697</v>
      </c>
      <c r="M125" s="189">
        <f t="shared" ca="1" si="46"/>
        <v>26.413649994082022</v>
      </c>
      <c r="N125" s="189">
        <f t="shared" ca="1" si="46"/>
        <v>26.413649994082022</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33.930736660385129</v>
      </c>
      <c r="Z125" s="259">
        <f t="array" aca="1" ref="Z125" ca="1">SUM(B124:Y124*B125:Y125)</f>
        <v>10091.236329843116</v>
      </c>
      <c r="AA125" s="318" t="s">
        <v>167</v>
      </c>
    </row>
    <row r="126" spans="1:29" x14ac:dyDescent="0.2">
      <c r="A126" s="184" t="s">
        <v>163</v>
      </c>
      <c r="B126" s="186">
        <f t="shared" ref="B126:Y126" si="47">B124</f>
        <v>22</v>
      </c>
      <c r="C126" s="186">
        <f t="shared" si="47"/>
        <v>21</v>
      </c>
      <c r="D126" s="186">
        <f t="shared" si="47"/>
        <v>21</v>
      </c>
      <c r="E126" s="186">
        <f t="shared" si="47"/>
        <v>21</v>
      </c>
      <c r="F126" s="186">
        <f t="shared" si="47"/>
        <v>21</v>
      </c>
      <c r="G126" s="186">
        <f t="shared" si="47"/>
        <v>21</v>
      </c>
      <c r="H126" s="186">
        <f t="shared" si="47"/>
        <v>0</v>
      </c>
      <c r="I126" s="186">
        <f t="shared" si="47"/>
        <v>0</v>
      </c>
      <c r="J126" s="186">
        <f t="shared" si="47"/>
        <v>0</v>
      </c>
      <c r="K126" s="186">
        <f t="shared" si="47"/>
        <v>49</v>
      </c>
      <c r="L126" s="186">
        <f t="shared" si="47"/>
        <v>50</v>
      </c>
      <c r="M126" s="186">
        <f t="shared" si="47"/>
        <v>49</v>
      </c>
      <c r="N126" s="186">
        <f t="shared" si="47"/>
        <v>49</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344</v>
      </c>
    </row>
    <row r="127" spans="1:29" x14ac:dyDescent="0.2">
      <c r="A127" s="182"/>
      <c r="B127" s="190">
        <f t="shared" ref="B127:Y127" ca="1" si="48">IndGencost(B126,OFFSET(HeatRateStart,1,MATCH($A124,HeatRateNames,0)-1,250,1),$A125)</f>
        <v>32.686605967080027</v>
      </c>
      <c r="C127" s="190">
        <f t="shared" ca="1" si="48"/>
        <v>33.277313434334395</v>
      </c>
      <c r="D127" s="190">
        <f t="shared" ca="1" si="48"/>
        <v>33.277313434334395</v>
      </c>
      <c r="E127" s="190">
        <f ca="1">IndGencost(E126,OFFSET(HeatRateStart,1,MATCH($A124,HeatRateNames,0)-1,250,1),$A125)</f>
        <v>33.277313434334395</v>
      </c>
      <c r="F127" s="190">
        <f t="shared" ca="1" si="48"/>
        <v>33.277313434334395</v>
      </c>
      <c r="G127" s="190">
        <f t="shared" ca="1" si="48"/>
        <v>33.277313434334395</v>
      </c>
      <c r="H127" s="190">
        <f t="shared" ca="1" si="48"/>
        <v>0</v>
      </c>
      <c r="I127" s="190">
        <f t="shared" ca="1" si="48"/>
        <v>0</v>
      </c>
      <c r="J127" s="190">
        <f t="shared" ca="1" si="48"/>
        <v>0</v>
      </c>
      <c r="K127" s="190">
        <f t="shared" ca="1" si="48"/>
        <v>26.413649994082022</v>
      </c>
      <c r="L127" s="190">
        <f t="shared" ca="1" si="48"/>
        <v>26.331836112489697</v>
      </c>
      <c r="M127" s="190">
        <f t="shared" ca="1" si="48"/>
        <v>26.413649994082022</v>
      </c>
      <c r="N127" s="190">
        <f t="shared" ca="1" si="48"/>
        <v>26.413649994082022</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33.930736660385129</v>
      </c>
      <c r="Z127" s="258">
        <f t="array" aca="1" ref="Z127" ca="1">SUM(B126:Y126*B127:Y127)</f>
        <v>10091.236329843116</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116</v>
      </c>
      <c r="I139" s="181">
        <f t="shared" si="59"/>
        <v>146</v>
      </c>
      <c r="J139" s="181">
        <f t="shared" si="59"/>
        <v>148</v>
      </c>
      <c r="K139" s="181">
        <f t="shared" si="59"/>
        <v>0</v>
      </c>
      <c r="L139" s="181">
        <f t="shared" si="59"/>
        <v>0</v>
      </c>
      <c r="M139" s="181">
        <f t="shared" si="59"/>
        <v>0</v>
      </c>
      <c r="N139" s="181">
        <f t="shared" si="59"/>
        <v>0</v>
      </c>
      <c r="O139" s="181">
        <f t="shared" si="59"/>
        <v>147</v>
      </c>
      <c r="P139" s="181">
        <f t="shared" si="59"/>
        <v>190</v>
      </c>
      <c r="Q139" s="181">
        <f t="shared" si="59"/>
        <v>164</v>
      </c>
      <c r="R139" s="181">
        <f t="shared" si="59"/>
        <v>179</v>
      </c>
      <c r="S139" s="181">
        <f t="shared" si="59"/>
        <v>159</v>
      </c>
      <c r="T139" s="181">
        <f t="shared" si="59"/>
        <v>216</v>
      </c>
      <c r="U139" s="181">
        <f t="shared" si="59"/>
        <v>202</v>
      </c>
      <c r="V139" s="181">
        <f t="shared" si="59"/>
        <v>187</v>
      </c>
      <c r="W139" s="181">
        <f t="shared" si="59"/>
        <v>170</v>
      </c>
      <c r="X139" s="181">
        <f t="shared" si="59"/>
        <v>105</v>
      </c>
      <c r="Y139" s="181">
        <f t="shared" si="59"/>
        <v>0</v>
      </c>
      <c r="Z139" s="219">
        <f>SUM(B139:Y139)</f>
        <v>2129</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20.189668325911796</v>
      </c>
      <c r="I140" s="189">
        <f t="shared" ca="1" si="60"/>
        <v>18.996151264676072</v>
      </c>
      <c r="J140" s="189">
        <f t="shared" ca="1" si="60"/>
        <v>18.939977647110361</v>
      </c>
      <c r="K140" s="189">
        <f t="shared" ca="1" si="60"/>
        <v>0</v>
      </c>
      <c r="L140" s="189">
        <f t="shared" ca="1" si="60"/>
        <v>0</v>
      </c>
      <c r="M140" s="189">
        <f t="shared" ca="1" si="60"/>
        <v>0</v>
      </c>
      <c r="N140" s="189">
        <f t="shared" ca="1" si="60"/>
        <v>0</v>
      </c>
      <c r="O140" s="189">
        <f t="shared" ca="1" si="60"/>
        <v>18.967776007164908</v>
      </c>
      <c r="P140" s="189">
        <f t="shared" ca="1" si="60"/>
        <v>18.172746561059878</v>
      </c>
      <c r="Q140" s="189">
        <f t="shared" ca="1" si="60"/>
        <v>18.5650506904975</v>
      </c>
      <c r="R140" s="189">
        <f t="shared" ca="1" si="60"/>
        <v>18.311617346975265</v>
      </c>
      <c r="S140" s="189">
        <f t="shared" ca="1" si="60"/>
        <v>18.669157849352978</v>
      </c>
      <c r="T140" s="189" t="str">
        <f t="shared" ca="1" si="60"/>
        <v>Error - No HeatRate</v>
      </c>
      <c r="U140" s="189">
        <f t="shared" ca="1" si="60"/>
        <v>18.058059954508845</v>
      </c>
      <c r="V140" s="189">
        <f t="shared" ca="1" si="60"/>
        <v>18.20716290102439</v>
      </c>
      <c r="W140" s="189">
        <f t="shared" ca="1" si="60"/>
        <v>18.453763362690225</v>
      </c>
      <c r="X140" s="189">
        <f t="shared" ca="1" si="60"/>
        <v>20.85965957598615</v>
      </c>
      <c r="Y140" s="189">
        <f t="shared" ca="1" si="60"/>
        <v>0</v>
      </c>
      <c r="Z140" s="259" t="e">
        <f t="array" aca="1" ref="Z140" ca="1">SUM(B139:Y139*B140:Y140)</f>
        <v>#VALUE!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-0.65019146408156203</v>
      </c>
      <c r="I143" s="188">
        <f t="shared" ca="1" si="62"/>
        <v>1.2478841871544262</v>
      </c>
      <c r="J143" s="188">
        <f t="shared" ca="1" si="62"/>
        <v>1.3040578047201379</v>
      </c>
      <c r="K143" s="188">
        <f t="shared" ca="1" si="62"/>
        <v>20.244035451830499</v>
      </c>
      <c r="L143" s="188">
        <f t="shared" ca="1" si="62"/>
        <v>20.244035451830499</v>
      </c>
      <c r="M143" s="188">
        <f t="shared" ca="1" si="62"/>
        <v>20.244035451830499</v>
      </c>
      <c r="N143" s="188">
        <f t="shared" ca="1" si="62"/>
        <v>20.244035451830499</v>
      </c>
      <c r="O143" s="188">
        <f t="shared" ca="1" si="62"/>
        <v>1.276259444665591</v>
      </c>
      <c r="P143" s="188">
        <f t="shared" ca="1" si="62"/>
        <v>2.0712888907706208</v>
      </c>
      <c r="Q143" s="188">
        <f t="shared" ca="1" si="62"/>
        <v>1.6789847613329982</v>
      </c>
      <c r="R143" s="188">
        <f t="shared" ca="1" si="62"/>
        <v>1.932418104855234</v>
      </c>
      <c r="S143" s="188">
        <f t="shared" ca="1" si="62"/>
        <v>1.5748776024775211</v>
      </c>
      <c r="T143" s="188" t="e">
        <f t="shared" ca="1" si="62"/>
        <v>#VALUE!</v>
      </c>
      <c r="U143" s="188">
        <f t="shared" ca="1" si="62"/>
        <v>0.17344107951532095</v>
      </c>
      <c r="V143" s="188">
        <f t="shared" ca="1" si="62"/>
        <v>0.24660046166583527</v>
      </c>
      <c r="W143" s="188">
        <f t="shared" ca="1" si="62"/>
        <v>9.1743590074351289E-2</v>
      </c>
      <c r="X143" s="188">
        <f t="shared" ca="1" si="62"/>
        <v>-1.8345442205328446</v>
      </c>
      <c r="Y143" s="188">
        <f t="shared" ca="1" si="62"/>
        <v>19.025115355453305</v>
      </c>
      <c r="Z143" s="260" t="e">
        <f ca="1">Z140-Z142</f>
        <v>#VALUE!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800</v>
      </c>
      <c r="C164" s="303">
        <f t="shared" si="80"/>
        <v>737</v>
      </c>
      <c r="D164" s="303">
        <f t="shared" si="80"/>
        <v>717</v>
      </c>
      <c r="E164" s="303">
        <f t="shared" si="80"/>
        <v>729</v>
      </c>
      <c r="F164" s="303">
        <f t="shared" si="80"/>
        <v>739</v>
      </c>
      <c r="G164" s="303">
        <f t="shared" si="80"/>
        <v>789</v>
      </c>
      <c r="H164" s="303">
        <f t="shared" si="80"/>
        <v>887</v>
      </c>
      <c r="I164" s="303">
        <f t="shared" si="80"/>
        <v>893</v>
      </c>
      <c r="J164" s="303">
        <f t="shared" si="80"/>
        <v>902</v>
      </c>
      <c r="K164" s="303">
        <f t="shared" si="80"/>
        <v>884</v>
      </c>
      <c r="L164" s="303">
        <f t="shared" si="80"/>
        <v>890</v>
      </c>
      <c r="M164" s="303">
        <f t="shared" si="80"/>
        <v>824</v>
      </c>
      <c r="N164" s="303">
        <f t="shared" si="80"/>
        <v>879</v>
      </c>
      <c r="O164" s="303">
        <f t="shared" si="80"/>
        <v>872</v>
      </c>
      <c r="P164" s="303">
        <f t="shared" si="80"/>
        <v>917</v>
      </c>
      <c r="Q164" s="303">
        <f t="shared" si="80"/>
        <v>891</v>
      </c>
      <c r="R164" s="303">
        <f t="shared" si="80"/>
        <v>903</v>
      </c>
      <c r="S164" s="303">
        <f t="shared" si="80"/>
        <v>924</v>
      </c>
      <c r="T164" s="303">
        <f t="shared" si="80"/>
        <v>981</v>
      </c>
      <c r="U164" s="303">
        <f t="shared" si="80"/>
        <v>964</v>
      </c>
      <c r="V164" s="303">
        <f t="shared" si="80"/>
        <v>960</v>
      </c>
      <c r="W164" s="303">
        <f t="shared" si="80"/>
        <v>898</v>
      </c>
      <c r="X164" s="303">
        <f t="shared" si="80"/>
        <v>834</v>
      </c>
      <c r="Y164" s="304">
        <f t="shared" si="80"/>
        <v>794</v>
      </c>
      <c r="Z164" s="270"/>
      <c r="AA164" s="268"/>
    </row>
    <row r="165" spans="1:27" s="269" customFormat="1" ht="13.5" customHeight="1" thickBot="1" x14ac:dyDescent="0.25">
      <c r="A165" s="305" t="s">
        <v>183</v>
      </c>
      <c r="B165" s="306">
        <f t="shared" ref="B165:Y165" si="81">B161+B156+B151+B146+B141+B136+B131+B126+B121+B116+B111+B106+B102+B99+B96+B93+B90</f>
        <v>1023</v>
      </c>
      <c r="C165" s="306">
        <f t="shared" si="81"/>
        <v>919</v>
      </c>
      <c r="D165" s="306">
        <f t="shared" si="81"/>
        <v>890</v>
      </c>
      <c r="E165" s="306">
        <f t="shared" si="81"/>
        <v>890</v>
      </c>
      <c r="F165" s="306">
        <f t="shared" si="81"/>
        <v>900</v>
      </c>
      <c r="G165" s="306">
        <f t="shared" si="81"/>
        <v>910</v>
      </c>
      <c r="H165" s="306">
        <f t="shared" si="81"/>
        <v>894</v>
      </c>
      <c r="I165" s="306">
        <f t="shared" si="81"/>
        <v>879</v>
      </c>
      <c r="J165" s="306">
        <f t="shared" si="81"/>
        <v>879</v>
      </c>
      <c r="K165" s="306">
        <f t="shared" si="81"/>
        <v>979</v>
      </c>
      <c r="L165" s="306">
        <f t="shared" si="81"/>
        <v>1030</v>
      </c>
      <c r="M165" s="306">
        <f t="shared" si="81"/>
        <v>1029</v>
      </c>
      <c r="N165" s="306">
        <f t="shared" si="81"/>
        <v>1029</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950</v>
      </c>
      <c r="Z165" s="271"/>
      <c r="AA165" s="174" t="e">
        <f ca="1">Z163+Z158+Z153+Z148+Z143+Z138+Z133+Z128+Z123+Z118+Z113+Z108+Z103+Z100+Z97+Z94+Z91</f>
        <v>#VALUE!</v>
      </c>
    </row>
    <row r="166" spans="1:27" x14ac:dyDescent="0.2">
      <c r="A166" s="330" t="s">
        <v>184</v>
      </c>
      <c r="B166" s="331">
        <f t="shared" ref="B166:Y166" si="82">B165-B164</f>
        <v>223</v>
      </c>
      <c r="C166" s="331">
        <f t="shared" si="82"/>
        <v>182</v>
      </c>
      <c r="D166" s="331">
        <f t="shared" si="82"/>
        <v>173</v>
      </c>
      <c r="E166" s="331">
        <f t="shared" si="82"/>
        <v>161</v>
      </c>
      <c r="F166" s="331">
        <f t="shared" si="82"/>
        <v>161</v>
      </c>
      <c r="G166" s="331">
        <f t="shared" si="82"/>
        <v>121</v>
      </c>
      <c r="H166" s="331">
        <f t="shared" si="82"/>
        <v>7</v>
      </c>
      <c r="I166" s="331">
        <f t="shared" si="82"/>
        <v>-14</v>
      </c>
      <c r="J166" s="331">
        <f t="shared" si="82"/>
        <v>-23</v>
      </c>
      <c r="K166" s="331">
        <f t="shared" si="82"/>
        <v>95</v>
      </c>
      <c r="L166" s="331">
        <f t="shared" si="82"/>
        <v>140</v>
      </c>
      <c r="M166" s="331">
        <f t="shared" si="82"/>
        <v>205</v>
      </c>
      <c r="N166" s="331">
        <f t="shared" si="82"/>
        <v>150</v>
      </c>
      <c r="O166" s="331">
        <f t="shared" si="82"/>
        <v>58</v>
      </c>
      <c r="P166" s="331">
        <f t="shared" si="82"/>
        <v>13</v>
      </c>
      <c r="Q166" s="331">
        <f t="shared" si="82"/>
        <v>39</v>
      </c>
      <c r="R166" s="331">
        <f t="shared" si="82"/>
        <v>27</v>
      </c>
      <c r="S166" s="331">
        <f t="shared" si="82"/>
        <v>6</v>
      </c>
      <c r="T166" s="331">
        <f t="shared" si="82"/>
        <v>48</v>
      </c>
      <c r="U166" s="331">
        <f t="shared" si="82"/>
        <v>90</v>
      </c>
      <c r="V166" s="331">
        <f t="shared" si="82"/>
        <v>8</v>
      </c>
      <c r="W166" s="331">
        <f t="shared" si="82"/>
        <v>40</v>
      </c>
      <c r="X166" s="331">
        <f t="shared" si="82"/>
        <v>75</v>
      </c>
      <c r="Y166" s="332">
        <f t="shared" si="82"/>
        <v>156</v>
      </c>
      <c r="Z166" s="336">
        <f>SUM(B166:Y166)</f>
        <v>2141</v>
      </c>
    </row>
    <row r="167" spans="1:27" s="325" customFormat="1" ht="32.25" customHeight="1" thickBot="1" x14ac:dyDescent="0.25">
      <c r="A167" s="333" t="s">
        <v>185</v>
      </c>
      <c r="B167" s="334">
        <f t="shared" ref="B167:Y167" ca="1" si="83">B58</f>
        <v>1</v>
      </c>
      <c r="C167" s="334">
        <f t="shared" ca="1" si="83"/>
        <v>-1</v>
      </c>
      <c r="D167" s="334">
        <f t="shared" ca="1" si="83"/>
        <v>3</v>
      </c>
      <c r="E167" s="334">
        <f ca="1">E58</f>
        <v>4</v>
      </c>
      <c r="F167" s="334">
        <f t="shared" ca="1" si="83"/>
        <v>0</v>
      </c>
      <c r="G167" s="334">
        <f t="shared" ca="1" si="83"/>
        <v>-1</v>
      </c>
      <c r="H167" s="334">
        <f t="shared" ca="1" si="83"/>
        <v>-4</v>
      </c>
      <c r="I167" s="334">
        <f t="shared" ca="1" si="83"/>
        <v>-4</v>
      </c>
      <c r="J167" s="334">
        <f t="shared" ca="1" si="83"/>
        <v>-2</v>
      </c>
      <c r="K167" s="334">
        <f t="shared" ca="1" si="83"/>
        <v>4</v>
      </c>
      <c r="L167" s="334">
        <f t="shared" ca="1" si="83"/>
        <v>-4</v>
      </c>
      <c r="M167" s="334">
        <f t="shared" ca="1" si="83"/>
        <v>21</v>
      </c>
      <c r="N167" s="334">
        <f t="shared" ca="1" si="83"/>
        <v>16</v>
      </c>
      <c r="O167" s="334">
        <f t="shared" ca="1" si="83"/>
        <v>23</v>
      </c>
      <c r="P167" s="334">
        <f t="shared" ca="1" si="83"/>
        <v>0</v>
      </c>
      <c r="Q167" s="334">
        <f t="shared" ca="1" si="83"/>
        <v>0</v>
      </c>
      <c r="R167" s="334">
        <f t="shared" ca="1" si="83"/>
        <v>4</v>
      </c>
      <c r="S167" s="334">
        <f t="shared" ca="1" si="83"/>
        <v>0</v>
      </c>
      <c r="T167" s="334">
        <f t="shared" ca="1" si="83"/>
        <v>0</v>
      </c>
      <c r="U167" s="334">
        <f t="shared" ca="1" si="83"/>
        <v>-3</v>
      </c>
      <c r="V167" s="334">
        <f t="shared" ca="1" si="83"/>
        <v>-4</v>
      </c>
      <c r="W167" s="334">
        <f t="shared" ca="1" si="83"/>
        <v>1</v>
      </c>
      <c r="X167" s="334">
        <f t="shared" ca="1" si="83"/>
        <v>0</v>
      </c>
      <c r="Y167" s="335">
        <f t="shared" ca="1" si="83"/>
        <v>6</v>
      </c>
      <c r="Z167" s="323">
        <f ca="1">SUM(B167:Y167)</f>
        <v>60</v>
      </c>
      <c r="AA167" s="324"/>
    </row>
    <row r="168" spans="1:27" ht="13.5" hidden="1" thickBot="1" x14ac:dyDescent="0.25">
      <c r="A168" s="326" t="s">
        <v>186</v>
      </c>
      <c r="B168" s="327">
        <f t="shared" ref="B168:Y168" ca="1" si="84">B167+B166</f>
        <v>224</v>
      </c>
      <c r="C168" s="327">
        <f t="shared" ca="1" si="84"/>
        <v>181</v>
      </c>
      <c r="D168" s="327">
        <f t="shared" ca="1" si="84"/>
        <v>176</v>
      </c>
      <c r="E168" s="327">
        <f t="shared" ca="1" si="84"/>
        <v>165</v>
      </c>
      <c r="F168" s="327">
        <f t="shared" ca="1" si="84"/>
        <v>161</v>
      </c>
      <c r="G168" s="327">
        <f t="shared" ca="1" si="84"/>
        <v>120</v>
      </c>
      <c r="H168" s="327">
        <f t="shared" ca="1" si="84"/>
        <v>3</v>
      </c>
      <c r="I168" s="327">
        <f t="shared" ca="1" si="84"/>
        <v>-18</v>
      </c>
      <c r="J168" s="327">
        <f t="shared" ca="1" si="84"/>
        <v>-25</v>
      </c>
      <c r="K168" s="327">
        <f t="shared" ca="1" si="84"/>
        <v>99</v>
      </c>
      <c r="L168" s="327">
        <f t="shared" ca="1" si="84"/>
        <v>136</v>
      </c>
      <c r="M168" s="327">
        <f t="shared" ca="1" si="84"/>
        <v>226</v>
      </c>
      <c r="N168" s="327">
        <f t="shared" ca="1" si="84"/>
        <v>166</v>
      </c>
      <c r="O168" s="327">
        <f t="shared" ca="1" si="84"/>
        <v>81</v>
      </c>
      <c r="P168" s="327">
        <f t="shared" ca="1" si="84"/>
        <v>13</v>
      </c>
      <c r="Q168" s="327">
        <f t="shared" ca="1" si="84"/>
        <v>39</v>
      </c>
      <c r="R168" s="327">
        <f t="shared" ca="1" si="84"/>
        <v>31</v>
      </c>
      <c r="S168" s="327">
        <f t="shared" ca="1" si="84"/>
        <v>6</v>
      </c>
      <c r="T168" s="327">
        <f t="shared" ca="1" si="84"/>
        <v>48</v>
      </c>
      <c r="U168" s="327">
        <f t="shared" ca="1" si="84"/>
        <v>87</v>
      </c>
      <c r="V168" s="327">
        <f t="shared" ca="1" si="84"/>
        <v>4</v>
      </c>
      <c r="W168" s="327">
        <f t="shared" ca="1" si="84"/>
        <v>41</v>
      </c>
      <c r="X168" s="327">
        <f t="shared" ca="1" si="84"/>
        <v>75</v>
      </c>
      <c r="Y168" s="327">
        <f t="shared" ca="1" si="84"/>
        <v>162</v>
      </c>
      <c r="Z168" s="328">
        <f ca="1">SUM(B168:Y168)</f>
        <v>2201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2201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264</v>
      </c>
      <c r="C171" s="338">
        <f t="shared" si="85"/>
        <v>254</v>
      </c>
      <c r="D171" s="338">
        <f t="shared" si="85"/>
        <v>275</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263</v>
      </c>
      <c r="F171" s="338">
        <f t="shared" si="85"/>
        <v>253</v>
      </c>
      <c r="G171" s="338">
        <f t="shared" si="85"/>
        <v>203</v>
      </c>
      <c r="H171" s="338">
        <f t="shared" si="85"/>
        <v>179</v>
      </c>
      <c r="I171" s="338">
        <f t="shared" si="85"/>
        <v>182</v>
      </c>
      <c r="J171" s="338">
        <f t="shared" si="85"/>
        <v>173</v>
      </c>
      <c r="K171" s="338">
        <f t="shared" si="85"/>
        <v>166</v>
      </c>
      <c r="L171" s="338">
        <f t="shared" si="85"/>
        <v>160</v>
      </c>
      <c r="M171" s="338">
        <f t="shared" si="85"/>
        <v>122</v>
      </c>
      <c r="N171" s="338">
        <f t="shared" si="85"/>
        <v>170</v>
      </c>
      <c r="O171" s="338">
        <f t="shared" si="85"/>
        <v>203</v>
      </c>
      <c r="P171" s="338">
        <f t="shared" si="85"/>
        <v>158</v>
      </c>
      <c r="Q171" s="338">
        <f t="shared" si="85"/>
        <v>184</v>
      </c>
      <c r="R171" s="338">
        <f t="shared" si="85"/>
        <v>172</v>
      </c>
      <c r="S171" s="338">
        <f t="shared" si="85"/>
        <v>221</v>
      </c>
      <c r="T171" s="338">
        <f t="shared" si="85"/>
        <v>164</v>
      </c>
      <c r="U171" s="338">
        <f t="shared" si="85"/>
        <v>181</v>
      </c>
      <c r="V171" s="338">
        <f t="shared" si="85"/>
        <v>185</v>
      </c>
      <c r="W171" s="338">
        <f t="shared" si="85"/>
        <v>177</v>
      </c>
      <c r="X171" s="338">
        <f t="shared" si="85"/>
        <v>221</v>
      </c>
      <c r="Y171" s="339">
        <f t="shared" si="85"/>
        <v>197</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145</v>
      </c>
      <c r="C172" s="341">
        <f t="shared" si="86"/>
        <v>199</v>
      </c>
      <c r="D172" s="341">
        <f t="shared" si="86"/>
        <v>228</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228</v>
      </c>
      <c r="F172" s="341">
        <f t="shared" si="86"/>
        <v>227</v>
      </c>
      <c r="G172" s="341">
        <f t="shared" si="86"/>
        <v>227</v>
      </c>
      <c r="H172" s="341">
        <f t="shared" si="86"/>
        <v>224</v>
      </c>
      <c r="I172" s="341">
        <f t="shared" si="86"/>
        <v>229</v>
      </c>
      <c r="J172" s="341">
        <f t="shared" si="86"/>
        <v>229</v>
      </c>
      <c r="K172" s="341">
        <f t="shared" si="86"/>
        <v>139</v>
      </c>
      <c r="L172" s="341">
        <f t="shared" si="86"/>
        <v>88</v>
      </c>
      <c r="M172" s="341">
        <f t="shared" si="86"/>
        <v>89</v>
      </c>
      <c r="N172" s="341">
        <f t="shared" si="86"/>
        <v>89</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168</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#VALUE!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13605.621213329081</v>
      </c>
      <c r="F25" s="33">
        <f t="shared" si="1"/>
        <v>1.96</v>
      </c>
      <c r="G25" s="32">
        <f t="shared" ca="1" si="0"/>
        <v>26667.017578125</v>
      </c>
      <c r="I25" s="31"/>
      <c r="J25" s="31"/>
      <c r="K25" s="31"/>
    </row>
    <row r="26" spans="1:12" x14ac:dyDescent="0.2">
      <c r="B26" s="234" t="s">
        <v>47</v>
      </c>
      <c r="C26" s="235">
        <v>1</v>
      </c>
      <c r="D26" s="235">
        <v>0</v>
      </c>
      <c r="E26" s="32">
        <f ca="1">-INDEX(Economics!$A$34:$D$45,MATCH(Fuel!B26,Economics!$A$34:$A$45,0),4)/Fuel!F26</f>
        <v>9105.4328762755104</v>
      </c>
      <c r="F26" s="33">
        <f t="shared" si="1"/>
        <v>1.96</v>
      </c>
      <c r="G26" s="32">
        <f t="shared" ca="1" si="0"/>
        <v>17846.6484375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5194.1839724170923</v>
      </c>
      <c r="F28" s="33">
        <f t="shared" si="1"/>
        <v>1.96</v>
      </c>
      <c r="G28" s="32">
        <f t="shared" ca="1" si="0"/>
        <v>10180.6005859375</v>
      </c>
      <c r="I28" s="31"/>
      <c r="J28" s="31"/>
      <c r="K28" s="31"/>
    </row>
    <row r="29" spans="1:12" x14ac:dyDescent="0.2">
      <c r="B29" s="234" t="s">
        <v>50</v>
      </c>
      <c r="C29" s="235">
        <v>1</v>
      </c>
      <c r="D29" s="235">
        <v>0</v>
      </c>
      <c r="E29" s="32">
        <f ca="1">-INDEX(Economics!$A$34:$D$45,MATCH(Fuel!B29,Economics!$A$34:$A$45,0),4)/Fuel!F29</f>
        <v>5148.5899633290819</v>
      </c>
      <c r="F29" s="33">
        <f t="shared" si="1"/>
        <v>1.96</v>
      </c>
      <c r="G29" s="32">
        <f t="shared" ca="1" si="0"/>
        <v>10091.236328125</v>
      </c>
      <c r="I29" s="31"/>
      <c r="J29" s="31"/>
      <c r="K29" s="31"/>
    </row>
    <row r="30" spans="1:12" x14ac:dyDescent="0.2">
      <c r="B30" s="236"/>
      <c r="C30" s="36"/>
      <c r="D30" s="36"/>
      <c r="E30" s="34">
        <f ca="1">SUM(E22:E29)</f>
        <v>33053.828025350769</v>
      </c>
      <c r="F30" s="35"/>
      <c r="G30" s="34">
        <f ca="1">SUM(G22:G29)</f>
        <v>64785.5029296875</v>
      </c>
      <c r="I30" s="31"/>
      <c r="J30" s="31"/>
      <c r="K30" s="31"/>
    </row>
    <row r="31" spans="1:12" x14ac:dyDescent="0.2">
      <c r="B31" s="236"/>
      <c r="I31" s="31"/>
      <c r="J31" s="31"/>
      <c r="K31" s="31"/>
    </row>
    <row r="32" spans="1:12" ht="13.5" thickBot="1" x14ac:dyDescent="0.25">
      <c r="B32" s="236" t="s">
        <v>18</v>
      </c>
      <c r="E32" s="7">
        <f ca="1">E15+E18+E30</f>
        <v>33053.828025350769</v>
      </c>
      <c r="F32" s="8"/>
      <c r="G32" s="7">
        <f ca="1">G15+G18+G30</f>
        <v>64785.5029296875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506425.5</v>
      </c>
      <c r="C3" s="117">
        <f ca="1">6.8*0.75*E3</f>
        <v>124771.49999999999</v>
      </c>
      <c r="D3" s="117">
        <f ca="1">C3+B3</f>
        <v>631197</v>
      </c>
      <c r="E3" s="118">
        <f ca="1">SUM(Preschedule!B59:Y59)</f>
        <v>24465</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-700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-1300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-275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-1572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1650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59</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-13950.896960000002</v>
      </c>
      <c r="C28" s="120"/>
      <c r="D28" s="120">
        <f>C28+B28</f>
        <v>-13950.896960000002</v>
      </c>
      <c r="E28" s="114">
        <f>SUM(Preschedule!B56:Y56)</f>
        <v>1067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-29388.815999999999</v>
      </c>
      <c r="C30" s="120"/>
      <c r="D30" s="120">
        <f>C30+B30</f>
        <v>-29388.815999999999</v>
      </c>
      <c r="E30" s="114">
        <f>SUM(Preschedule!B53:Y53)</f>
        <v>4821</v>
      </c>
      <c r="F30" s="120">
        <f>H30*I30</f>
        <v>6.0960000000000001</v>
      </c>
      <c r="G30" s="79">
        <f>-IF(E30=0,0,D30/E30)</f>
        <v>6.0960000000000001</v>
      </c>
      <c r="H30" s="134">
        <v>10.16</v>
      </c>
      <c r="I30" s="135">
        <v>0.6</v>
      </c>
    </row>
    <row r="31" spans="1:9" x14ac:dyDescent="0.2">
      <c r="A31" s="83" t="s">
        <v>44</v>
      </c>
      <c r="B31" s="120">
        <f>-F31*E31</f>
        <v>-29388.815999999999</v>
      </c>
      <c r="C31" s="120"/>
      <c r="D31" s="120">
        <f>C31+B31</f>
        <v>-29388.815999999999</v>
      </c>
      <c r="E31" s="114">
        <f>SUM(Preschedule!B54:Y54)</f>
        <v>4821</v>
      </c>
      <c r="F31" s="120">
        <f>H31*I31</f>
        <v>6.0960000000000001</v>
      </c>
      <c r="G31" s="79">
        <f>-IF(E31=0,0,D31/E31)</f>
        <v>6.0960000000000001</v>
      </c>
      <c r="H31" s="134">
        <v>10.16</v>
      </c>
      <c r="I31" s="135">
        <v>0.6</v>
      </c>
    </row>
    <row r="32" spans="1:9" x14ac:dyDescent="0.2">
      <c r="A32" s="83" t="s">
        <v>45</v>
      </c>
      <c r="B32" s="120">
        <f>-F32*E32</f>
        <v>-29388.815999999999</v>
      </c>
      <c r="C32" s="120"/>
      <c r="D32" s="120">
        <f>C32+B32</f>
        <v>-29388.815999999999</v>
      </c>
      <c r="E32" s="114">
        <f>SUM(Preschedule!B55:Y55)</f>
        <v>4821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-17846.6484375</v>
      </c>
      <c r="C35" s="120"/>
      <c r="D35" s="120">
        <f t="shared" ref="D35:D45" ca="1" si="7">IF(ISTEXT(B35),0,C35+B35)</f>
        <v>-17846.6484375</v>
      </c>
      <c r="E35" s="114">
        <f>SUM(Preschedule!B42:Y42)</f>
        <v>838</v>
      </c>
      <c r="F35" s="120">
        <f t="shared" ref="F35:F45" ca="1" si="8">-IF(OR(ISTEXT(B35),E35=0),0,B35/E35)</f>
        <v>21.296716512529834</v>
      </c>
      <c r="G35" s="79">
        <f t="shared" ca="1" si="6"/>
        <v>21.296716512529834</v>
      </c>
      <c r="H35" s="136"/>
      <c r="I35" s="135">
        <v>1.96</v>
      </c>
    </row>
    <row r="36" spans="1:9" x14ac:dyDescent="0.2">
      <c r="A36" s="83" t="s">
        <v>48</v>
      </c>
      <c r="B36" s="120">
        <f ca="1">Gencost(Preschedule!B43:Y43,OFFSET(HeatRateStart,1,MATCH(A36,HeatRateNames,0)-1,250,1),I36)</f>
        <v>-26667.017578125</v>
      </c>
      <c r="C36" s="120"/>
      <c r="D36" s="120">
        <f t="shared" ca="1" si="7"/>
        <v>-26667.017578125</v>
      </c>
      <c r="E36" s="114">
        <f>SUM(Preschedule!B43:Y43)</f>
        <v>1304</v>
      </c>
      <c r="F36" s="120">
        <f t="shared" ca="1" si="8"/>
        <v>20.450166854390336</v>
      </c>
      <c r="G36" s="79">
        <f t="shared" ca="1" si="6"/>
        <v>20.450166854390336</v>
      </c>
      <c r="H36" s="136"/>
      <c r="I36" s="135">
        <f>INDEX(FuelPriceTable,MATCH(A36,FuelNames,0),5)</f>
        <v>1.96</v>
      </c>
    </row>
    <row r="37" spans="1:9" x14ac:dyDescent="0.2">
      <c r="A37" s="83" t="s">
        <v>49</v>
      </c>
      <c r="B37" s="120">
        <f ca="1">Gencost(Preschedule!B44:Y44,OFFSET(HeatRateStart,1,MATCH(A37,HeatRateNames,0)-1,250,1),I37)</f>
        <v>-10180.6005859375</v>
      </c>
      <c r="C37" s="120"/>
      <c r="D37" s="120">
        <f t="shared" ca="1" si="7"/>
        <v>-10180.6005859375</v>
      </c>
      <c r="E37" s="114">
        <f>SUM(Preschedule!B44:Y44)</f>
        <v>348</v>
      </c>
      <c r="F37" s="120">
        <f t="shared" ca="1" si="8"/>
        <v>29.254599384877874</v>
      </c>
      <c r="G37" s="79">
        <f t="shared" ca="1" si="6"/>
        <v>29.254599384877874</v>
      </c>
      <c r="H37" s="136"/>
      <c r="I37" s="135">
        <f t="shared" ref="I37:I45" si="9">INDEX(FuelPriceTable,MATCH(A37,FuelNames,0),5)</f>
        <v>1.96</v>
      </c>
    </row>
    <row r="38" spans="1:9" x14ac:dyDescent="0.2">
      <c r="A38" s="83" t="s">
        <v>50</v>
      </c>
      <c r="B38" s="120">
        <f ca="1">Gencost(Preschedule!B45:Y45,OFFSET(HeatRateStart,1,MATCH(A38,HeatRateNames,0)-1,250,1),I38)</f>
        <v>-10091.236328125</v>
      </c>
      <c r="C38" s="120"/>
      <c r="D38" s="120">
        <f t="shared" ca="1" si="7"/>
        <v>-10091.236328125</v>
      </c>
      <c r="E38" s="114">
        <f>SUM(Preschedule!B45:Y45)</f>
        <v>344</v>
      </c>
      <c r="F38" s="120">
        <f t="shared" ca="1" si="8"/>
        <v>29.334989325944768</v>
      </c>
      <c r="G38" s="79">
        <f t="shared" ca="1" si="6"/>
        <v>29.334989325944768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t="str">
        <f ca="1">Gencost(Preschedule!B48:Y48,OFFSET(HeatRateStart,1,MATCH(A41,HeatRateNames,0)-1,250,1),I41)</f>
        <v>Error - No HeatRate</v>
      </c>
      <c r="C41" s="120"/>
      <c r="D41" s="120">
        <f t="shared" ca="1" si="7"/>
        <v>0</v>
      </c>
      <c r="E41" s="114">
        <f>SUM(Preschedule!B48:Y48)</f>
        <v>2129</v>
      </c>
      <c r="F41" s="120">
        <f t="shared" ca="1" si="8"/>
        <v>0</v>
      </c>
      <c r="G41" s="79">
        <f t="shared" ca="1"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37382.144444444442</v>
      </c>
    </row>
    <row r="2" spans="2:2" x14ac:dyDescent="0.2">
      <c r="B2" t="s">
        <v>367</v>
      </c>
    </row>
    <row r="3" spans="2:2" x14ac:dyDescent="0.2">
      <c r="B3" t="s">
        <v>388</v>
      </c>
    </row>
    <row r="4" spans="2:2" x14ac:dyDescent="0.2">
      <c r="B4" t="s">
        <v>400</v>
      </c>
    </row>
    <row r="5" spans="2:2" x14ac:dyDescent="0.2">
      <c r="B5" t="s">
        <v>391</v>
      </c>
    </row>
    <row r="6" spans="2:2" x14ac:dyDescent="0.2">
      <c r="B6" t="s">
        <v>392</v>
      </c>
    </row>
    <row r="7" spans="2:2" x14ac:dyDescent="0.2">
      <c r="B7" t="s">
        <v>350</v>
      </c>
    </row>
    <row r="8" spans="2:2" x14ac:dyDescent="0.2">
      <c r="B8" t="s">
        <v>352</v>
      </c>
    </row>
    <row r="9" spans="2:2" x14ac:dyDescent="0.2">
      <c r="B9" t="s">
        <v>393</v>
      </c>
    </row>
    <row r="10" spans="2:2" x14ac:dyDescent="0.2">
      <c r="B10" t="s">
        <v>401</v>
      </c>
    </row>
    <row r="11" spans="2:2" x14ac:dyDescent="0.2">
      <c r="B11" t="s">
        <v>353</v>
      </c>
    </row>
    <row r="12" spans="2:2" x14ac:dyDescent="0.2">
      <c r="B12" t="s">
        <v>355</v>
      </c>
    </row>
    <row r="13" spans="2:2" x14ac:dyDescent="0.2">
      <c r="B13" t="s">
        <v>354</v>
      </c>
    </row>
    <row r="14" spans="2:2" x14ac:dyDescent="0.2">
      <c r="B14" t="s">
        <v>381</v>
      </c>
    </row>
    <row r="15" spans="2:2" x14ac:dyDescent="0.2">
      <c r="B15" t="s">
        <v>356</v>
      </c>
    </row>
    <row r="16" spans="2:2" x14ac:dyDescent="0.2">
      <c r="B16" t="s">
        <v>394</v>
      </c>
    </row>
    <row r="17" spans="2:2" x14ac:dyDescent="0.2">
      <c r="B17" t="s">
        <v>382</v>
      </c>
    </row>
    <row r="18" spans="2:2" x14ac:dyDescent="0.2">
      <c r="B18" t="s">
        <v>402</v>
      </c>
    </row>
    <row r="19" spans="2:2" x14ac:dyDescent="0.2">
      <c r="B19" t="s">
        <v>395</v>
      </c>
    </row>
    <row r="20" spans="2:2" x14ac:dyDescent="0.2">
      <c r="B20" t="s">
        <v>396</v>
      </c>
    </row>
    <row r="21" spans="2:2" x14ac:dyDescent="0.2">
      <c r="B21" t="s">
        <v>397</v>
      </c>
    </row>
    <row r="22" spans="2:2" x14ac:dyDescent="0.2">
      <c r="B22" t="s">
        <v>398</v>
      </c>
    </row>
    <row r="23" spans="2:2" x14ac:dyDescent="0.2">
      <c r="B23" t="s">
        <v>389</v>
      </c>
    </row>
    <row r="24" spans="2:2" x14ac:dyDescent="0.2">
      <c r="B24" t="s">
        <v>399</v>
      </c>
    </row>
    <row r="25" spans="2:2" x14ac:dyDescent="0.2">
      <c r="B25" t="s">
        <v>377</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2023-09-14T19:06:32Z</dcterms:modified>
</cp:coreProperties>
</file>