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F807A5-FC82-44F0-B397-BE16DB4CA2A5}" xr6:coauthVersionLast="47" xr6:coauthVersionMax="47" xr10:uidLastSave="{00000000-0000-0000-0000-000000000000}"/>
  <bookViews>
    <workbookView xWindow="-120" yWindow="-120" windowWidth="38640" windowHeight="15720" tabRatio="602" activeTab="1"/>
  </bookViews>
  <sheets>
    <sheet name="Pricing" sheetId="21" r:id="rId1"/>
    <sheet name="CES Retail East" sheetId="25" r:id="rId2"/>
    <sheet name="CES Retail Mrkt" sheetId="19" r:id="rId3"/>
    <sheet name="Sheet1" sheetId="28" r:id="rId4"/>
    <sheet name="Sheet2" sheetId="29" r:id="rId5"/>
  </sheets>
  <definedNames>
    <definedName name="_xlnm.Print_Area" localSheetId="1">'CES Retail East'!$A$1:$AC$96</definedName>
    <definedName name="_xlnm.Print_Area" localSheetId="2">'CES Retail Mrkt'!$A$18:$W$65</definedName>
    <definedName name="_xlnm.Print_Titles" localSheetId="3">Sheet1!$1:$1</definedName>
    <definedName name="TABLE" localSheetId="3">Sheet1!$B$2:$Q$78</definedName>
    <definedName name="TABLE_2" localSheetId="3">Sheet1!$B$2:$Q$78</definedName>
  </definedNames>
  <calcPr calcId="0" fullCalcOnLoad="1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/>
  <c r="T13" i="25"/>
  <c r="J14" i="25"/>
  <c r="P14" i="25"/>
  <c r="T14" i="25"/>
  <c r="J15" i="25"/>
  <c r="P15" i="25"/>
  <c r="T15" i="25"/>
  <c r="J16" i="25"/>
  <c r="P16" i="25"/>
  <c r="T16" i="25"/>
  <c r="J17" i="25"/>
  <c r="P17" i="25"/>
  <c r="T17" i="25"/>
  <c r="J18" i="25"/>
  <c r="P18" i="25"/>
  <c r="T18" i="25"/>
  <c r="J19" i="25"/>
  <c r="T19" i="25"/>
  <c r="J20" i="25"/>
  <c r="T20" i="25"/>
  <c r="J21" i="25"/>
  <c r="T21" i="25"/>
  <c r="J22" i="25"/>
  <c r="T22" i="25"/>
  <c r="J23" i="25"/>
  <c r="T23" i="25"/>
  <c r="J24" i="25"/>
  <c r="T24" i="25"/>
  <c r="J25" i="25"/>
  <c r="T25" i="25"/>
  <c r="J26" i="25"/>
  <c r="T26" i="25"/>
  <c r="J27" i="25"/>
  <c r="T27" i="25"/>
  <c r="R30" i="25"/>
  <c r="T30" i="25"/>
  <c r="W31" i="25"/>
  <c r="P32" i="25"/>
  <c r="T32" i="25"/>
  <c r="J33" i="25"/>
  <c r="P33" i="25"/>
  <c r="T33" i="25"/>
  <c r="P34" i="25"/>
  <c r="R34" i="25"/>
  <c r="T34" i="25"/>
  <c r="J35" i="25"/>
  <c r="P35" i="25"/>
  <c r="R35" i="25"/>
  <c r="T35" i="25"/>
  <c r="J36" i="25"/>
  <c r="R36" i="25"/>
  <c r="T36" i="25"/>
  <c r="J37" i="25"/>
  <c r="T37" i="25"/>
  <c r="J38" i="25"/>
  <c r="R38" i="25"/>
  <c r="T38" i="25"/>
  <c r="J39" i="25"/>
  <c r="R39" i="25"/>
  <c r="T39" i="25"/>
  <c r="J40" i="25"/>
  <c r="R40" i="25"/>
  <c r="T40" i="25"/>
  <c r="J41" i="25"/>
  <c r="T41" i="25"/>
  <c r="J42" i="25"/>
  <c r="T42" i="25"/>
  <c r="J43" i="25"/>
  <c r="T43" i="25"/>
  <c r="J44" i="25"/>
  <c r="T44" i="25"/>
  <c r="J45" i="25"/>
  <c r="R45" i="25"/>
  <c r="T45" i="25"/>
  <c r="T47" i="25"/>
  <c r="W48" i="25"/>
  <c r="J49" i="25"/>
  <c r="P49" i="25"/>
  <c r="T49" i="25"/>
  <c r="J50" i="25"/>
  <c r="P50" i="25"/>
  <c r="T50" i="25"/>
  <c r="J51" i="25"/>
  <c r="P51" i="25"/>
  <c r="T51" i="25"/>
  <c r="J52" i="25"/>
  <c r="P52" i="25"/>
  <c r="T52" i="25"/>
  <c r="T53" i="25"/>
  <c r="J54" i="25"/>
  <c r="T54" i="25"/>
  <c r="T55" i="25"/>
  <c r="J56" i="25"/>
  <c r="T56" i="25"/>
  <c r="T57" i="25"/>
  <c r="T58" i="25"/>
  <c r="T59" i="25"/>
  <c r="T60" i="25"/>
  <c r="T62" i="25"/>
  <c r="W65" i="25"/>
  <c r="P66" i="25"/>
  <c r="T66" i="25"/>
  <c r="P67" i="25"/>
  <c r="T67" i="25"/>
  <c r="R68" i="25"/>
  <c r="T68" i="25"/>
  <c r="W69" i="25"/>
  <c r="J70" i="25"/>
  <c r="P70" i="25"/>
  <c r="T70" i="25"/>
  <c r="J71" i="25"/>
  <c r="P71" i="25"/>
  <c r="Q71" i="25"/>
  <c r="S71" i="25"/>
  <c r="T71" i="25"/>
  <c r="V71" i="25"/>
  <c r="J72" i="25"/>
  <c r="P72" i="25"/>
  <c r="Q72" i="25"/>
  <c r="R72" i="25"/>
  <c r="S72" i="25"/>
  <c r="T72" i="25"/>
  <c r="V72" i="25"/>
  <c r="J73" i="25"/>
  <c r="P73" i="25"/>
  <c r="T73" i="25"/>
  <c r="J74" i="25"/>
  <c r="P74" i="25"/>
  <c r="Q74" i="25"/>
  <c r="S74" i="25"/>
  <c r="T74" i="25"/>
  <c r="J75" i="25"/>
  <c r="P75" i="25"/>
  <c r="Q75" i="25"/>
  <c r="R75" i="25"/>
  <c r="S75" i="25"/>
  <c r="T75" i="25"/>
  <c r="J76" i="25"/>
  <c r="P76" i="25"/>
  <c r="T76" i="25"/>
  <c r="J77" i="25"/>
  <c r="P77" i="25"/>
  <c r="Q77" i="25"/>
  <c r="S77" i="25"/>
  <c r="T77" i="25"/>
  <c r="J78" i="25"/>
  <c r="P78" i="25"/>
  <c r="Q78" i="25"/>
  <c r="R78" i="25"/>
  <c r="S78" i="25"/>
  <c r="T78" i="25"/>
  <c r="J79" i="25"/>
  <c r="P79" i="25"/>
  <c r="T79" i="25"/>
  <c r="J80" i="25"/>
  <c r="P80" i="25"/>
  <c r="T80" i="25"/>
  <c r="J81" i="25"/>
  <c r="P81" i="25"/>
  <c r="T81" i="25"/>
  <c r="J82" i="25"/>
  <c r="P82" i="25"/>
  <c r="Q82" i="25"/>
  <c r="S82" i="25"/>
  <c r="T82" i="25"/>
  <c r="V82" i="25"/>
  <c r="J83" i="25"/>
  <c r="P83" i="25"/>
  <c r="Q83" i="25"/>
  <c r="R83" i="25"/>
  <c r="S83" i="25"/>
  <c r="T83" i="25"/>
  <c r="V83" i="25"/>
  <c r="P84" i="25"/>
  <c r="T84" i="25"/>
  <c r="P85" i="25"/>
  <c r="T85" i="25"/>
  <c r="P86" i="25"/>
  <c r="T86" i="25"/>
  <c r="P87" i="25"/>
  <c r="T87" i="25"/>
  <c r="P88" i="25"/>
  <c r="T88" i="25"/>
  <c r="P89" i="25"/>
  <c r="T89" i="25"/>
  <c r="P90" i="25"/>
  <c r="T90" i="25"/>
  <c r="P91" i="25"/>
  <c r="T91" i="25"/>
  <c r="T92" i="25"/>
  <c r="T95" i="25"/>
  <c r="T13" i="19"/>
  <c r="T14" i="19"/>
  <c r="T15" i="19"/>
  <c r="T16" i="19"/>
  <c r="R17" i="19"/>
  <c r="T17" i="19"/>
  <c r="W18" i="19"/>
  <c r="J19" i="19"/>
  <c r="P19" i="19"/>
  <c r="J20" i="19"/>
  <c r="P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J27" i="19"/>
  <c r="P27" i="19"/>
  <c r="T27" i="19"/>
  <c r="J28" i="19"/>
  <c r="P28" i="19"/>
  <c r="T28" i="19"/>
  <c r="P29" i="19"/>
  <c r="T29" i="19"/>
  <c r="P30" i="19"/>
  <c r="T30" i="19"/>
  <c r="P31" i="19"/>
  <c r="T31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P44" i="19"/>
  <c r="T44" i="19"/>
  <c r="J45" i="19"/>
  <c r="P45" i="19"/>
  <c r="T45" i="19"/>
  <c r="J46" i="19"/>
  <c r="P46" i="19"/>
  <c r="T46" i="19"/>
  <c r="J47" i="19"/>
  <c r="P47" i="19"/>
  <c r="T47" i="19"/>
  <c r="J48" i="19"/>
  <c r="T48" i="19"/>
  <c r="J49" i="19"/>
  <c r="T49" i="19"/>
  <c r="T50" i="19"/>
  <c r="T51" i="19"/>
  <c r="J52" i="19"/>
  <c r="P52" i="19"/>
  <c r="T52" i="19"/>
  <c r="T54" i="19"/>
  <c r="T55" i="19"/>
  <c r="T56" i="19"/>
  <c r="T57" i="19"/>
  <c r="T58" i="19"/>
  <c r="T59" i="19"/>
  <c r="J60" i="19"/>
  <c r="T60" i="19"/>
  <c r="T62" i="19"/>
  <c r="T63" i="19"/>
  <c r="T64" i="19"/>
  <c r="T65" i="19"/>
  <c r="R66" i="19"/>
  <c r="T66" i="19"/>
  <c r="U66" i="19"/>
  <c r="W67" i="19"/>
  <c r="P68" i="19"/>
  <c r="T68" i="19"/>
  <c r="T69" i="19"/>
  <c r="T72" i="19"/>
  <c r="T75" i="19"/>
  <c r="C9" i="21"/>
  <c r="C11" i="21"/>
  <c r="I16" i="21"/>
  <c r="I20" i="21"/>
  <c r="C21" i="21"/>
  <c r="E21" i="21"/>
  <c r="I21" i="21"/>
  <c r="C22" i="21"/>
  <c r="E23" i="21"/>
  <c r="D43" i="21"/>
  <c r="C44" i="21"/>
  <c r="C45" i="21"/>
  <c r="C62" i="21"/>
  <c r="E62" i="21"/>
  <c r="C63" i="21"/>
  <c r="E63" i="21"/>
  <c r="C74" i="21"/>
  <c r="C75" i="21"/>
  <c r="C84" i="21"/>
  <c r="C85" i="21"/>
  <c r="C103" i="21"/>
  <c r="C104" i="21"/>
  <c r="C114" i="21"/>
  <c r="C115" i="21"/>
  <c r="C125" i="21"/>
  <c r="K125" i="21"/>
  <c r="C126" i="21"/>
  <c r="K126" i="21"/>
  <c r="C148" i="21"/>
  <c r="C149" i="21"/>
  <c r="C162" i="21"/>
  <c r="C163" i="21"/>
  <c r="C170" i="21"/>
  <c r="C172" i="21"/>
  <c r="C173" i="21"/>
</calcChain>
</file>

<file path=xl/sharedStrings.xml><?xml version="1.0" encoding="utf-8"?>
<sst xmlns="http://schemas.openxmlformats.org/spreadsheetml/2006/main" count="1634" uniqueCount="302">
  <si>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</si>
  <si>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</si>
  <si>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</si>
  <si>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</si>
  <si>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</si>
  <si>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</si>
  <si>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</si>
  <si>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</si>
  <si>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</si>
  <si>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</si>
  <si>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</si>
  <si>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</si>
  <si>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</si>
  <si>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</si>
  <si>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</si>
  <si>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</si>
  <si>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</si>
  <si>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</si>
  <si>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</si>
  <si>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</si>
  <si>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</si>
  <si>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</si>
  <si>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</si>
  <si>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</si>
  <si>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</si>
  <si>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</si>
  <si>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</si>
  <si>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</si>
  <si>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</si>
  <si>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</si>
  <si>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</si>
  <si>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</si>
  <si>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</si>
  <si>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</si>
  <si>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</si>
  <si>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</si>
  <si>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</si>
  <si>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</si>
  <si>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</si>
  <si>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</si>
  <si>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</si>
  <si>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</si>
  <si>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</si>
  <si>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</si>
  <si>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</si>
  <si>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</si>
  <si>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</si>
  <si>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</si>
  <si>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</si>
  <si>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</si>
  <si>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</si>
  <si>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</si>
  <si>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</si>
  <si>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max demand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</si>
  <si>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</si>
  <si>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</si>
  <si>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</si>
  <si>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</si>
  <si>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</si>
  <si>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</si>
  <si>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</si>
  <si>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</si>
  <si>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</si>
  <si>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</si>
  <si>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</si>
  <si>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</si>
  <si>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</si>
  <si>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</si>
  <si>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</si>
  <si>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</si>
  <si>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</si>
  <si>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</si>
  <si>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</si>
  <si>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</si>
  <si>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</si>
  <si>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</si>
  <si>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</si>
  <si>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</si>
  <si>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</si>
  <si>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</si>
  <si>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</si>
  <si>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</si>
  <si>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</si>
  <si>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</si>
  <si>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</si>
  <si>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</si>
  <si>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</si>
  <si>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</si>
  <si>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</si>
  <si>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</si>
  <si>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</si>
  <si>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</si>
  <si>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</si>
  <si>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</si>
  <si>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</si>
  <si>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</si>
  <si>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</si>
  <si>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</si>
  <si>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</si>
  <si>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</si>
  <si>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</si>
  <si>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</si>
  <si>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</si>
  <si>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</si>
  <si>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</si>
  <si>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</si>
  <si>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</si>
  <si>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</si>
  <si>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</si>
  <si>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</si>
  <si>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</si>
  <si>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</si>
  <si>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</si>
  <si>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</si>
  <si>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</si>
  <si>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</si>
  <si>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</si>
  <si>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Boston</t>
  </si>
  <si>
    <t>Texas Gas</t>
  </si>
  <si>
    <t>1247 Lebanon CNG</t>
  </si>
  <si>
    <t>FT</t>
  </si>
  <si>
    <t>Zone SL</t>
  </si>
  <si>
    <t>Zone 1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</si>
  <si>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</si>
  <si>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</si>
  <si>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</si>
  <si>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</si>
  <si>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</si>
  <si>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</si>
  <si>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</si>
  <si>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</si>
  <si>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</si>
  <si>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</si>
  <si>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</si>
  <si>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</si>
  <si>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</si>
  <si>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</si>
  <si>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</si>
  <si>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</si>
  <si>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</si>
  <si>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</si>
  <si>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</si>
  <si>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</si>
  <si>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</si>
  <si>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</si>
  <si>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</si>
  <si>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</si>
  <si>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</si>
  <si>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</si>
  <si>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</si>
  <si>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</si>
  <si>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</si>
  <si>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</si>
  <si>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</si>
  <si>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</si>
  <si>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</si>
  <si>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</si>
  <si>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</si>
  <si>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</si>
  <si>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</si>
  <si>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</si>
  <si>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ACTIVE #200001000039</t>
  </si>
  <si>
    <t>T015955</t>
  </si>
  <si>
    <t>SNAT</t>
  </si>
  <si>
    <t>AGL</t>
  </si>
  <si>
    <t>CSS</t>
  </si>
  <si>
    <t>Bear Creek</t>
  </si>
  <si>
    <t>Stor</t>
  </si>
  <si>
    <t>From CES #66615</t>
  </si>
  <si>
    <t>SGA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</si>
  <si>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</si>
  <si>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</si>
  <si>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</si>
  <si>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</si>
  <si>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</si>
  <si>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</si>
  <si>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</si>
  <si>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</si>
  <si>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</si>
  <si>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</si>
  <si>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</si>
  <si>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</si>
  <si>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</si>
  <si>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</si>
  <si>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</si>
  <si>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</si>
  <si>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</si>
  <si>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</si>
  <si>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</si>
  <si>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</si>
  <si>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</si>
  <si>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</si>
  <si>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</si>
  <si>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</si>
  <si>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</si>
  <si>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</si>
  <si>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</si>
  <si>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</si>
  <si>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</si>
  <si>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</si>
  <si>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</si>
  <si>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</si>
  <si>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Sonat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</si>
  <si>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</si>
  <si>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</si>
  <si>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</si>
  <si>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</si>
  <si>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</si>
  <si>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</si>
  <si>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</si>
  <si>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</si>
  <si>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Deal 229988  CES has 1,000 dth of FTS, price 1,000 day at the FTS rate, balance at the IT rate.</t>
  </si>
  <si>
    <t>Deal 231742</t>
  </si>
  <si>
    <t>Deal 231741</t>
  </si>
  <si>
    <t>Deal 232619</t>
  </si>
  <si>
    <t>a05-Delmont</t>
  </si>
  <si>
    <t>25-26</t>
  </si>
  <si>
    <t>#28742</t>
  </si>
  <si>
    <t>#23890</t>
  </si>
  <si>
    <t>#28389, Sheet No 29</t>
  </si>
  <si>
    <t>#28632</t>
  </si>
  <si>
    <t>46-30 OPT 10-30</t>
  </si>
  <si>
    <t>#28631</t>
  </si>
  <si>
    <t>FSGA25</t>
  </si>
  <si>
    <t>#24855</t>
  </si>
  <si>
    <t>Envirogas</t>
  </si>
  <si>
    <t>#27991</t>
  </si>
  <si>
    <t>4 BG&amp;E</t>
  </si>
  <si>
    <t>ENA Trsp</t>
  </si>
  <si>
    <t>Storage Injection:</t>
  </si>
  <si>
    <t>Inj Comm</t>
  </si>
  <si>
    <t>Deal 227081, 227113</t>
  </si>
  <si>
    <t>Deal 229573, 234424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</si>
  <si>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</si>
  <si>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</si>
  <si>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</si>
  <si>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</si>
  <si>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</si>
  <si>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</si>
  <si>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</si>
  <si>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</si>
  <si>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</si>
  <si>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</si>
  <si>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</si>
  <si>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</si>
  <si>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</si>
  <si>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</si>
  <si>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ENA will buy the CGAS Pool gas back at the FOM price for CGAS.</t>
  </si>
  <si>
    <t>Volume</t>
  </si>
  <si>
    <t>#29259</t>
  </si>
  <si>
    <t>Release to IGS For TIMET Contract</t>
  </si>
  <si>
    <t>Release ended 6/30/2000</t>
  </si>
  <si>
    <t>Texas Eastern</t>
  </si>
  <si>
    <t>NO CONTACTS FOR RETAIL</t>
  </si>
  <si>
    <t>ENA Bought 19,293 @.18 see annuity deal 327906</t>
  </si>
  <si>
    <t>#26714 ENA purchased from CES</t>
  </si>
  <si>
    <t>CGV-10-30</t>
  </si>
  <si>
    <t>6/31/01</t>
  </si>
  <si>
    <t>CES East Desk Transportation Capacity for September, 2000</t>
  </si>
  <si>
    <t>#14203</t>
  </si>
  <si>
    <t>#14174</t>
  </si>
  <si>
    <t>2000001719</t>
  </si>
  <si>
    <t>2000001764</t>
  </si>
  <si>
    <t>2000001777</t>
  </si>
  <si>
    <t>2000001730</t>
  </si>
  <si>
    <t>2000001743</t>
  </si>
  <si>
    <t>19e, 19-32, 19-27, 19-26</t>
  </si>
  <si>
    <t>#29880</t>
  </si>
  <si>
    <t>#29879</t>
  </si>
  <si>
    <t>#021378</t>
  </si>
  <si>
    <t>#021349</t>
  </si>
  <si>
    <t>#021350</t>
  </si>
  <si>
    <t>#021351</t>
  </si>
  <si>
    <t>9/31/2003</t>
  </si>
  <si>
    <t>#021377</t>
  </si>
  <si>
    <t>#021463</t>
  </si>
  <si>
    <t>#021462</t>
  </si>
  <si>
    <t>#021461</t>
  </si>
  <si>
    <t>2000001653</t>
  </si>
  <si>
    <t>20000001616</t>
  </si>
  <si>
    <t>Z2</t>
  </si>
  <si>
    <t>z3</t>
  </si>
  <si>
    <t>9/28/2000 Should go away for September.</t>
  </si>
  <si>
    <t>#21484</t>
  </si>
  <si>
    <t>#</t>
  </si>
  <si>
    <t>Does not apply for September.</t>
  </si>
  <si>
    <t>Deal 377245</t>
  </si>
  <si>
    <t>Deal 377076</t>
  </si>
  <si>
    <t>Other Deals</t>
  </si>
  <si>
    <t>Bookout - deal 289587 with deal 376880.  Deal 376880 is a NYMX plus sale to New Power.  ENA purchased the gas back</t>
  </si>
  <si>
    <t>at CGAS IF + $.0075 at the pool and includes the volume in the FOM citygate deal.</t>
  </si>
  <si>
    <t>Deal 378894 (bookout with deal 380571)</t>
  </si>
  <si>
    <t>Deals 433359 and 433385</t>
  </si>
  <si>
    <t>Note:  New Power purchased gas from ENA at CGLF Mainline (deal 202939).  ENA will buy this gas back at the CGLF Onshore Index plus $.05,</t>
  </si>
  <si>
    <t>and sell the gas back to New Power at CGAS pool at CGLFOnshore Index +$.05 + variable cost from Mainline to Leach.</t>
  </si>
  <si>
    <t>Demand For ENA Trans</t>
  </si>
  <si>
    <t>Deal 384397</t>
  </si>
  <si>
    <t>Bookout - deal 378935 with deal 377268.   Deal 377268 is a NYMX plus deal for deliveries to WGL.  New Power is taking all deliveries to WGL</t>
  </si>
  <si>
    <t>on CGAS with CGAS FOM pricing.  I will purchase the TRCO gas back at the FOM CGAS citygate price of $4.9476.</t>
  </si>
  <si>
    <t>Bookout - deal 378939 with deal 377264.   Deal 377264 is a NYMX plus deal for deliveries to WGL.  New Power is taking all deliveries to WGL</t>
  </si>
  <si>
    <t>Deal 381811</t>
  </si>
  <si>
    <t>Scheduling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</si>
</sst>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  <numFmt numFmtId="199" formatCode="0_);[Red]\(0\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1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2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2" applyNumberFormat="1" applyFont="1" applyFill="1" applyBorder="1"/>
    <xf numFmtId="177" fontId="7" fillId="0" borderId="0" xfId="0" applyNumberFormat="1" applyFont="1" applyFill="1"/>
    <xf numFmtId="170" fontId="7" fillId="0" borderId="0" xfId="2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2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2" xfId="0" applyNumberFormat="1" applyFont="1" applyFill="1" applyBorder="1"/>
    <xf numFmtId="0" fontId="7" fillId="0" borderId="0" xfId="0" applyFont="1" applyFill="1" applyAlignment="1">
      <alignment horizontal="center"/>
    </xf>
    <xf numFmtId="40" fontId="2" fillId="0" borderId="0" xfId="0" applyNumberFormat="1" applyFont="1" applyFill="1" applyAlignment="1">
      <alignment horizontal="right"/>
    </xf>
    <xf numFmtId="38" fontId="2" fillId="0" borderId="0" xfId="0" quotePrefix="1" applyNumberFormat="1" applyFont="1" applyFill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7" fillId="0" borderId="0" xfId="2" applyNumberFormat="1" applyFont="1" applyFill="1"/>
    <xf numFmtId="165" fontId="7" fillId="0" borderId="3" xfId="0" applyNumberFormat="1" applyFont="1" applyFill="1" applyBorder="1"/>
    <xf numFmtId="191" fontId="7" fillId="0" borderId="0" xfId="2" applyNumberFormat="1" applyFont="1" applyFill="1"/>
    <xf numFmtId="165" fontId="7" fillId="0" borderId="4" xfId="0" applyNumberFormat="1" applyFont="1" applyFill="1" applyBorder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4" borderId="0" xfId="0" quotePrefix="1" applyNumberFormat="1" applyFont="1" applyFill="1" applyAlignment="1">
      <alignment horizontal="left"/>
    </xf>
    <xf numFmtId="43" fontId="2" fillId="4" borderId="0" xfId="1" quotePrefix="1" applyFont="1" applyFill="1" applyAlignment="1">
      <alignment horizontal="left"/>
    </xf>
    <xf numFmtId="164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center"/>
    </xf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99" fontId="2" fillId="4" borderId="0" xfId="0" applyNumberFormat="1" applyFont="1" applyFill="1" applyAlignment="1">
      <alignment horizontal="left"/>
    </xf>
    <xf numFmtId="0" fontId="2" fillId="4" borderId="0" xfId="1" quotePrefix="1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0" fontId="2" fillId="5" borderId="0" xfId="0" applyNumberFormat="1" applyFont="1" applyFill="1" applyAlignment="1">
      <alignment horizontal="right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164" fontId="2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5" fontId="7" fillId="4" borderId="0" xfId="0" applyNumberFormat="1" applyFont="1" applyFill="1"/>
    <xf numFmtId="0" fontId="0" fillId="4" borderId="0" xfId="0" applyFill="1" applyAlignment="1" applyProtection="1">
      <alignment vertical="top"/>
      <protection locked="0"/>
    </xf>
    <xf numFmtId="0" fontId="7" fillId="4" borderId="0" xfId="0" applyFont="1" applyFill="1"/>
    <xf numFmtId="0" fontId="9" fillId="4" borderId="0" xfId="0" applyFont="1" applyFill="1"/>
    <xf numFmtId="0" fontId="7" fillId="4" borderId="0" xfId="0" applyFont="1" applyFill="1" applyBorder="1"/>
    <xf numFmtId="0" fontId="0" fillId="4" borderId="0" xfId="0" applyFill="1" applyBorder="1" applyAlignment="1" applyProtection="1">
      <alignment vertical="top"/>
      <protection locked="0"/>
    </xf>
    <xf numFmtId="177" fontId="7" fillId="4" borderId="0" xfId="1" applyNumberFormat="1" applyFont="1" applyFill="1"/>
    <xf numFmtId="165" fontId="7" fillId="4" borderId="0" xfId="0" applyNumberFormat="1" applyFont="1" applyFill="1" applyBorder="1"/>
    <xf numFmtId="191" fontId="7" fillId="4" borderId="0" xfId="2" applyNumberFormat="1" applyFont="1" applyFill="1" applyBorder="1"/>
    <xf numFmtId="191" fontId="7" fillId="4" borderId="0" xfId="2" applyNumberFormat="1" applyFont="1" applyFill="1"/>
    <xf numFmtId="165" fontId="7" fillId="4" borderId="3" xfId="0" applyNumberFormat="1" applyFont="1" applyFill="1" applyBorder="1"/>
    <xf numFmtId="165" fontId="7" fillId="4" borderId="2" xfId="0" applyNumberFormat="1" applyFont="1" applyFill="1" applyBorder="1"/>
    <xf numFmtId="9" fontId="7" fillId="4" borderId="0" xfId="2" applyFont="1" applyFill="1"/>
    <xf numFmtId="7" fontId="7" fillId="4" borderId="0" xfId="0" applyNumberFormat="1" applyFont="1" applyFill="1"/>
    <xf numFmtId="165" fontId="0" fillId="4" borderId="0" xfId="0" applyNumberFormat="1" applyFill="1" applyAlignment="1" applyProtection="1">
      <alignment vertical="top"/>
      <protection locked="0"/>
    </xf>
    <xf numFmtId="0" fontId="0" fillId="4" borderId="0" xfId="0" quotePrefix="1" applyFill="1" applyAlignment="1" applyProtection="1">
      <alignment vertical="top"/>
      <protection locked="0"/>
    </xf>
    <xf numFmtId="0" fontId="7" fillId="6" borderId="0" xfId="0" applyFont="1" applyFill="1"/>
    <xf numFmtId="0" fontId="0" fillId="6" borderId="0" xfId="0" applyFill="1" applyAlignment="1" applyProtection="1">
      <alignment vertical="top"/>
      <protection locked="0"/>
    </xf>
    <xf numFmtId="165" fontId="7" fillId="6" borderId="0" xfId="0" applyNumberFormat="1" applyFont="1" applyFill="1"/>
    <xf numFmtId="191" fontId="7" fillId="6" borderId="0" xfId="2" applyNumberFormat="1" applyFont="1" applyFill="1"/>
    <xf numFmtId="165" fontId="7" fillId="6" borderId="3" xfId="0" applyNumberFormat="1" applyFont="1" applyFill="1" applyBorder="1"/>
    <xf numFmtId="165" fontId="7" fillId="6" borderId="2" xfId="0" applyNumberFormat="1" applyFont="1" applyFill="1" applyBorder="1"/>
    <xf numFmtId="43" fontId="0" fillId="4" borderId="0" xfId="1" applyFont="1" applyFill="1" applyAlignment="1" applyProtection="1">
      <alignment vertical="top"/>
      <protection locked="0"/>
    </xf>
    <xf numFmtId="38" fontId="2" fillId="4" borderId="2" xfId="0" applyNumberFormat="1" applyFont="1" applyFill="1" applyBorder="1" applyAlignment="1">
      <alignment horizontal="right"/>
    </xf>
    <xf numFmtId="38" fontId="2" fillId="4" borderId="0" xfId="0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workbookViewId="0">
      <selection activeCell="H14" sqref="H14"/>
    </sheetView>
  </sheetViews>
  <sheetFormatPr defaultRowHeight="12" x14ac:dyDescent="0.2"/>
  <cols>
    <col min="1" max="1" width="15.5703125" style="62" customWidth="1"/>
    <col min="2" max="2" width="9.140625" style="62"/>
    <col min="3" max="3" width="12.42578125" style="62" customWidth="1"/>
    <col min="4" max="4" width="12.140625" style="62" customWidth="1"/>
    <col min="5" max="5" width="11" style="62" customWidth="1"/>
    <col min="6" max="6" width="9.140625" style="62"/>
    <col min="7" max="7" width="15" style="62" customWidth="1"/>
    <col min="8" max="11" width="9.140625" style="62"/>
    <col min="12" max="12" width="14.7109375" style="62" customWidth="1"/>
    <col min="13" max="16384" width="9.140625" style="62"/>
  </cols>
  <sheetData>
    <row r="1" spans="1:14" ht="12.75" x14ac:dyDescent="0.2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 ht="12.75" x14ac:dyDescent="0.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2.75" x14ac:dyDescent="0.2">
      <c r="A3" s="66" t="s">
        <v>52</v>
      </c>
      <c r="C3" s="62" t="s">
        <v>120</v>
      </c>
      <c r="E3" s="76"/>
      <c r="F3" s="76"/>
      <c r="G3" s="76"/>
      <c r="H3" s="76"/>
      <c r="I3" s="76"/>
      <c r="J3" s="76"/>
      <c r="K3" s="76"/>
      <c r="L3" s="76"/>
      <c r="M3" s="76"/>
      <c r="N3" s="76"/>
    </row>
    <row r="4" spans="1:14" ht="12.75" x14ac:dyDescent="0.2">
      <c r="A4" s="62" t="s">
        <v>145</v>
      </c>
      <c r="B4" s="62" t="s">
        <v>152</v>
      </c>
      <c r="C4" s="136">
        <v>4.8499999999999996</v>
      </c>
      <c r="E4" s="76"/>
      <c r="F4" s="76"/>
      <c r="G4" s="76"/>
      <c r="H4" s="76"/>
      <c r="I4" s="76"/>
      <c r="J4" s="76"/>
      <c r="K4" s="76"/>
      <c r="L4" s="76"/>
      <c r="M4" s="76"/>
      <c r="N4" s="76"/>
    </row>
    <row r="5" spans="1:14" ht="12.75" x14ac:dyDescent="0.2">
      <c r="A5" s="62" t="s">
        <v>151</v>
      </c>
      <c r="C5" s="64">
        <v>7.4999999999999997E-3</v>
      </c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 ht="12.75" x14ac:dyDescent="0.2">
      <c r="A6" s="62" t="s">
        <v>146</v>
      </c>
      <c r="C6" s="64">
        <v>4.3999999999999997E-2</v>
      </c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ht="12.75" x14ac:dyDescent="0.2">
      <c r="A7" s="62" t="s">
        <v>147</v>
      </c>
      <c r="C7" s="64">
        <v>2.2000000000000001E-3</v>
      </c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 ht="12.75" x14ac:dyDescent="0.2">
      <c r="A8" s="62" t="s">
        <v>148</v>
      </c>
      <c r="C8" s="97">
        <v>2.2800000000000001E-2</v>
      </c>
      <c r="E8" s="76"/>
      <c r="F8" s="76"/>
      <c r="G8" s="76"/>
      <c r="H8" s="76"/>
      <c r="I8" s="76"/>
      <c r="J8" s="76"/>
      <c r="K8" s="76"/>
      <c r="L8" s="76"/>
      <c r="M8" s="76"/>
      <c r="N8" s="76"/>
    </row>
    <row r="9" spans="1:14" ht="12.75" x14ac:dyDescent="0.2">
      <c r="A9" s="62" t="s">
        <v>149</v>
      </c>
      <c r="C9" s="96">
        <f>ROUND((+C4+C5)/(1-C8)+(C6+C7),4)-C4-C5</f>
        <v>0.1595000000000007</v>
      </c>
      <c r="E9" s="76"/>
      <c r="F9" s="76"/>
      <c r="G9" s="76"/>
      <c r="H9" s="76"/>
      <c r="I9" s="76"/>
      <c r="J9" s="76"/>
      <c r="K9" s="76"/>
      <c r="L9" s="76"/>
      <c r="M9" s="76"/>
      <c r="N9" s="76"/>
    </row>
    <row r="10" spans="1:14" ht="12.75" x14ac:dyDescent="0.2">
      <c r="A10" s="62" t="s">
        <v>295</v>
      </c>
      <c r="C10" s="98">
        <v>0.02</v>
      </c>
      <c r="E10" s="76"/>
      <c r="F10" s="76"/>
      <c r="G10" s="76"/>
      <c r="H10" s="76"/>
      <c r="I10" s="76"/>
      <c r="J10" s="76"/>
      <c r="K10" s="76"/>
      <c r="L10" s="76"/>
      <c r="M10" s="76"/>
      <c r="N10" s="76"/>
    </row>
    <row r="11" spans="1:14" ht="13.5" thickBot="1" x14ac:dyDescent="0.25">
      <c r="C11" s="87">
        <f>SUM(C4:C5,C9,C10)</f>
        <v>5.0369999999999999</v>
      </c>
      <c r="D11" s="138" t="s">
        <v>296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</row>
    <row r="12" spans="1:14" ht="13.5" thickTop="1" x14ac:dyDescent="0.2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</row>
    <row r="13" spans="1:14" ht="12.75" x14ac:dyDescent="0.2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</row>
    <row r="14" spans="1:14" ht="12.75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</row>
    <row r="15" spans="1:14" ht="12.75" x14ac:dyDescent="0.2">
      <c r="A15" s="66" t="s">
        <v>152</v>
      </c>
      <c r="C15" s="62" t="s">
        <v>76</v>
      </c>
      <c r="E15" s="152" t="s">
        <v>228</v>
      </c>
      <c r="F15" s="153"/>
      <c r="G15" s="76"/>
      <c r="H15" s="76"/>
      <c r="I15" s="76"/>
      <c r="J15" s="76"/>
      <c r="K15" s="76"/>
      <c r="L15" s="76"/>
      <c r="M15" s="76"/>
      <c r="N15" s="76"/>
    </row>
    <row r="16" spans="1:14" ht="12.75" x14ac:dyDescent="0.2">
      <c r="A16" s="62" t="s">
        <v>145</v>
      </c>
      <c r="B16" s="62" t="s">
        <v>152</v>
      </c>
      <c r="C16" s="136">
        <v>4.8099999999999996</v>
      </c>
      <c r="E16" s="154">
        <v>4.8099999999999996</v>
      </c>
      <c r="F16" s="153"/>
      <c r="G16" s="76" t="s">
        <v>229</v>
      </c>
      <c r="H16" s="76"/>
      <c r="I16" s="64">
        <f>+C22</f>
        <v>4.9476000000000004</v>
      </c>
      <c r="J16" s="76"/>
      <c r="K16" s="76"/>
      <c r="L16" s="76"/>
      <c r="M16" s="76"/>
      <c r="N16" s="76"/>
    </row>
    <row r="17" spans="1:14" ht="12.75" x14ac:dyDescent="0.2">
      <c r="A17" s="62" t="s">
        <v>151</v>
      </c>
      <c r="C17" s="64">
        <v>7.4999999999999997E-3</v>
      </c>
      <c r="E17" s="154">
        <v>7.4999999999999997E-3</v>
      </c>
      <c r="F17" s="153"/>
      <c r="G17" s="76"/>
      <c r="H17" s="76"/>
      <c r="I17" s="64">
        <v>0</v>
      </c>
      <c r="J17" s="76"/>
      <c r="K17" s="76"/>
      <c r="L17" s="76"/>
      <c r="M17" s="76"/>
      <c r="N17" s="76"/>
    </row>
    <row r="18" spans="1:14" ht="12.75" x14ac:dyDescent="0.2">
      <c r="A18" s="62" t="s">
        <v>146</v>
      </c>
      <c r="C18" s="64">
        <v>1.3299999999999999E-2</v>
      </c>
      <c r="E18" s="154">
        <v>1.3299999999999999E-2</v>
      </c>
      <c r="F18" s="153"/>
      <c r="G18" s="76" t="s">
        <v>230</v>
      </c>
      <c r="H18" s="76"/>
      <c r="I18" s="64">
        <v>1.5299999999999999E-2</v>
      </c>
      <c r="J18" s="76"/>
      <c r="K18" s="76"/>
      <c r="L18" s="76"/>
      <c r="M18" s="76"/>
      <c r="N18" s="76"/>
    </row>
    <row r="19" spans="1:14" ht="12.75" x14ac:dyDescent="0.2">
      <c r="A19" s="62" t="s">
        <v>147</v>
      </c>
      <c r="C19" s="64">
        <v>9.4000000000000004E-3</v>
      </c>
      <c r="E19" s="154">
        <v>9.4000000000000004E-3</v>
      </c>
      <c r="F19" s="153"/>
      <c r="G19" s="76" t="s">
        <v>148</v>
      </c>
      <c r="H19" s="76"/>
      <c r="I19" s="97">
        <v>1.6999999999999999E-3</v>
      </c>
      <c r="J19" s="76"/>
      <c r="K19" s="76"/>
      <c r="L19" s="76"/>
      <c r="M19" s="76"/>
      <c r="N19" s="76"/>
    </row>
    <row r="20" spans="1:14" ht="12.75" x14ac:dyDescent="0.2">
      <c r="A20" s="62" t="s">
        <v>148</v>
      </c>
      <c r="C20" s="97">
        <v>2.1839999999999998E-2</v>
      </c>
      <c r="E20" s="155">
        <v>2.1839999999999998E-2</v>
      </c>
      <c r="F20" s="153"/>
      <c r="G20" s="76"/>
      <c r="H20" s="76"/>
      <c r="I20" s="96">
        <f>ROUND(+I16/(1-I19)+I18,4)-I16</f>
        <v>2.3699999999999832E-2</v>
      </c>
      <c r="J20" s="76"/>
      <c r="K20" s="76"/>
      <c r="L20" s="76"/>
      <c r="M20" s="76"/>
      <c r="N20" s="76"/>
    </row>
    <row r="21" spans="1:14" ht="13.5" thickBot="1" x14ac:dyDescent="0.25">
      <c r="A21" s="62" t="s">
        <v>149</v>
      </c>
      <c r="C21" s="96">
        <f>ROUND(+C16/(1-C20)+(C18+C19),4)-C16</f>
        <v>0.13010000000000055</v>
      </c>
      <c r="E21" s="156">
        <f>ROUND(+E16/(1-E20)+(E18+E19),4)-E16</f>
        <v>0.13010000000000055</v>
      </c>
      <c r="F21" s="153"/>
      <c r="G21" s="76"/>
      <c r="H21" s="76"/>
      <c r="I21" s="87">
        <f>I16+I20</f>
        <v>4.9713000000000003</v>
      </c>
      <c r="J21" s="137" t="s">
        <v>287</v>
      </c>
      <c r="K21" s="76"/>
      <c r="L21" s="80"/>
      <c r="M21" s="76"/>
      <c r="N21" s="76"/>
    </row>
    <row r="22" spans="1:14" ht="14.25" thickTop="1" thickBot="1" x14ac:dyDescent="0.25">
      <c r="C22" s="87">
        <f>SUM(C16,C17,C21)</f>
        <v>4.9476000000000004</v>
      </c>
      <c r="D22" s="138" t="s">
        <v>286</v>
      </c>
      <c r="E22" s="156">
        <v>0.02</v>
      </c>
      <c r="F22" s="153"/>
      <c r="G22" s="76"/>
      <c r="H22" s="76"/>
      <c r="I22" s="68"/>
      <c r="J22" s="118"/>
      <c r="K22" s="76"/>
      <c r="L22" s="80"/>
      <c r="M22" s="76"/>
      <c r="N22" s="76"/>
    </row>
    <row r="23" spans="1:14" ht="14.25" thickTop="1" thickBot="1" x14ac:dyDescent="0.25">
      <c r="E23" s="157">
        <f>+E22+E21+E16</f>
        <v>4.9600999999999997</v>
      </c>
      <c r="F23" s="152" t="s">
        <v>285</v>
      </c>
      <c r="H23" s="76"/>
      <c r="I23" s="117"/>
      <c r="J23" s="118"/>
      <c r="K23" s="76"/>
      <c r="L23" s="80"/>
      <c r="M23" s="76"/>
      <c r="N23" s="76"/>
    </row>
    <row r="24" spans="1:14" ht="13.5" thickTop="1" x14ac:dyDescent="0.2">
      <c r="C24" s="77"/>
      <c r="E24" s="77"/>
      <c r="H24" s="76"/>
      <c r="I24" s="117"/>
      <c r="J24" s="118"/>
      <c r="K24" s="76"/>
      <c r="L24" s="80"/>
      <c r="M24" s="76"/>
      <c r="N24" s="76"/>
    </row>
    <row r="25" spans="1:14" ht="12.75" x14ac:dyDescent="0.2">
      <c r="A25" s="62" t="s">
        <v>288</v>
      </c>
      <c r="C25" s="77"/>
      <c r="E25" s="77"/>
      <c r="H25" s="76"/>
      <c r="I25" s="117"/>
      <c r="J25" s="118"/>
      <c r="K25" s="76"/>
      <c r="L25" s="80"/>
      <c r="M25" s="76"/>
      <c r="N25" s="76"/>
    </row>
    <row r="26" spans="1:14" ht="12.75" x14ac:dyDescent="0.2">
      <c r="B26" s="138" t="s">
        <v>289</v>
      </c>
      <c r="C26" s="148"/>
      <c r="D26" s="138"/>
      <c r="E26" s="148"/>
      <c r="F26" s="138"/>
      <c r="G26" s="138"/>
      <c r="H26" s="137"/>
      <c r="I26" s="150"/>
      <c r="J26" s="151"/>
      <c r="K26" s="76"/>
      <c r="L26" s="80"/>
      <c r="M26" s="76"/>
      <c r="N26" s="76"/>
    </row>
    <row r="27" spans="1:14" ht="12.75" x14ac:dyDescent="0.2">
      <c r="B27" s="138"/>
      <c r="C27" s="148" t="s">
        <v>290</v>
      </c>
      <c r="D27" s="138"/>
      <c r="E27" s="148"/>
      <c r="F27" s="138"/>
      <c r="G27" s="138"/>
      <c r="H27" s="137"/>
      <c r="I27" s="150"/>
      <c r="J27" s="151"/>
      <c r="K27" s="76"/>
      <c r="L27" s="80"/>
      <c r="M27" s="76"/>
      <c r="N27" s="76"/>
    </row>
    <row r="28" spans="1:14" ht="12.75" x14ac:dyDescent="0.2">
      <c r="C28" s="77"/>
      <c r="E28" s="77"/>
      <c r="H28" s="76"/>
      <c r="I28" s="117"/>
      <c r="J28" s="118"/>
      <c r="K28" s="76"/>
      <c r="L28" s="80"/>
      <c r="M28" s="76"/>
      <c r="N28" s="76"/>
    </row>
    <row r="29" spans="1:14" ht="12.75" x14ac:dyDescent="0.2">
      <c r="B29" s="138" t="s">
        <v>297</v>
      </c>
      <c r="C29" s="148"/>
      <c r="D29" s="138"/>
      <c r="E29" s="148"/>
      <c r="F29" s="138"/>
      <c r="G29" s="138"/>
      <c r="H29" s="137"/>
      <c r="I29" s="150"/>
      <c r="J29" s="151"/>
      <c r="K29" s="137"/>
      <c r="L29" s="158"/>
      <c r="M29" s="76"/>
      <c r="N29" s="76"/>
    </row>
    <row r="30" spans="1:14" ht="12.75" x14ac:dyDescent="0.2">
      <c r="B30" s="138"/>
      <c r="C30" s="148" t="s">
        <v>298</v>
      </c>
      <c r="D30" s="138"/>
      <c r="E30" s="148"/>
      <c r="F30" s="138"/>
      <c r="G30" s="138"/>
      <c r="H30" s="137"/>
      <c r="I30" s="150"/>
      <c r="J30" s="151"/>
      <c r="K30" s="137"/>
      <c r="L30" s="158"/>
      <c r="M30" s="76"/>
      <c r="N30" s="76"/>
    </row>
    <row r="31" spans="1:14" ht="12.75" x14ac:dyDescent="0.2">
      <c r="C31" s="77"/>
      <c r="E31" s="77"/>
      <c r="H31" s="76"/>
      <c r="I31" s="117"/>
      <c r="J31" s="118"/>
      <c r="K31" s="76"/>
      <c r="L31" s="80"/>
      <c r="M31" s="76"/>
      <c r="N31" s="76"/>
    </row>
    <row r="32" spans="1:14" ht="12.75" x14ac:dyDescent="0.2">
      <c r="B32" s="138" t="s">
        <v>299</v>
      </c>
      <c r="C32" s="148"/>
      <c r="D32" s="138"/>
      <c r="E32" s="148"/>
      <c r="F32" s="138"/>
      <c r="G32" s="138"/>
      <c r="H32" s="137"/>
      <c r="I32" s="150"/>
      <c r="J32" s="151"/>
      <c r="K32" s="137"/>
      <c r="L32" s="158"/>
      <c r="M32" s="76"/>
      <c r="N32" s="76"/>
    </row>
    <row r="33" spans="1:14" ht="12.75" x14ac:dyDescent="0.2">
      <c r="B33" s="138"/>
      <c r="C33" s="148" t="s">
        <v>298</v>
      </c>
      <c r="D33" s="138"/>
      <c r="E33" s="148"/>
      <c r="F33" s="138"/>
      <c r="G33" s="138"/>
      <c r="H33" s="137"/>
      <c r="I33" s="150"/>
      <c r="J33" s="151"/>
      <c r="K33" s="137"/>
      <c r="L33" s="158"/>
      <c r="M33" s="76"/>
      <c r="N33" s="76"/>
    </row>
    <row r="34" spans="1:14" ht="12.75" x14ac:dyDescent="0.2">
      <c r="C34" s="77"/>
      <c r="E34" s="77"/>
      <c r="H34" s="76"/>
      <c r="I34" s="117"/>
      <c r="J34" s="118"/>
      <c r="K34" s="76"/>
      <c r="L34" s="80"/>
      <c r="M34" s="76"/>
      <c r="N34" s="76"/>
    </row>
    <row r="35" spans="1:14" ht="12.75" x14ac:dyDescent="0.2">
      <c r="C35" s="72"/>
      <c r="E35" s="72"/>
      <c r="H35" s="76"/>
      <c r="I35" s="76"/>
      <c r="J35" s="76"/>
      <c r="K35" s="76"/>
      <c r="L35" s="80"/>
      <c r="M35" s="76"/>
      <c r="N35" s="76"/>
    </row>
    <row r="36" spans="1:14" ht="12.75" x14ac:dyDescent="0.2">
      <c r="C36" s="72"/>
      <c r="E36" s="72"/>
      <c r="H36" s="76"/>
      <c r="I36" s="76"/>
      <c r="J36" s="76"/>
      <c r="K36" s="76"/>
      <c r="L36" s="80"/>
      <c r="M36" s="76"/>
      <c r="N36" s="76"/>
    </row>
    <row r="37" spans="1:14" ht="12.75" x14ac:dyDescent="0.2">
      <c r="C37" s="72"/>
      <c r="E37" s="72"/>
      <c r="H37" s="76"/>
      <c r="I37" s="76"/>
      <c r="J37" s="76"/>
      <c r="K37" s="76"/>
      <c r="L37" s="80"/>
      <c r="M37" s="76"/>
      <c r="N37" s="76"/>
    </row>
    <row r="38" spans="1:14" ht="12.75" x14ac:dyDescent="0.2">
      <c r="A38" s="139" t="s">
        <v>246</v>
      </c>
      <c r="B38" s="138"/>
      <c r="C38" s="138" t="s">
        <v>51</v>
      </c>
      <c r="D38" s="140" t="s">
        <v>248</v>
      </c>
      <c r="E38" s="140"/>
      <c r="F38" s="141"/>
      <c r="G38" s="141"/>
      <c r="H38" s="141"/>
      <c r="I38" s="141"/>
      <c r="J38" s="137"/>
      <c r="K38" s="76"/>
      <c r="L38" s="76"/>
      <c r="M38" s="76"/>
      <c r="N38" s="76"/>
    </row>
    <row r="39" spans="1:14" ht="12.75" x14ac:dyDescent="0.2">
      <c r="A39" s="138" t="s">
        <v>145</v>
      </c>
      <c r="B39" s="138" t="s">
        <v>246</v>
      </c>
      <c r="C39" s="136">
        <v>4.59</v>
      </c>
      <c r="D39" s="142">
        <v>1142</v>
      </c>
      <c r="E39" s="140" t="s">
        <v>291</v>
      </c>
      <c r="F39" s="141"/>
      <c r="G39" s="141"/>
      <c r="H39" s="141"/>
      <c r="I39" s="143"/>
      <c r="J39" s="137"/>
      <c r="K39" s="76"/>
      <c r="L39" s="76"/>
      <c r="M39" s="76"/>
      <c r="N39" s="76"/>
    </row>
    <row r="40" spans="1:14" ht="12.75" x14ac:dyDescent="0.2">
      <c r="A40" s="138" t="s">
        <v>151</v>
      </c>
      <c r="B40" s="138"/>
      <c r="C40" s="136">
        <v>0.05</v>
      </c>
      <c r="D40" s="140"/>
      <c r="E40" s="143"/>
      <c r="F40" s="141"/>
      <c r="G40" s="141"/>
      <c r="H40" s="141"/>
      <c r="I40" s="143"/>
      <c r="J40" s="137"/>
      <c r="K40" s="76"/>
      <c r="L40" s="76"/>
      <c r="M40" s="76"/>
      <c r="N40" s="76"/>
    </row>
    <row r="41" spans="1:14" ht="12.75" x14ac:dyDescent="0.2">
      <c r="A41" s="138" t="s">
        <v>146</v>
      </c>
      <c r="B41" s="138"/>
      <c r="C41" s="136">
        <v>1.7000000000000001E-2</v>
      </c>
      <c r="D41" s="140"/>
      <c r="E41" s="143"/>
      <c r="F41" s="141"/>
      <c r="G41" s="141"/>
      <c r="H41" s="141"/>
      <c r="I41" s="143"/>
      <c r="J41" s="137"/>
      <c r="K41" s="76"/>
      <c r="L41" s="76"/>
      <c r="M41" s="76"/>
      <c r="N41" s="76"/>
    </row>
    <row r="42" spans="1:14" ht="12.75" x14ac:dyDescent="0.2">
      <c r="A42" s="138" t="s">
        <v>147</v>
      </c>
      <c r="B42" s="138"/>
      <c r="C42" s="136">
        <v>2.2000000000000001E-3</v>
      </c>
      <c r="D42" s="140"/>
      <c r="E42" s="143"/>
      <c r="F42" s="141"/>
      <c r="G42" s="141"/>
      <c r="H42" s="141"/>
      <c r="I42" s="144"/>
      <c r="J42" s="137"/>
      <c r="K42" s="76"/>
      <c r="L42" s="76"/>
      <c r="M42" s="76"/>
      <c r="N42" s="76"/>
    </row>
    <row r="43" spans="1:14" ht="12.75" x14ac:dyDescent="0.2">
      <c r="A43" s="138" t="s">
        <v>148</v>
      </c>
      <c r="B43" s="138"/>
      <c r="C43" s="145">
        <v>2.8199999999999999E-2</v>
      </c>
      <c r="D43" s="140">
        <f>ROUND(+D39*(1-C43),0)</f>
        <v>1110</v>
      </c>
      <c r="E43" s="144" t="s">
        <v>292</v>
      </c>
      <c r="F43" s="141"/>
      <c r="G43" s="141"/>
      <c r="H43" s="141"/>
      <c r="I43" s="143"/>
      <c r="J43" s="137"/>
      <c r="K43" s="76"/>
      <c r="L43" s="76"/>
      <c r="M43" s="76"/>
      <c r="N43" s="76"/>
    </row>
    <row r="44" spans="1:14" ht="12.75" x14ac:dyDescent="0.2">
      <c r="A44" s="138" t="s">
        <v>149</v>
      </c>
      <c r="B44" s="138"/>
      <c r="C44" s="146">
        <f>ROUND((+C39+C40)/(1-C43)+(C41+C42),4)-C39-C40</f>
        <v>0.15380000000000021</v>
      </c>
      <c r="D44" s="140"/>
      <c r="E44" s="143"/>
      <c r="F44" s="141"/>
      <c r="G44" s="141"/>
      <c r="H44" s="141"/>
      <c r="I44" s="143"/>
      <c r="J44" s="137"/>
      <c r="K44" s="76"/>
      <c r="L44" s="80"/>
      <c r="M44" s="76"/>
      <c r="N44" s="76"/>
    </row>
    <row r="45" spans="1:14" ht="13.5" thickBot="1" x14ac:dyDescent="0.25">
      <c r="A45" s="138"/>
      <c r="B45" s="138"/>
      <c r="C45" s="147">
        <f>SUM(C39,C40,C44)</f>
        <v>4.7938000000000001</v>
      </c>
      <c r="D45" s="140"/>
      <c r="E45" s="143"/>
      <c r="F45" s="141"/>
      <c r="G45" s="141"/>
      <c r="H45" s="141"/>
      <c r="I45" s="143"/>
      <c r="J45" s="137"/>
      <c r="K45" s="76"/>
      <c r="L45" s="80"/>
      <c r="M45" s="76"/>
      <c r="N45" s="76"/>
    </row>
    <row r="46" spans="1:14" ht="13.5" thickTop="1" x14ac:dyDescent="0.2">
      <c r="A46" s="138" t="s">
        <v>231</v>
      </c>
      <c r="B46" s="138"/>
      <c r="C46" s="138"/>
      <c r="D46" s="140"/>
      <c r="E46" s="143"/>
      <c r="F46" s="140"/>
      <c r="G46" s="140"/>
      <c r="H46" s="141"/>
      <c r="I46" s="141"/>
      <c r="J46" s="137"/>
      <c r="K46" s="76"/>
      <c r="L46" s="80"/>
      <c r="M46" s="76"/>
      <c r="N46" s="76"/>
    </row>
    <row r="47" spans="1:14" ht="12.75" x14ac:dyDescent="0.2">
      <c r="A47" s="138"/>
      <c r="B47" s="138"/>
      <c r="C47" s="148"/>
      <c r="D47" s="138"/>
      <c r="E47" s="148"/>
      <c r="F47" s="138"/>
      <c r="G47" s="138"/>
      <c r="H47" s="137"/>
      <c r="I47" s="137"/>
      <c r="J47" s="137"/>
      <c r="K47" s="76"/>
      <c r="L47" s="80"/>
      <c r="M47" s="76"/>
      <c r="N47" s="76"/>
    </row>
    <row r="48" spans="1:14" ht="12.75" x14ac:dyDescent="0.2">
      <c r="A48" s="138" t="s">
        <v>293</v>
      </c>
      <c r="B48" s="138"/>
      <c r="C48" s="149"/>
      <c r="D48" s="138"/>
      <c r="E48" s="149"/>
      <c r="F48" s="138"/>
      <c r="G48" s="138"/>
      <c r="H48" s="137"/>
      <c r="I48" s="137"/>
      <c r="J48" s="137"/>
      <c r="K48" s="76"/>
      <c r="L48" s="80"/>
      <c r="M48" s="76"/>
      <c r="N48" s="76"/>
    </row>
    <row r="49" spans="1:14" ht="12.75" x14ac:dyDescent="0.2">
      <c r="A49" s="138"/>
      <c r="B49" s="138" t="s">
        <v>294</v>
      </c>
      <c r="C49" s="136"/>
      <c r="D49" s="138"/>
      <c r="E49" s="138"/>
      <c r="F49" s="138"/>
      <c r="G49" s="138"/>
      <c r="H49" s="137"/>
      <c r="I49" s="137"/>
      <c r="J49" s="137"/>
      <c r="K49" s="76"/>
      <c r="L49" s="80"/>
      <c r="M49" s="76"/>
      <c r="N49" s="76"/>
    </row>
    <row r="50" spans="1:14" ht="12.75" x14ac:dyDescent="0.2">
      <c r="A50" s="137"/>
      <c r="B50" s="137" t="s">
        <v>247</v>
      </c>
      <c r="C50" s="137"/>
      <c r="D50" s="137"/>
      <c r="E50" s="137"/>
      <c r="F50" s="137"/>
      <c r="G50" s="137"/>
      <c r="H50" s="137"/>
      <c r="I50" s="137"/>
      <c r="J50" s="137"/>
      <c r="K50" s="76"/>
      <c r="L50" s="76"/>
      <c r="M50" s="76"/>
      <c r="N50" s="76"/>
    </row>
    <row r="51" spans="1:14" ht="12.75" x14ac:dyDescent="0.2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</row>
    <row r="52" spans="1:14" ht="12.75" x14ac:dyDescent="0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</row>
    <row r="53" spans="1:14" ht="12.75" x14ac:dyDescent="0.2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</row>
    <row r="54" spans="1:14" ht="12.75" x14ac:dyDescent="0.2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</row>
    <row r="55" spans="1:14" ht="12.75" x14ac:dyDescent="0.2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</row>
    <row r="56" spans="1:14" ht="12.75" x14ac:dyDescent="0.2">
      <c r="A56" s="66" t="s">
        <v>177</v>
      </c>
      <c r="C56" s="88" t="s">
        <v>76</v>
      </c>
      <c r="E56" s="88" t="s">
        <v>178</v>
      </c>
      <c r="G56" s="76"/>
      <c r="H56" s="76"/>
      <c r="I56" s="76"/>
      <c r="J56" s="76"/>
      <c r="K56" s="76"/>
      <c r="L56" s="76"/>
      <c r="M56" s="76"/>
      <c r="N56" s="76"/>
    </row>
    <row r="57" spans="1:14" ht="12.75" x14ac:dyDescent="0.2">
      <c r="A57" s="62" t="s">
        <v>145</v>
      </c>
      <c r="B57" s="62" t="s">
        <v>52</v>
      </c>
      <c r="C57" s="64">
        <v>4.5599999999999996</v>
      </c>
      <c r="E57" s="64">
        <v>4.5599999999999996</v>
      </c>
      <c r="G57" s="76"/>
      <c r="H57" s="76"/>
      <c r="I57" s="76"/>
      <c r="J57" s="76"/>
      <c r="K57" s="76"/>
      <c r="L57" s="76"/>
      <c r="M57" s="76"/>
      <c r="N57" s="76"/>
    </row>
    <row r="58" spans="1:14" ht="12.75" x14ac:dyDescent="0.2">
      <c r="A58" s="62" t="s">
        <v>151</v>
      </c>
      <c r="C58" s="64">
        <v>2.75E-2</v>
      </c>
      <c r="E58" s="64">
        <v>2.75E-2</v>
      </c>
      <c r="G58" s="76"/>
      <c r="H58" s="76"/>
      <c r="I58" s="76"/>
      <c r="J58" s="76"/>
      <c r="K58" s="76"/>
      <c r="L58" s="76"/>
      <c r="M58" s="76"/>
      <c r="N58" s="76"/>
    </row>
    <row r="59" spans="1:14" ht="12.75" x14ac:dyDescent="0.2">
      <c r="A59" s="62" t="s">
        <v>146</v>
      </c>
      <c r="C59" s="64">
        <v>9.1999999999999998E-3</v>
      </c>
      <c r="E59" s="64">
        <v>0.2127</v>
      </c>
      <c r="G59" s="76"/>
      <c r="H59" s="76"/>
      <c r="I59" s="76"/>
      <c r="J59" s="76"/>
      <c r="K59" s="76"/>
      <c r="L59" s="76"/>
      <c r="M59" s="76"/>
      <c r="N59" s="76"/>
    </row>
    <row r="60" spans="1:14" ht="12.75" x14ac:dyDescent="0.2">
      <c r="A60" s="62" t="s">
        <v>147</v>
      </c>
      <c r="C60" s="64">
        <v>9.4000000000000004E-3</v>
      </c>
      <c r="E60" s="64">
        <v>9.4000000000000004E-3</v>
      </c>
      <c r="F60" s="76"/>
      <c r="G60" s="76"/>
      <c r="H60" s="76"/>
      <c r="I60" s="76"/>
      <c r="J60" s="76"/>
      <c r="K60" s="76"/>
      <c r="L60" s="76"/>
      <c r="M60" s="76"/>
      <c r="N60" s="76"/>
    </row>
    <row r="61" spans="1:14" ht="12.75" x14ac:dyDescent="0.2">
      <c r="A61" s="62" t="s">
        <v>148</v>
      </c>
      <c r="C61" s="95">
        <v>0.03</v>
      </c>
      <c r="E61" s="95">
        <v>0.03</v>
      </c>
      <c r="F61" s="76"/>
      <c r="G61" s="76"/>
      <c r="H61" s="76"/>
      <c r="I61" s="76"/>
      <c r="J61" s="76"/>
      <c r="K61" s="76"/>
      <c r="L61" s="76"/>
      <c r="M61" s="76"/>
      <c r="N61" s="76"/>
    </row>
    <row r="62" spans="1:14" ht="12.75" x14ac:dyDescent="0.2">
      <c r="A62" s="62" t="s">
        <v>149</v>
      </c>
      <c r="C62" s="96">
        <f>ROUND((+C57+C58)/(1-C61)-(C57+C58)+C59+C60,4)</f>
        <v>0.1605</v>
      </c>
      <c r="E62" s="96">
        <f>ROUND((+E57+E58)/(1-E61)-(E57+E58)+E59+E60,4)</f>
        <v>0.36399999999999999</v>
      </c>
      <c r="F62" s="76"/>
      <c r="G62" s="76"/>
      <c r="H62" s="76"/>
      <c r="I62" s="76"/>
      <c r="J62" s="76"/>
      <c r="K62" s="76"/>
      <c r="L62" s="76"/>
      <c r="M62" s="76"/>
      <c r="N62" s="76"/>
    </row>
    <row r="63" spans="1:14" ht="13.5" thickBot="1" x14ac:dyDescent="0.25">
      <c r="A63" s="62" t="s">
        <v>150</v>
      </c>
      <c r="C63" s="87">
        <f>SUM(C62,C57:C58)</f>
        <v>4.7479999999999993</v>
      </c>
      <c r="E63" s="87">
        <f>SUM(E62,E57:E58)</f>
        <v>4.9514999999999993</v>
      </c>
      <c r="F63" s="76"/>
      <c r="G63" s="76"/>
      <c r="H63" s="76"/>
      <c r="I63" s="76"/>
      <c r="J63" s="76"/>
      <c r="K63" s="76"/>
      <c r="L63" s="76"/>
      <c r="M63" s="76"/>
      <c r="N63" s="76"/>
    </row>
    <row r="64" spans="1:14" ht="13.5" thickTop="1" x14ac:dyDescent="0.2">
      <c r="F64" s="76"/>
      <c r="G64" s="76"/>
      <c r="H64" s="76"/>
      <c r="I64" s="76"/>
      <c r="J64" s="76"/>
      <c r="K64" s="76"/>
      <c r="L64" s="76"/>
      <c r="M64" s="76"/>
      <c r="N64" s="76"/>
    </row>
    <row r="65" spans="1:14" ht="12.75" x14ac:dyDescent="0.2">
      <c r="A65" s="62" t="s">
        <v>211</v>
      </c>
      <c r="F65" s="76"/>
      <c r="G65" s="76"/>
      <c r="H65" s="76"/>
      <c r="I65" s="76"/>
      <c r="J65" s="76"/>
      <c r="K65" s="76"/>
      <c r="L65" s="76"/>
      <c r="M65" s="76"/>
      <c r="N65" s="76"/>
    </row>
    <row r="66" spans="1:14" ht="12.75" x14ac:dyDescent="0.2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</row>
    <row r="67" spans="1:14" ht="12.75" x14ac:dyDescent="0.2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</row>
    <row r="68" spans="1:14" ht="12.75" x14ac:dyDescent="0.2">
      <c r="A68" s="66" t="s">
        <v>179</v>
      </c>
      <c r="F68" s="76"/>
      <c r="G68" s="76"/>
      <c r="H68" s="76"/>
      <c r="I68" s="76"/>
      <c r="J68" s="76"/>
      <c r="K68" s="76"/>
      <c r="L68" s="76"/>
      <c r="M68" s="76"/>
      <c r="N68" s="76"/>
    </row>
    <row r="69" spans="1:14" ht="12.75" x14ac:dyDescent="0.2">
      <c r="A69" s="62" t="s">
        <v>145</v>
      </c>
      <c r="B69" s="62" t="s">
        <v>138</v>
      </c>
      <c r="C69" s="64">
        <v>4.29</v>
      </c>
      <c r="F69" s="76"/>
      <c r="G69" s="76"/>
      <c r="H69" s="76"/>
      <c r="I69" s="76"/>
      <c r="J69" s="76"/>
      <c r="K69" s="76"/>
      <c r="L69" s="76"/>
      <c r="M69" s="76"/>
      <c r="N69" s="76"/>
    </row>
    <row r="70" spans="1:14" ht="12.75" x14ac:dyDescent="0.2">
      <c r="A70" s="62" t="s">
        <v>151</v>
      </c>
      <c r="C70" s="64">
        <v>0.01</v>
      </c>
      <c r="F70" s="76"/>
      <c r="G70" s="76"/>
      <c r="H70" s="76"/>
      <c r="I70" s="76"/>
      <c r="J70" s="76"/>
      <c r="K70" s="76"/>
      <c r="L70" s="76"/>
      <c r="M70" s="76"/>
      <c r="N70" s="76"/>
    </row>
    <row r="71" spans="1:14" ht="12.75" x14ac:dyDescent="0.2">
      <c r="A71" s="62" t="s">
        <v>146</v>
      </c>
      <c r="C71" s="64">
        <v>0.11260000000000001</v>
      </c>
      <c r="F71" s="76"/>
      <c r="G71" s="76"/>
      <c r="H71" s="76"/>
      <c r="I71" s="76"/>
      <c r="J71" s="76"/>
      <c r="K71" s="76"/>
      <c r="L71" s="76"/>
      <c r="M71" s="76"/>
      <c r="N71" s="76"/>
    </row>
    <row r="72" spans="1:14" ht="12.75" x14ac:dyDescent="0.2">
      <c r="A72" s="62" t="s">
        <v>147</v>
      </c>
      <c r="C72" s="64">
        <v>9.4000000000000004E-3</v>
      </c>
      <c r="F72" s="76"/>
      <c r="G72" s="76"/>
      <c r="H72" s="76"/>
      <c r="I72" s="76"/>
      <c r="J72" s="76"/>
      <c r="K72" s="76"/>
      <c r="L72" s="76"/>
      <c r="M72" s="76"/>
      <c r="N72" s="76"/>
    </row>
    <row r="73" spans="1:14" ht="12.75" x14ac:dyDescent="0.2">
      <c r="A73" s="62" t="s">
        <v>148</v>
      </c>
      <c r="C73" s="95">
        <v>5.9700000000000003E-2</v>
      </c>
      <c r="F73" s="76"/>
      <c r="G73" s="76"/>
      <c r="H73" s="76"/>
      <c r="I73" s="76"/>
      <c r="J73" s="76"/>
      <c r="K73" s="76"/>
      <c r="L73" s="76"/>
      <c r="M73" s="76"/>
      <c r="N73" s="76"/>
    </row>
    <row r="74" spans="1:14" ht="12.75" x14ac:dyDescent="0.2">
      <c r="A74" s="62" t="s">
        <v>149</v>
      </c>
      <c r="C74" s="96">
        <f>ROUND((+C69+C70)/(1-C73)-(C69+C70)+C71+C72,4)</f>
        <v>0.39500000000000002</v>
      </c>
      <c r="F74" s="76"/>
      <c r="G74" s="76"/>
      <c r="H74" s="76"/>
      <c r="I74" s="76"/>
      <c r="J74" s="76"/>
      <c r="K74" s="76"/>
      <c r="L74" s="76"/>
      <c r="M74" s="76"/>
      <c r="N74" s="76"/>
    </row>
    <row r="75" spans="1:14" ht="13.5" thickBot="1" x14ac:dyDescent="0.25">
      <c r="C75" s="87">
        <f>SUM(C74,C69:C70)</f>
        <v>4.6950000000000003</v>
      </c>
      <c r="D75" s="62" t="s">
        <v>232</v>
      </c>
      <c r="F75" s="76"/>
      <c r="G75" s="76"/>
      <c r="H75" s="76"/>
      <c r="I75" s="76"/>
      <c r="J75" s="76"/>
      <c r="K75" s="76"/>
      <c r="L75" s="76"/>
      <c r="M75" s="76"/>
      <c r="N75" s="76"/>
    </row>
    <row r="76" spans="1:14" ht="13.5" thickTop="1" x14ac:dyDescent="0.2">
      <c r="E76" s="76"/>
      <c r="F76" s="76"/>
      <c r="G76" s="76"/>
      <c r="H76" s="76"/>
      <c r="I76" s="76"/>
      <c r="J76" s="76"/>
      <c r="K76" s="76"/>
      <c r="L76" s="76"/>
      <c r="M76" s="76"/>
      <c r="N76" s="76"/>
    </row>
    <row r="77" spans="1:14" ht="12.75" x14ac:dyDescent="0.2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</row>
    <row r="78" spans="1:14" ht="12.75" x14ac:dyDescent="0.2">
      <c r="A78" s="66" t="s">
        <v>180</v>
      </c>
      <c r="E78" s="76"/>
      <c r="F78" s="76"/>
      <c r="G78" s="76"/>
      <c r="H78" s="76"/>
      <c r="I78" s="76"/>
      <c r="J78" s="76"/>
      <c r="K78" s="76"/>
      <c r="L78" s="76"/>
      <c r="M78" s="76"/>
      <c r="N78" s="76"/>
    </row>
    <row r="79" spans="1:14" ht="12.75" x14ac:dyDescent="0.2">
      <c r="A79" s="62" t="s">
        <v>145</v>
      </c>
      <c r="B79" s="62" t="s">
        <v>181</v>
      </c>
      <c r="C79" s="64">
        <v>4.3</v>
      </c>
      <c r="E79" s="76"/>
      <c r="F79" s="76"/>
      <c r="G79" s="76"/>
      <c r="H79" s="76"/>
      <c r="I79" s="76"/>
      <c r="J79" s="76"/>
      <c r="K79" s="76"/>
      <c r="L79" s="76"/>
      <c r="M79" s="76"/>
      <c r="N79" s="76"/>
    </row>
    <row r="80" spans="1:14" ht="12.75" x14ac:dyDescent="0.2">
      <c r="A80" s="62" t="s">
        <v>151</v>
      </c>
      <c r="C80" s="64">
        <v>0.01</v>
      </c>
      <c r="E80" s="76"/>
      <c r="F80" s="76"/>
      <c r="G80" s="76"/>
      <c r="H80" s="76"/>
      <c r="I80" s="76"/>
      <c r="J80" s="76"/>
      <c r="K80" s="76"/>
      <c r="L80" s="76"/>
      <c r="M80" s="76"/>
      <c r="N80" s="76"/>
    </row>
    <row r="81" spans="1:14" ht="12.75" x14ac:dyDescent="0.2">
      <c r="A81" s="62" t="s">
        <v>146</v>
      </c>
      <c r="C81" s="64">
        <v>0.1012</v>
      </c>
      <c r="E81" s="76"/>
      <c r="F81" s="76"/>
      <c r="G81" s="76"/>
      <c r="H81" s="76"/>
      <c r="I81" s="76"/>
      <c r="J81" s="76"/>
      <c r="K81" s="76"/>
      <c r="L81" s="76"/>
      <c r="M81" s="76"/>
      <c r="N81" s="76"/>
    </row>
    <row r="82" spans="1:14" ht="12.75" x14ac:dyDescent="0.2">
      <c r="A82" s="62" t="s">
        <v>147</v>
      </c>
      <c r="C82" s="64">
        <v>9.4000000000000004E-3</v>
      </c>
      <c r="E82" s="76"/>
      <c r="F82" s="76"/>
      <c r="G82" s="76"/>
      <c r="H82" s="76"/>
      <c r="I82" s="76"/>
      <c r="J82" s="76"/>
      <c r="K82" s="76"/>
      <c r="L82" s="76"/>
      <c r="M82" s="76"/>
      <c r="N82" s="76"/>
    </row>
    <row r="83" spans="1:14" ht="12.75" x14ac:dyDescent="0.2">
      <c r="A83" s="62" t="s">
        <v>148</v>
      </c>
      <c r="C83" s="95">
        <v>7.0499999999999993E-2</v>
      </c>
      <c r="E83" s="76"/>
      <c r="F83" s="76"/>
      <c r="G83" s="76"/>
      <c r="H83" s="76"/>
      <c r="I83" s="76"/>
      <c r="J83" s="76"/>
      <c r="K83" s="76"/>
      <c r="L83" s="76"/>
      <c r="M83" s="76"/>
      <c r="N83" s="76"/>
    </row>
    <row r="84" spans="1:14" ht="12.75" x14ac:dyDescent="0.2">
      <c r="A84" s="62" t="s">
        <v>149</v>
      </c>
      <c r="C84" s="96">
        <f>ROUND((+C79+C80)/(1-C83)-(C79+C80)+C81+C82,4)</f>
        <v>0.4375</v>
      </c>
      <c r="D84" s="62" t="s">
        <v>209</v>
      </c>
      <c r="E84" s="76"/>
      <c r="F84" s="76"/>
      <c r="G84" s="76"/>
      <c r="H84" s="76"/>
      <c r="I84" s="76"/>
      <c r="J84" s="76"/>
      <c r="K84" s="76"/>
      <c r="L84" s="76"/>
      <c r="M84" s="76"/>
      <c r="N84" s="76"/>
    </row>
    <row r="85" spans="1:14" ht="13.5" thickBot="1" x14ac:dyDescent="0.25">
      <c r="C85" s="87">
        <f>SUM(C84,C79:C80)</f>
        <v>4.7474999999999996</v>
      </c>
      <c r="D85" s="62" t="s">
        <v>210</v>
      </c>
      <c r="E85" s="76"/>
      <c r="F85" s="76"/>
      <c r="G85" s="76"/>
      <c r="H85" s="76"/>
      <c r="I85" s="76"/>
      <c r="J85" s="76"/>
      <c r="K85" s="76"/>
      <c r="L85" s="76"/>
      <c r="M85" s="76"/>
      <c r="N85" s="76"/>
    </row>
    <row r="86" spans="1:14" ht="13.5" thickTop="1" x14ac:dyDescent="0.2">
      <c r="E86" s="76"/>
      <c r="F86" s="76"/>
      <c r="G86" s="76"/>
      <c r="H86" s="76"/>
      <c r="I86" s="76"/>
      <c r="J86" s="76"/>
      <c r="K86" s="76"/>
      <c r="L86" s="76"/>
      <c r="M86" s="76"/>
      <c r="N86" s="76"/>
    </row>
    <row r="87" spans="1:14" ht="12.75" x14ac:dyDescent="0.2">
      <c r="A87" s="62" t="s">
        <v>208</v>
      </c>
      <c r="E87" s="76"/>
      <c r="F87" s="76"/>
      <c r="G87" s="76"/>
      <c r="H87" s="76"/>
      <c r="I87" s="76"/>
      <c r="J87" s="76"/>
      <c r="K87" s="76"/>
      <c r="L87" s="76"/>
      <c r="M87" s="76"/>
      <c r="N87" s="76"/>
    </row>
    <row r="88" spans="1:14" ht="12.75" x14ac:dyDescent="0.2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</row>
    <row r="89" spans="1:14" ht="12.75" x14ac:dyDescent="0.2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</row>
    <row r="90" spans="1:14" ht="12.75" x14ac:dyDescent="0.2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</row>
    <row r="91" spans="1:14" ht="12.75" x14ac:dyDescent="0.2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</row>
    <row r="92" spans="1:14" ht="12.75" x14ac:dyDescent="0.2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</row>
    <row r="93" spans="1:14" ht="12.75" x14ac:dyDescent="0.2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</row>
    <row r="94" spans="1:14" ht="12.75" x14ac:dyDescent="0.2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</row>
    <row r="95" spans="1:14" ht="12.75" x14ac:dyDescent="0.2">
      <c r="A95" s="65" t="s">
        <v>32</v>
      </c>
      <c r="G95" s="25"/>
      <c r="H95" s="25"/>
    </row>
    <row r="96" spans="1:14" ht="12.75" x14ac:dyDescent="0.2">
      <c r="D96" s="79"/>
      <c r="F96" s="78"/>
      <c r="G96" s="25"/>
    </row>
    <row r="97" spans="1:14" x14ac:dyDescent="0.2">
      <c r="A97" s="62" t="s">
        <v>144</v>
      </c>
      <c r="E97" s="67"/>
      <c r="F97" s="67"/>
      <c r="G97" s="67"/>
      <c r="H97" s="67"/>
      <c r="I97" s="67"/>
      <c r="J97" s="67"/>
      <c r="K97" s="67"/>
      <c r="L97" s="67"/>
    </row>
    <row r="98" spans="1:14" ht="12.75" x14ac:dyDescent="0.2">
      <c r="A98" s="62" t="s">
        <v>145</v>
      </c>
      <c r="B98" s="62" t="s">
        <v>129</v>
      </c>
      <c r="C98" s="64">
        <v>4.3600000000000003</v>
      </c>
      <c r="E98" s="67"/>
      <c r="F98" s="67"/>
      <c r="G98" s="68"/>
      <c r="H98" s="67"/>
      <c r="I98" s="67"/>
      <c r="J98" s="67"/>
      <c r="K98" s="68"/>
      <c r="L98" s="34"/>
    </row>
    <row r="99" spans="1:14" ht="12.75" x14ac:dyDescent="0.2">
      <c r="C99" s="64">
        <v>7.4999999999999997E-3</v>
      </c>
      <c r="E99" s="67"/>
      <c r="F99" s="67"/>
      <c r="G99" s="68"/>
      <c r="H99" s="67"/>
      <c r="I99" s="67"/>
      <c r="J99" s="67"/>
      <c r="K99" s="68"/>
      <c r="L99" s="34"/>
    </row>
    <row r="100" spans="1:14" ht="12.75" x14ac:dyDescent="0.2">
      <c r="A100" s="62" t="s">
        <v>146</v>
      </c>
      <c r="B100" s="25"/>
      <c r="C100" s="64">
        <v>2.7400000000000001E-2</v>
      </c>
      <c r="E100" s="67"/>
      <c r="F100" s="34"/>
      <c r="G100" s="68"/>
      <c r="H100" s="67"/>
      <c r="I100" s="67"/>
      <c r="J100" s="34"/>
      <c r="K100" s="68"/>
      <c r="L100" s="34"/>
    </row>
    <row r="101" spans="1:14" ht="12.75" x14ac:dyDescent="0.2">
      <c r="A101" s="62" t="s">
        <v>147</v>
      </c>
      <c r="B101" s="25"/>
      <c r="C101" s="64">
        <v>2.2499999999999999E-2</v>
      </c>
      <c r="E101" s="67"/>
      <c r="F101" s="34"/>
      <c r="G101" s="68"/>
      <c r="H101" s="67"/>
      <c r="I101" s="67"/>
      <c r="J101" s="34"/>
      <c r="K101" s="68"/>
      <c r="L101" s="34"/>
    </row>
    <row r="102" spans="1:14" ht="12.75" x14ac:dyDescent="0.2">
      <c r="A102" s="62" t="s">
        <v>148</v>
      </c>
      <c r="B102" s="75"/>
      <c r="C102" s="95">
        <v>4.7199999999999999E-2</v>
      </c>
      <c r="E102" s="67"/>
      <c r="F102" s="73"/>
      <c r="G102" s="69"/>
      <c r="H102" s="67"/>
      <c r="I102" s="67"/>
      <c r="J102" s="73"/>
      <c r="K102" s="69"/>
      <c r="L102" s="34"/>
    </row>
    <row r="103" spans="1:14" ht="12.75" x14ac:dyDescent="0.2">
      <c r="A103" s="62" t="s">
        <v>149</v>
      </c>
      <c r="C103" s="96">
        <f>ROUND((+C98+C99)/(1-C102)+(C100+C101),4)-C98-C99</f>
        <v>0.26629999999999959</v>
      </c>
      <c r="E103" s="67"/>
      <c r="F103" s="67"/>
      <c r="G103" s="68"/>
      <c r="H103" s="67"/>
      <c r="I103" s="67"/>
      <c r="J103" s="67"/>
      <c r="K103" s="68"/>
      <c r="L103" s="34"/>
    </row>
    <row r="104" spans="1:14" ht="13.5" thickBot="1" x14ac:dyDescent="0.25">
      <c r="C104" s="87">
        <f>SUM(C103,C98:C99)</f>
        <v>4.6337999999999999</v>
      </c>
      <c r="D104" s="62" t="s">
        <v>214</v>
      </c>
      <c r="E104" s="67"/>
      <c r="F104" s="67"/>
      <c r="G104" s="67"/>
      <c r="H104" s="67"/>
      <c r="I104" s="67"/>
      <c r="J104" s="67"/>
      <c r="K104" s="67"/>
      <c r="L104" s="34"/>
      <c r="M104" s="63"/>
      <c r="N104" s="64"/>
    </row>
    <row r="105" spans="1:14" ht="13.5" thickTop="1" x14ac:dyDescent="0.2">
      <c r="B105" s="25"/>
      <c r="C105" s="64"/>
      <c r="G105" s="63"/>
      <c r="H105" s="74"/>
    </row>
    <row r="106" spans="1:14" ht="12.75" x14ac:dyDescent="0.2">
      <c r="K106" s="25"/>
      <c r="L106" s="64"/>
    </row>
    <row r="107" spans="1:14" ht="12.75" x14ac:dyDescent="0.2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</row>
    <row r="108" spans="1:14" x14ac:dyDescent="0.2">
      <c r="A108" s="62" t="s">
        <v>182</v>
      </c>
      <c r="E108" s="67"/>
      <c r="F108" s="67"/>
      <c r="G108" s="67"/>
      <c r="H108" s="67"/>
      <c r="I108" s="67"/>
      <c r="J108" s="67"/>
      <c r="K108" s="67"/>
      <c r="L108" s="67"/>
    </row>
    <row r="109" spans="1:14" ht="12.75" x14ac:dyDescent="0.2">
      <c r="A109" s="62" t="s">
        <v>145</v>
      </c>
      <c r="B109" s="62" t="s">
        <v>129</v>
      </c>
      <c r="C109" s="64">
        <v>4.3600000000000003</v>
      </c>
      <c r="E109" s="67"/>
      <c r="F109" s="67"/>
      <c r="G109" s="68"/>
      <c r="H109" s="67"/>
      <c r="I109" s="67"/>
      <c r="J109" s="67"/>
      <c r="K109" s="68"/>
      <c r="L109" s="34"/>
    </row>
    <row r="110" spans="1:14" ht="12.75" x14ac:dyDescent="0.2">
      <c r="C110" s="64">
        <v>7.4999999999999997E-3</v>
      </c>
      <c r="E110" s="67"/>
      <c r="F110" s="67"/>
      <c r="G110" s="68"/>
      <c r="H110" s="67"/>
      <c r="I110" s="67"/>
      <c r="J110" s="67"/>
      <c r="K110" s="68"/>
      <c r="L110" s="34"/>
    </row>
    <row r="111" spans="1:14" ht="12.75" x14ac:dyDescent="0.2">
      <c r="A111" s="62" t="s">
        <v>146</v>
      </c>
      <c r="B111" s="25"/>
      <c r="C111" s="64">
        <v>1.4E-2</v>
      </c>
      <c r="E111" s="67"/>
      <c r="F111" s="34"/>
      <c r="G111" s="68"/>
      <c r="H111" s="67"/>
      <c r="I111" s="67"/>
      <c r="J111" s="34"/>
      <c r="K111" s="68"/>
      <c r="L111" s="34"/>
    </row>
    <row r="112" spans="1:14" ht="12.75" x14ac:dyDescent="0.2">
      <c r="A112" s="62" t="s">
        <v>147</v>
      </c>
      <c r="B112" s="25"/>
      <c r="C112" s="64">
        <v>2.2499999999999999E-2</v>
      </c>
      <c r="E112" s="67"/>
      <c r="F112" s="34"/>
      <c r="G112" s="68"/>
      <c r="H112" s="67"/>
      <c r="I112" s="67"/>
      <c r="J112" s="34"/>
      <c r="K112" s="68"/>
      <c r="L112" s="34"/>
    </row>
    <row r="113" spans="1:14" ht="12.75" x14ac:dyDescent="0.2">
      <c r="A113" s="62" t="s">
        <v>148</v>
      </c>
      <c r="B113" s="75"/>
      <c r="C113" s="95">
        <v>2.35E-2</v>
      </c>
      <c r="E113" s="67"/>
      <c r="F113" s="73"/>
      <c r="G113" s="69"/>
      <c r="H113" s="67"/>
      <c r="I113" s="67"/>
      <c r="J113" s="73"/>
      <c r="K113" s="69"/>
      <c r="L113" s="34"/>
    </row>
    <row r="114" spans="1:14" ht="12.75" x14ac:dyDescent="0.2">
      <c r="A114" s="62" t="s">
        <v>149</v>
      </c>
      <c r="C114" s="96">
        <f>ROUND((+C109+C110)/(1-C113)+(C111+C112),4)-C109-C110</f>
        <v>0.14159999999999978</v>
      </c>
      <c r="E114" s="67"/>
      <c r="F114" s="67"/>
      <c r="G114" s="68"/>
      <c r="H114" s="67"/>
      <c r="I114" s="67"/>
      <c r="J114" s="67"/>
      <c r="K114" s="68"/>
      <c r="L114" s="34"/>
    </row>
    <row r="115" spans="1:14" ht="13.5" thickBot="1" x14ac:dyDescent="0.25">
      <c r="C115" s="87">
        <f>SUM(C114,C109:C110)</f>
        <v>4.5091000000000001</v>
      </c>
      <c r="D115" s="62" t="s">
        <v>212</v>
      </c>
      <c r="E115" s="67"/>
      <c r="F115" s="67"/>
      <c r="G115" s="67"/>
      <c r="H115" s="67"/>
      <c r="I115" s="67"/>
      <c r="J115" s="67"/>
      <c r="K115" s="67"/>
      <c r="L115" s="34"/>
      <c r="M115" s="63"/>
      <c r="N115" s="64"/>
    </row>
    <row r="116" spans="1:14" ht="13.5" thickTop="1" x14ac:dyDescent="0.2">
      <c r="B116" s="25"/>
      <c r="C116" s="64"/>
      <c r="G116" s="63"/>
      <c r="H116" s="74"/>
    </row>
    <row r="117" spans="1:14" ht="12.75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</row>
    <row r="118" spans="1:14" ht="12.75" x14ac:dyDescent="0.2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</row>
    <row r="119" spans="1:14" x14ac:dyDescent="0.2">
      <c r="A119" s="62" t="s">
        <v>183</v>
      </c>
      <c r="I119" s="62" t="s">
        <v>184</v>
      </c>
    </row>
    <row r="120" spans="1:14" ht="12.75" x14ac:dyDescent="0.2">
      <c r="A120" s="62" t="s">
        <v>145</v>
      </c>
      <c r="B120" s="62" t="s">
        <v>185</v>
      </c>
      <c r="C120" s="64">
        <v>4.37</v>
      </c>
      <c r="I120" s="62" t="s">
        <v>145</v>
      </c>
      <c r="J120" s="62" t="s">
        <v>185</v>
      </c>
      <c r="K120" s="64">
        <v>4.37</v>
      </c>
      <c r="L120" s="25"/>
    </row>
    <row r="121" spans="1:14" ht="12.75" x14ac:dyDescent="0.2">
      <c r="A121" s="62" t="s">
        <v>151</v>
      </c>
      <c r="C121" s="64">
        <v>1.7500000000000002E-2</v>
      </c>
      <c r="K121" s="64">
        <v>1.7500000000000002E-2</v>
      </c>
      <c r="L121" s="25"/>
    </row>
    <row r="122" spans="1:14" ht="12.75" x14ac:dyDescent="0.2">
      <c r="A122" s="62" t="s">
        <v>146</v>
      </c>
      <c r="B122" s="25"/>
      <c r="C122" s="64">
        <v>1.15E-2</v>
      </c>
      <c r="I122" s="62" t="s">
        <v>146</v>
      </c>
      <c r="J122" s="25"/>
      <c r="K122" s="64">
        <v>2.3E-3</v>
      </c>
      <c r="L122" s="25"/>
    </row>
    <row r="123" spans="1:14" ht="12.75" x14ac:dyDescent="0.2">
      <c r="A123" s="62" t="s">
        <v>147</v>
      </c>
      <c r="B123" s="25"/>
      <c r="C123" s="64">
        <v>9.4000000000000004E-3</v>
      </c>
      <c r="D123" s="62" t="s">
        <v>186</v>
      </c>
      <c r="I123" s="62" t="s">
        <v>147</v>
      </c>
      <c r="J123" s="25"/>
      <c r="K123" s="64">
        <v>9.4000000000000004E-3</v>
      </c>
      <c r="L123" s="62" t="s">
        <v>186</v>
      </c>
    </row>
    <row r="124" spans="1:14" ht="12.75" x14ac:dyDescent="0.2">
      <c r="A124" s="62" t="s">
        <v>148</v>
      </c>
      <c r="B124" s="75"/>
      <c r="C124" s="95">
        <v>1.9E-2</v>
      </c>
      <c r="I124" s="62" t="s">
        <v>148</v>
      </c>
      <c r="J124" s="75"/>
      <c r="K124" s="95">
        <v>1.9E-2</v>
      </c>
      <c r="L124" s="25"/>
    </row>
    <row r="125" spans="1:14" ht="12.75" x14ac:dyDescent="0.2">
      <c r="A125" s="62" t="s">
        <v>149</v>
      </c>
      <c r="C125" s="96">
        <f>ROUND((+C120+C121)/(1-C124)+(C122+C123),4)-C120-C121</f>
        <v>0.10590000000000017</v>
      </c>
      <c r="I125" s="62" t="s">
        <v>149</v>
      </c>
      <c r="K125" s="96">
        <f>ROUND((+K120+K121)/(1-K124)+(K122+K123),4)-K120-K121</f>
        <v>9.67000000000003E-2</v>
      </c>
      <c r="L125" s="25"/>
    </row>
    <row r="126" spans="1:14" ht="13.5" thickBot="1" x14ac:dyDescent="0.25">
      <c r="A126" s="62" t="s">
        <v>150</v>
      </c>
      <c r="C126" s="87">
        <f>SUM(C125,C120:C121)</f>
        <v>4.4934000000000003</v>
      </c>
      <c r="D126" s="62" t="s">
        <v>213</v>
      </c>
      <c r="I126" s="67" t="s">
        <v>150</v>
      </c>
      <c r="J126" s="67"/>
      <c r="K126" s="87">
        <f>SUM(K125,K120:K121)</f>
        <v>4.4842000000000004</v>
      </c>
      <c r="L126" s="25" t="s">
        <v>195</v>
      </c>
      <c r="M126" s="63"/>
      <c r="N126" s="64"/>
    </row>
    <row r="127" spans="1:14" ht="13.5" thickTop="1" x14ac:dyDescent="0.2">
      <c r="B127" s="25"/>
      <c r="C127" s="64"/>
      <c r="G127" s="63"/>
      <c r="H127" s="74"/>
    </row>
    <row r="128" spans="1:14" ht="12.75" x14ac:dyDescent="0.2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</row>
    <row r="129" spans="1:4" x14ac:dyDescent="0.2">
      <c r="A129" s="62" t="s">
        <v>187</v>
      </c>
    </row>
    <row r="130" spans="1:4" x14ac:dyDescent="0.2">
      <c r="A130" s="62" t="s">
        <v>145</v>
      </c>
      <c r="B130" s="62" t="s">
        <v>185</v>
      </c>
      <c r="C130" s="64">
        <v>4.37</v>
      </c>
      <c r="D130" s="62" t="s">
        <v>188</v>
      </c>
    </row>
    <row r="131" spans="1:4" ht="12.75" x14ac:dyDescent="0.2">
      <c r="A131" s="62" t="s">
        <v>146</v>
      </c>
      <c r="B131" s="25"/>
      <c r="C131" s="64">
        <v>2.0299999999999999E-2</v>
      </c>
    </row>
    <row r="132" spans="1:4" ht="12.75" x14ac:dyDescent="0.2">
      <c r="A132" s="62" t="s">
        <v>147</v>
      </c>
      <c r="B132" s="25"/>
      <c r="C132" s="64">
        <v>2.2499999999999999E-2</v>
      </c>
    </row>
    <row r="133" spans="1:4" x14ac:dyDescent="0.2">
      <c r="A133" s="62" t="s">
        <v>148</v>
      </c>
      <c r="B133" s="75"/>
      <c r="C133" s="95">
        <v>3.4299999999999997E-2</v>
      </c>
    </row>
    <row r="134" spans="1:4" x14ac:dyDescent="0.2">
      <c r="A134" s="62" t="s">
        <v>149</v>
      </c>
      <c r="C134" s="96">
        <v>0.14280000000000026</v>
      </c>
    </row>
    <row r="135" spans="1:4" x14ac:dyDescent="0.2">
      <c r="A135" s="62" t="s">
        <v>189</v>
      </c>
      <c r="C135" s="98">
        <v>0.27</v>
      </c>
    </row>
    <row r="136" spans="1:4" ht="12.75" thickBot="1" x14ac:dyDescent="0.25">
      <c r="A136" s="62" t="s">
        <v>150</v>
      </c>
      <c r="C136" s="87">
        <v>3.0428000000000002</v>
      </c>
      <c r="D136" s="62" t="s">
        <v>190</v>
      </c>
    </row>
    <row r="137" spans="1:4" ht="12.75" thickTop="1" x14ac:dyDescent="0.2">
      <c r="D137" s="62" t="s">
        <v>191</v>
      </c>
    </row>
    <row r="138" spans="1:4" x14ac:dyDescent="0.2">
      <c r="D138" s="62" t="s">
        <v>192</v>
      </c>
    </row>
    <row r="142" spans="1:4" x14ac:dyDescent="0.2">
      <c r="A142" s="62" t="s">
        <v>233</v>
      </c>
    </row>
    <row r="143" spans="1:4" x14ac:dyDescent="0.2">
      <c r="A143" s="62" t="s">
        <v>145</v>
      </c>
      <c r="B143" s="62" t="s">
        <v>129</v>
      </c>
      <c r="C143" s="64">
        <v>4.3600000000000003</v>
      </c>
    </row>
    <row r="144" spans="1:4" x14ac:dyDescent="0.2">
      <c r="C144" s="64">
        <v>7.4999999999999997E-3</v>
      </c>
    </row>
    <row r="145" spans="1:4" ht="12.75" x14ac:dyDescent="0.2">
      <c r="A145" s="62" t="s">
        <v>146</v>
      </c>
      <c r="B145" s="25"/>
      <c r="C145" s="64">
        <v>2.2800000000000001E-2</v>
      </c>
    </row>
    <row r="146" spans="1:4" ht="12.75" x14ac:dyDescent="0.2">
      <c r="A146" s="62" t="s">
        <v>147</v>
      </c>
      <c r="B146" s="25"/>
      <c r="C146" s="64">
        <v>2.2499999999999999E-2</v>
      </c>
    </row>
    <row r="147" spans="1:4" x14ac:dyDescent="0.2">
      <c r="A147" s="62" t="s">
        <v>148</v>
      </c>
      <c r="B147" s="75"/>
      <c r="C147" s="95">
        <v>3.8800000000000001E-2</v>
      </c>
    </row>
    <row r="148" spans="1:4" x14ac:dyDescent="0.2">
      <c r="A148" s="62" t="s">
        <v>149</v>
      </c>
      <c r="C148" s="96">
        <f>ROUND((+C143+C144)/(1-C147)+(C145+C146),4)-C143-C144</f>
        <v>0.22159999999999985</v>
      </c>
    </row>
    <row r="149" spans="1:4" ht="12.75" thickBot="1" x14ac:dyDescent="0.25">
      <c r="A149" s="62" t="s">
        <v>150</v>
      </c>
      <c r="C149" s="87">
        <f>SUM(C148,C143:C144)</f>
        <v>4.5891000000000002</v>
      </c>
      <c r="D149" s="62" t="s">
        <v>234</v>
      </c>
    </row>
    <row r="150" spans="1:4" ht="12.75" thickTop="1" x14ac:dyDescent="0.2"/>
    <row r="156" spans="1:4" x14ac:dyDescent="0.2">
      <c r="A156" s="66" t="s">
        <v>118</v>
      </c>
    </row>
    <row r="157" spans="1:4" x14ac:dyDescent="0.2">
      <c r="A157" s="62" t="s">
        <v>145</v>
      </c>
      <c r="B157" s="62" t="s">
        <v>235</v>
      </c>
      <c r="C157" s="64">
        <v>4.33</v>
      </c>
    </row>
    <row r="158" spans="1:4" x14ac:dyDescent="0.2">
      <c r="A158" s="62" t="s">
        <v>151</v>
      </c>
      <c r="C158" s="64">
        <v>-0.01</v>
      </c>
    </row>
    <row r="159" spans="1:4" x14ac:dyDescent="0.2">
      <c r="A159" s="62" t="s">
        <v>146</v>
      </c>
      <c r="C159" s="64">
        <v>3.2300000000000002E-2</v>
      </c>
    </row>
    <row r="160" spans="1:4" x14ac:dyDescent="0.2">
      <c r="A160" s="62" t="s">
        <v>147</v>
      </c>
      <c r="C160" s="64">
        <v>9.4000000000000004E-3</v>
      </c>
    </row>
    <row r="161" spans="1:4" x14ac:dyDescent="0.2">
      <c r="A161" s="62" t="s">
        <v>148</v>
      </c>
      <c r="C161" s="95">
        <v>2.6800000000000001E-2</v>
      </c>
    </row>
    <row r="162" spans="1:4" x14ac:dyDescent="0.2">
      <c r="A162" s="62" t="s">
        <v>149</v>
      </c>
      <c r="C162" s="96">
        <f>ROUND((+C157+C158)/(1-C161)+(C159+C160),4)-C157-C158</f>
        <v>0.16069999999999962</v>
      </c>
    </row>
    <row r="163" spans="1:4" ht="12.75" thickBot="1" x14ac:dyDescent="0.25">
      <c r="A163" s="62" t="s">
        <v>150</v>
      </c>
      <c r="C163" s="87">
        <f>SUM(C162,C157:C158)</f>
        <v>4.4806999999999997</v>
      </c>
      <c r="D163" s="62" t="s">
        <v>34</v>
      </c>
    </row>
    <row r="164" spans="1:4" ht="12.75" thickTop="1" x14ac:dyDescent="0.2"/>
    <row r="166" spans="1:4" x14ac:dyDescent="0.2">
      <c r="A166" s="66" t="s">
        <v>202</v>
      </c>
    </row>
    <row r="167" spans="1:4" x14ac:dyDescent="0.2">
      <c r="A167" s="62" t="s">
        <v>145</v>
      </c>
      <c r="B167" s="62" t="s">
        <v>236</v>
      </c>
      <c r="C167" s="64">
        <v>4.3499999999999996</v>
      </c>
    </row>
    <row r="168" spans="1:4" x14ac:dyDescent="0.2">
      <c r="A168" s="62" t="s">
        <v>151</v>
      </c>
      <c r="C168" s="64">
        <v>7.4999999999999997E-3</v>
      </c>
    </row>
    <row r="169" spans="1:4" x14ac:dyDescent="0.2">
      <c r="A169" s="62" t="s">
        <v>146</v>
      </c>
      <c r="C169" s="64">
        <v>2.1000000000000001E-2</v>
      </c>
    </row>
    <row r="170" spans="1:4" x14ac:dyDescent="0.2">
      <c r="A170" s="62" t="s">
        <v>147</v>
      </c>
      <c r="C170" s="64">
        <f>0.0022+0.0072</f>
        <v>9.4000000000000004E-3</v>
      </c>
    </row>
    <row r="171" spans="1:4" x14ac:dyDescent="0.2">
      <c r="A171" s="62" t="s">
        <v>148</v>
      </c>
      <c r="C171" s="95">
        <v>2.5999999999999999E-2</v>
      </c>
    </row>
    <row r="172" spans="1:4" x14ac:dyDescent="0.2">
      <c r="A172" s="62" t="s">
        <v>149</v>
      </c>
      <c r="C172" s="96">
        <f>ROUND((+C167+C168)/(1-C171)-(C167+C168)+C169+C170,4)</f>
        <v>0.1467</v>
      </c>
    </row>
    <row r="173" spans="1:4" ht="12.75" thickBot="1" x14ac:dyDescent="0.25">
      <c r="A173" s="62" t="s">
        <v>150</v>
      </c>
      <c r="C173" s="87">
        <f>SUM(C172,C167:C168)</f>
        <v>4.5042</v>
      </c>
      <c r="D173" s="62" t="s">
        <v>237</v>
      </c>
    </row>
    <row r="174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05"/>
  <sheetViews>
    <sheetView tabSelected="1" topLeftCell="G73" workbookViewId="0">
      <selection activeCell="U95" sqref="U95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258</v>
      </c>
      <c r="C1" s="3"/>
      <c r="D1" s="3"/>
      <c r="E1" s="4"/>
      <c r="F1" s="4"/>
      <c r="G1" s="1"/>
      <c r="H1" s="1"/>
      <c r="I1" s="3" t="s">
        <v>50</v>
      </c>
      <c r="J1" s="7">
        <v>30</v>
      </c>
      <c r="K1" s="47" t="s">
        <v>61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">
      <c r="B2" s="1" t="s">
        <v>56</v>
      </c>
      <c r="C2" s="1"/>
      <c r="D2" s="1"/>
      <c r="E2" s="4"/>
      <c r="F2" s="4"/>
      <c r="G2" s="1"/>
      <c r="H2" s="1"/>
      <c r="I2" s="3"/>
      <c r="J2" s="7"/>
      <c r="K2" s="47" t="s">
        <v>62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">
      <c r="B3" s="1" t="s">
        <v>57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2"/>
      <c r="P3" s="31" t="s">
        <v>34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">
      <c r="B5" s="1" t="s">
        <v>63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">
      <c r="B6" s="1"/>
      <c r="C6" s="3" t="s">
        <v>156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37</v>
      </c>
      <c r="E11" s="18" t="s">
        <v>38</v>
      </c>
      <c r="F11" s="18"/>
      <c r="G11" s="16" t="s">
        <v>39</v>
      </c>
      <c r="H11" s="16" t="s">
        <v>40</v>
      </c>
      <c r="I11" s="17" t="s">
        <v>72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3" t="s">
        <v>46</v>
      </c>
      <c r="P11" s="17" t="s">
        <v>47</v>
      </c>
      <c r="Q11" s="20" t="s">
        <v>153</v>
      </c>
      <c r="R11" s="17" t="s">
        <v>48</v>
      </c>
      <c r="S11" s="16" t="s">
        <v>49</v>
      </c>
      <c r="T11" s="21" t="s">
        <v>71</v>
      </c>
      <c r="U11" s="21" t="s">
        <v>70</v>
      </c>
      <c r="V11" s="53" t="s">
        <v>154</v>
      </c>
      <c r="W11" s="58" t="e">
        <f>+#REF!</f>
        <v>#REF!</v>
      </c>
      <c r="X11" s="36"/>
      <c r="Y11" s="36"/>
    </row>
    <row r="12" spans="2:25" s="61" customFormat="1" x14ac:dyDescent="0.2">
      <c r="B12" s="1" t="s">
        <v>155</v>
      </c>
      <c r="C12" s="3" t="s">
        <v>59</v>
      </c>
      <c r="D12" s="3" t="s">
        <v>116</v>
      </c>
      <c r="E12" s="4">
        <v>36678</v>
      </c>
      <c r="F12" s="4">
        <v>37042</v>
      </c>
      <c r="G12" s="1" t="s">
        <v>60</v>
      </c>
      <c r="H12" s="1" t="s">
        <v>54</v>
      </c>
      <c r="I12" s="3" t="s">
        <v>115</v>
      </c>
      <c r="J12" s="8">
        <f t="shared" ref="J12:J18" si="0">3.145/J$1</f>
        <v>0.10483333333333333</v>
      </c>
      <c r="K12" s="5">
        <v>1.32E-2</v>
      </c>
      <c r="L12" s="5">
        <v>2.2000000000000001E-3</v>
      </c>
      <c r="M12" s="5">
        <v>0</v>
      </c>
      <c r="N12" s="5">
        <v>0</v>
      </c>
      <c r="O12" s="42">
        <v>2.1160000000000002E-2</v>
      </c>
      <c r="P12" s="5">
        <f t="shared" ref="P12:P18" si="1">SUM(J12:N12)</f>
        <v>0.12023333333333333</v>
      </c>
      <c r="Q12" s="24">
        <v>68360</v>
      </c>
      <c r="R12" s="3">
        <v>291</v>
      </c>
      <c r="S12" s="1"/>
      <c r="T12" s="9">
        <f t="shared" ref="T12:T20" si="2">J12*J$1*R12</f>
        <v>915.19500000000005</v>
      </c>
      <c r="U12" s="9"/>
      <c r="V12" s="55">
        <v>271311</v>
      </c>
      <c r="W12" s="1"/>
      <c r="X12" s="36"/>
      <c r="Y12" s="36"/>
    </row>
    <row r="13" spans="2:25" s="61" customFormat="1" x14ac:dyDescent="0.2">
      <c r="B13" s="1" t="s">
        <v>155</v>
      </c>
      <c r="C13" s="3" t="s">
        <v>59</v>
      </c>
      <c r="D13" s="3" t="s">
        <v>69</v>
      </c>
      <c r="E13" s="4">
        <v>36678</v>
      </c>
      <c r="F13" s="4">
        <v>37042</v>
      </c>
      <c r="G13" s="1" t="s">
        <v>60</v>
      </c>
      <c r="H13" s="1" t="s">
        <v>54</v>
      </c>
      <c r="I13" s="3" t="s">
        <v>115</v>
      </c>
      <c r="J13" s="8">
        <f t="shared" si="0"/>
        <v>0.10483333333333333</v>
      </c>
      <c r="K13" s="5">
        <v>1.32E-2</v>
      </c>
      <c r="L13" s="5">
        <v>2.2000000000000001E-3</v>
      </c>
      <c r="M13" s="5">
        <v>0</v>
      </c>
      <c r="N13" s="5">
        <v>0</v>
      </c>
      <c r="O13" s="42">
        <v>2.1160000000000002E-2</v>
      </c>
      <c r="P13" s="5">
        <f t="shared" si="1"/>
        <v>0.12023333333333333</v>
      </c>
      <c r="Q13" s="24">
        <v>68385</v>
      </c>
      <c r="R13" s="3">
        <v>223</v>
      </c>
      <c r="S13" s="1"/>
      <c r="T13" s="9">
        <f t="shared" si="2"/>
        <v>701.33500000000004</v>
      </c>
      <c r="U13" s="9"/>
      <c r="V13" s="55">
        <v>280550</v>
      </c>
      <c r="W13" s="1"/>
      <c r="X13" s="36"/>
      <c r="Y13" s="36"/>
    </row>
    <row r="14" spans="2:25" s="61" customFormat="1" x14ac:dyDescent="0.2">
      <c r="B14" s="1" t="s">
        <v>155</v>
      </c>
      <c r="C14" s="3" t="s">
        <v>59</v>
      </c>
      <c r="D14" s="3" t="s">
        <v>116</v>
      </c>
      <c r="E14" s="4">
        <v>36708</v>
      </c>
      <c r="F14" s="4">
        <v>37072</v>
      </c>
      <c r="G14" s="1" t="s">
        <v>60</v>
      </c>
      <c r="H14" s="1" t="s">
        <v>54</v>
      </c>
      <c r="I14" s="3" t="s">
        <v>115</v>
      </c>
      <c r="J14" s="8">
        <f t="shared" si="0"/>
        <v>0.10483333333333333</v>
      </c>
      <c r="K14" s="5">
        <v>1.32E-2</v>
      </c>
      <c r="L14" s="5">
        <v>2.2000000000000001E-3</v>
      </c>
      <c r="M14" s="5">
        <v>0</v>
      </c>
      <c r="N14" s="5">
        <v>0</v>
      </c>
      <c r="O14" s="42">
        <v>2.1160000000000002E-2</v>
      </c>
      <c r="P14" s="5">
        <f t="shared" si="1"/>
        <v>0.12023333333333333</v>
      </c>
      <c r="Q14" s="24">
        <v>68615</v>
      </c>
      <c r="R14" s="3">
        <v>920</v>
      </c>
      <c r="S14" s="1"/>
      <c r="T14" s="9">
        <f t="shared" si="2"/>
        <v>2893.4</v>
      </c>
      <c r="U14" s="9"/>
      <c r="V14" s="55">
        <v>309873</v>
      </c>
      <c r="W14" s="1"/>
      <c r="X14" s="36"/>
      <c r="Y14" s="36"/>
    </row>
    <row r="15" spans="2:25" s="61" customFormat="1" x14ac:dyDescent="0.2">
      <c r="B15" s="1" t="s">
        <v>155</v>
      </c>
      <c r="C15" s="3" t="s">
        <v>59</v>
      </c>
      <c r="D15" s="3" t="s">
        <v>69</v>
      </c>
      <c r="E15" s="4">
        <v>36404</v>
      </c>
      <c r="F15" s="4">
        <v>36769</v>
      </c>
      <c r="G15" s="1" t="s">
        <v>60</v>
      </c>
      <c r="H15" s="1" t="s">
        <v>54</v>
      </c>
      <c r="I15" s="3" t="s">
        <v>115</v>
      </c>
      <c r="J15" s="8">
        <f t="shared" si="0"/>
        <v>0.10483333333333333</v>
      </c>
      <c r="K15" s="5">
        <v>1.32E-2</v>
      </c>
      <c r="L15" s="5">
        <v>2.2000000000000001E-3</v>
      </c>
      <c r="M15" s="5">
        <v>0</v>
      </c>
      <c r="N15" s="5">
        <v>0</v>
      </c>
      <c r="O15" s="42">
        <v>2.1160000000000002E-2</v>
      </c>
      <c r="P15" s="5">
        <f t="shared" si="1"/>
        <v>0.12023333333333333</v>
      </c>
      <c r="Q15" s="24">
        <v>64652</v>
      </c>
      <c r="R15" s="3">
        <v>65</v>
      </c>
      <c r="S15" s="1"/>
      <c r="T15" s="9">
        <f t="shared" si="2"/>
        <v>204.42500000000001</v>
      </c>
      <c r="U15" s="9"/>
      <c r="V15" s="55">
        <v>156623</v>
      </c>
      <c r="W15" s="1"/>
      <c r="X15" s="36"/>
      <c r="Y15" s="36"/>
    </row>
    <row r="16" spans="2:25" s="61" customFormat="1" x14ac:dyDescent="0.2">
      <c r="B16" s="1" t="s">
        <v>155</v>
      </c>
      <c r="C16" s="3" t="s">
        <v>59</v>
      </c>
      <c r="D16" s="3" t="s">
        <v>69</v>
      </c>
      <c r="E16" s="4">
        <v>36434</v>
      </c>
      <c r="F16" s="4">
        <v>36799</v>
      </c>
      <c r="G16" s="1" t="s">
        <v>60</v>
      </c>
      <c r="H16" s="1" t="s">
        <v>54</v>
      </c>
      <c r="I16" s="3" t="s">
        <v>115</v>
      </c>
      <c r="J16" s="8">
        <f t="shared" si="0"/>
        <v>0.10483333333333333</v>
      </c>
      <c r="K16" s="5">
        <v>1.32E-2</v>
      </c>
      <c r="L16" s="5">
        <v>2.2000000000000001E-3</v>
      </c>
      <c r="M16" s="5">
        <v>0</v>
      </c>
      <c r="N16" s="5">
        <v>0</v>
      </c>
      <c r="O16" s="42">
        <v>2.1160000000000002E-2</v>
      </c>
      <c r="P16" s="5">
        <f t="shared" si="1"/>
        <v>0.12023333333333333</v>
      </c>
      <c r="Q16" s="24">
        <v>64863</v>
      </c>
      <c r="R16" s="3">
        <v>13</v>
      </c>
      <c r="S16" s="1"/>
      <c r="T16" s="9">
        <f t="shared" si="2"/>
        <v>40.884999999999998</v>
      </c>
      <c r="U16" s="9"/>
      <c r="V16" s="55">
        <v>156625</v>
      </c>
      <c r="W16" s="1"/>
      <c r="X16" s="36"/>
      <c r="Y16" s="36"/>
    </row>
    <row r="17" spans="2:25" s="61" customFormat="1" x14ac:dyDescent="0.2">
      <c r="B17" s="1" t="s">
        <v>155</v>
      </c>
      <c r="C17" s="3" t="s">
        <v>59</v>
      </c>
      <c r="D17" s="3" t="s">
        <v>69</v>
      </c>
      <c r="E17" s="4">
        <v>36465</v>
      </c>
      <c r="F17" s="4">
        <v>36830</v>
      </c>
      <c r="G17" s="1" t="s">
        <v>60</v>
      </c>
      <c r="H17" s="1" t="s">
        <v>54</v>
      </c>
      <c r="I17" s="3" t="s">
        <v>115</v>
      </c>
      <c r="J17" s="8">
        <f t="shared" si="0"/>
        <v>0.10483333333333333</v>
      </c>
      <c r="K17" s="5">
        <v>1.32E-2</v>
      </c>
      <c r="L17" s="5">
        <v>2.2000000000000001E-3</v>
      </c>
      <c r="M17" s="5">
        <v>0</v>
      </c>
      <c r="N17" s="5">
        <v>0</v>
      </c>
      <c r="O17" s="42">
        <v>2.1160000000000002E-2</v>
      </c>
      <c r="P17" s="5">
        <f t="shared" si="1"/>
        <v>0.12023333333333333</v>
      </c>
      <c r="Q17" s="24">
        <v>65027</v>
      </c>
      <c r="R17" s="3">
        <v>131</v>
      </c>
      <c r="S17" s="1" t="s">
        <v>66</v>
      </c>
      <c r="T17" s="9">
        <f t="shared" si="2"/>
        <v>411.995</v>
      </c>
      <c r="U17" s="9"/>
      <c r="V17" s="55">
        <v>156666</v>
      </c>
      <c r="W17" s="1" t="s">
        <v>65</v>
      </c>
      <c r="X17" s="36"/>
      <c r="Y17" s="36"/>
    </row>
    <row r="18" spans="2:25" s="61" customFormat="1" x14ac:dyDescent="0.2">
      <c r="B18" s="1" t="s">
        <v>155</v>
      </c>
      <c r="C18" s="3" t="s">
        <v>59</v>
      </c>
      <c r="D18" s="3" t="s">
        <v>69</v>
      </c>
      <c r="E18" s="4">
        <v>36495</v>
      </c>
      <c r="F18" s="4">
        <v>36860</v>
      </c>
      <c r="G18" s="1" t="s">
        <v>60</v>
      </c>
      <c r="H18" s="1" t="s">
        <v>54</v>
      </c>
      <c r="I18" s="3" t="s">
        <v>115</v>
      </c>
      <c r="J18" s="8">
        <f t="shared" si="0"/>
        <v>0.10483333333333333</v>
      </c>
      <c r="K18" s="5">
        <v>1.32E-2</v>
      </c>
      <c r="L18" s="5">
        <v>2.2000000000000001E-3</v>
      </c>
      <c r="M18" s="5">
        <v>0</v>
      </c>
      <c r="N18" s="5">
        <v>0</v>
      </c>
      <c r="O18" s="42">
        <v>2.1160000000000002E-2</v>
      </c>
      <c r="P18" s="5">
        <f t="shared" si="1"/>
        <v>0.12023333333333333</v>
      </c>
      <c r="Q18" s="24">
        <v>65557</v>
      </c>
      <c r="R18" s="3">
        <v>3</v>
      </c>
      <c r="S18" s="1"/>
      <c r="T18" s="9">
        <f t="shared" si="2"/>
        <v>9.4350000000000005</v>
      </c>
      <c r="U18" s="9"/>
      <c r="V18" s="55">
        <v>156669</v>
      </c>
      <c r="W18" s="1"/>
      <c r="X18" s="36"/>
      <c r="Y18" s="36"/>
    </row>
    <row r="19" spans="2:25" s="61" customFormat="1" x14ac:dyDescent="0.2">
      <c r="B19" s="1" t="s">
        <v>155</v>
      </c>
      <c r="C19" s="3" t="s">
        <v>59</v>
      </c>
      <c r="D19" s="3" t="s">
        <v>116</v>
      </c>
      <c r="E19" s="4">
        <v>36708</v>
      </c>
      <c r="F19" s="4" t="s">
        <v>257</v>
      </c>
      <c r="G19" s="1" t="s">
        <v>60</v>
      </c>
      <c r="H19" s="1" t="s">
        <v>54</v>
      </c>
      <c r="I19" s="3" t="s">
        <v>115</v>
      </c>
      <c r="J19" s="8">
        <f>3.145/J1</f>
        <v>0.10483333333333333</v>
      </c>
      <c r="K19" s="5"/>
      <c r="L19" s="5"/>
      <c r="M19" s="5"/>
      <c r="N19" s="5"/>
      <c r="O19" s="42"/>
      <c r="P19" s="5"/>
      <c r="Q19" s="24">
        <v>68634</v>
      </c>
      <c r="R19" s="3">
        <v>1</v>
      </c>
      <c r="S19" s="1"/>
      <c r="T19" s="9">
        <f t="shared" si="2"/>
        <v>3.145</v>
      </c>
      <c r="U19" s="9"/>
      <c r="V19" s="55">
        <v>312338</v>
      </c>
      <c r="W19" s="1"/>
      <c r="X19" s="36"/>
      <c r="Y19" s="36"/>
    </row>
    <row r="20" spans="2:25" s="61" customFormat="1" x14ac:dyDescent="0.2">
      <c r="B20" s="1" t="s">
        <v>155</v>
      </c>
      <c r="C20" s="3" t="s">
        <v>59</v>
      </c>
      <c r="D20" s="3" t="s">
        <v>69</v>
      </c>
      <c r="E20" s="4">
        <v>36617</v>
      </c>
      <c r="F20" s="4">
        <v>36981</v>
      </c>
      <c r="G20" s="1" t="s">
        <v>60</v>
      </c>
      <c r="H20" s="1" t="s">
        <v>54</v>
      </c>
      <c r="I20" s="3" t="s">
        <v>115</v>
      </c>
      <c r="J20" s="8">
        <f>3.145/J1</f>
        <v>0.10483333333333333</v>
      </c>
      <c r="K20" s="5"/>
      <c r="L20" s="5"/>
      <c r="M20" s="5"/>
      <c r="N20" s="5"/>
      <c r="O20" s="42"/>
      <c r="P20" s="5"/>
      <c r="Q20" s="24">
        <v>66941</v>
      </c>
      <c r="R20" s="3">
        <v>53</v>
      </c>
      <c r="S20" s="1"/>
      <c r="T20" s="9">
        <f t="shared" si="2"/>
        <v>166.685</v>
      </c>
      <c r="U20" s="9"/>
      <c r="V20" s="55">
        <v>228122</v>
      </c>
      <c r="W20" s="1"/>
      <c r="X20" s="36"/>
      <c r="Y20" s="36"/>
    </row>
    <row r="21" spans="2:25" s="61" customFormat="1" x14ac:dyDescent="0.2">
      <c r="B21" s="1" t="s">
        <v>155</v>
      </c>
      <c r="C21" s="3" t="s">
        <v>59</v>
      </c>
      <c r="D21" s="3" t="s">
        <v>69</v>
      </c>
      <c r="E21" s="4">
        <v>36557</v>
      </c>
      <c r="F21" s="4">
        <v>36922</v>
      </c>
      <c r="G21" s="1" t="s">
        <v>60</v>
      </c>
      <c r="H21" s="1" t="s">
        <v>54</v>
      </c>
      <c r="I21" s="3" t="s">
        <v>115</v>
      </c>
      <c r="J21" s="8">
        <f>3.145/31</f>
        <v>0.10145161290322581</v>
      </c>
      <c r="K21" s="5"/>
      <c r="L21" s="5"/>
      <c r="M21" s="5"/>
      <c r="N21" s="5"/>
      <c r="O21" s="42"/>
      <c r="P21" s="5"/>
      <c r="Q21" s="24">
        <v>66283</v>
      </c>
      <c r="R21" s="3">
        <v>5</v>
      </c>
      <c r="S21" s="1"/>
      <c r="T21" s="89">
        <f>+J21*R21*31</f>
        <v>15.725000000000001</v>
      </c>
      <c r="U21" s="9"/>
      <c r="V21" s="55">
        <v>156674</v>
      </c>
      <c r="W21" s="1"/>
      <c r="X21" s="36"/>
      <c r="Y21" s="36"/>
    </row>
    <row r="22" spans="2:25" s="61" customFormat="1" x14ac:dyDescent="0.2">
      <c r="B22" s="1" t="s">
        <v>155</v>
      </c>
      <c r="C22" s="3" t="s">
        <v>59</v>
      </c>
      <c r="D22" s="3" t="s">
        <v>69</v>
      </c>
      <c r="E22" s="4">
        <v>36617</v>
      </c>
      <c r="F22" s="4">
        <v>36981</v>
      </c>
      <c r="G22" s="1" t="s">
        <v>60</v>
      </c>
      <c r="H22" s="1" t="s">
        <v>54</v>
      </c>
      <c r="I22" s="3" t="s">
        <v>115</v>
      </c>
      <c r="J22" s="8">
        <f>3.15/J1</f>
        <v>0.105</v>
      </c>
      <c r="K22" s="5"/>
      <c r="L22" s="5"/>
      <c r="M22" s="5"/>
      <c r="N22" s="5"/>
      <c r="O22" s="42"/>
      <c r="P22" s="5"/>
      <c r="Q22" s="24">
        <v>66941</v>
      </c>
      <c r="R22" s="3">
        <v>53</v>
      </c>
      <c r="S22" s="1"/>
      <c r="T22" s="89">
        <f>+J22*R22*31</f>
        <v>172.51499999999999</v>
      </c>
      <c r="U22" s="9"/>
      <c r="V22" s="55">
        <v>228122</v>
      </c>
      <c r="W22" s="1"/>
      <c r="X22" s="36"/>
      <c r="Y22" s="36"/>
    </row>
    <row r="23" spans="2:25" s="61" customFormat="1" x14ac:dyDescent="0.2">
      <c r="B23" s="1" t="s">
        <v>155</v>
      </c>
      <c r="C23" s="3" t="s">
        <v>59</v>
      </c>
      <c r="D23" s="3" t="s">
        <v>69</v>
      </c>
      <c r="E23" s="4">
        <v>36656</v>
      </c>
      <c r="F23" s="4">
        <v>36950</v>
      </c>
      <c r="G23" s="1" t="s">
        <v>60</v>
      </c>
      <c r="H23" s="1" t="s">
        <v>54</v>
      </c>
      <c r="I23" s="3" t="s">
        <v>115</v>
      </c>
      <c r="J23" s="8">
        <f>3.145/J1</f>
        <v>0.10483333333333333</v>
      </c>
      <c r="K23" s="5"/>
      <c r="L23" s="5"/>
      <c r="M23" s="5"/>
      <c r="N23" s="5"/>
      <c r="O23" s="42"/>
      <c r="P23" s="5"/>
      <c r="Q23" s="24">
        <v>68309</v>
      </c>
      <c r="R23" s="3">
        <v>9</v>
      </c>
      <c r="S23" s="1"/>
      <c r="T23" s="9">
        <f>+R23*J23*$J$1</f>
        <v>28.305</v>
      </c>
      <c r="U23" s="9"/>
      <c r="V23" s="55">
        <v>262090</v>
      </c>
      <c r="W23" s="1" t="s">
        <v>168</v>
      </c>
      <c r="X23" s="36"/>
      <c r="Y23" s="36"/>
    </row>
    <row r="24" spans="2:25" s="61" customFormat="1" x14ac:dyDescent="0.2">
      <c r="B24" s="1" t="s">
        <v>155</v>
      </c>
      <c r="C24" s="3" t="s">
        <v>59</v>
      </c>
      <c r="D24" s="3" t="s">
        <v>69</v>
      </c>
      <c r="E24" s="4">
        <v>36739</v>
      </c>
      <c r="F24" s="4">
        <v>36738</v>
      </c>
      <c r="G24" s="1" t="s">
        <v>60</v>
      </c>
      <c r="H24" s="1" t="s">
        <v>54</v>
      </c>
      <c r="I24" s="3" t="s">
        <v>115</v>
      </c>
      <c r="J24" s="8">
        <f>3.145/J1</f>
        <v>0.10483333333333333</v>
      </c>
      <c r="K24" s="5"/>
      <c r="L24" s="5"/>
      <c r="M24" s="5"/>
      <c r="N24" s="5"/>
      <c r="O24" s="42"/>
      <c r="P24" s="5"/>
      <c r="Q24" s="24">
        <v>68929</v>
      </c>
      <c r="R24" s="3">
        <v>48</v>
      </c>
      <c r="S24" s="1" t="s">
        <v>2</v>
      </c>
      <c r="T24" s="9">
        <f>+R24*J24*$J$1</f>
        <v>150.96</v>
      </c>
      <c r="U24" s="9"/>
      <c r="V24" s="55">
        <v>345091</v>
      </c>
      <c r="W24" s="1"/>
      <c r="X24" s="36"/>
      <c r="Y24" s="36"/>
    </row>
    <row r="25" spans="2:25" s="61" customFormat="1" x14ac:dyDescent="0.2">
      <c r="B25" s="1" t="s">
        <v>155</v>
      </c>
      <c r="C25" s="3" t="s">
        <v>59</v>
      </c>
      <c r="D25" s="3" t="s">
        <v>69</v>
      </c>
      <c r="E25" s="4">
        <v>36739</v>
      </c>
      <c r="F25" s="4">
        <v>37103</v>
      </c>
      <c r="G25" s="1" t="s">
        <v>60</v>
      </c>
      <c r="H25" s="1" t="s">
        <v>54</v>
      </c>
      <c r="I25" s="3" t="s">
        <v>115</v>
      </c>
      <c r="J25" s="8">
        <f>3.145/J1</f>
        <v>0.10483333333333333</v>
      </c>
      <c r="K25" s="5"/>
      <c r="L25" s="5"/>
      <c r="M25" s="5"/>
      <c r="N25" s="5"/>
      <c r="O25" s="42"/>
      <c r="P25" s="5"/>
      <c r="Q25" s="24">
        <v>68927</v>
      </c>
      <c r="R25" s="3">
        <v>4</v>
      </c>
      <c r="S25" s="1" t="s">
        <v>1</v>
      </c>
      <c r="T25" s="9">
        <f>+R25*J25*$J$1</f>
        <v>12.58</v>
      </c>
      <c r="U25" s="9"/>
      <c r="V25" s="55">
        <v>345112</v>
      </c>
      <c r="W25" s="1"/>
      <c r="X25" s="36"/>
      <c r="Y25" s="36"/>
    </row>
    <row r="26" spans="2:25" s="61" customFormat="1" x14ac:dyDescent="0.2">
      <c r="B26" s="1" t="s">
        <v>155</v>
      </c>
      <c r="C26" s="3" t="s">
        <v>59</v>
      </c>
      <c r="D26" s="3" t="s">
        <v>69</v>
      </c>
      <c r="E26" s="4">
        <v>36770</v>
      </c>
      <c r="F26" s="4">
        <v>37104</v>
      </c>
      <c r="G26" s="1" t="s">
        <v>60</v>
      </c>
      <c r="H26" s="1" t="s">
        <v>54</v>
      </c>
      <c r="I26" s="3" t="s">
        <v>115</v>
      </c>
      <c r="J26" s="8">
        <f>3.145/J1</f>
        <v>0.10483333333333333</v>
      </c>
      <c r="K26" s="5"/>
      <c r="L26" s="5"/>
      <c r="M26" s="5"/>
      <c r="N26" s="5"/>
      <c r="O26" s="42"/>
      <c r="P26" s="5"/>
      <c r="Q26" s="24">
        <v>69145</v>
      </c>
      <c r="R26" s="3">
        <v>63</v>
      </c>
      <c r="S26" s="1" t="s">
        <v>268</v>
      </c>
      <c r="T26" s="9">
        <f>+R26*J26*J1</f>
        <v>198.13499999999999</v>
      </c>
      <c r="U26" s="9"/>
      <c r="V26" s="55">
        <v>372169</v>
      </c>
      <c r="W26" s="1"/>
      <c r="X26" s="36"/>
      <c r="Y26" s="36"/>
    </row>
    <row r="27" spans="2:25" s="61" customFormat="1" x14ac:dyDescent="0.2">
      <c r="B27" s="1" t="s">
        <v>155</v>
      </c>
      <c r="C27" s="3" t="s">
        <v>59</v>
      </c>
      <c r="D27" s="3" t="s">
        <v>116</v>
      </c>
      <c r="E27" s="4">
        <v>36647</v>
      </c>
      <c r="F27" s="4">
        <v>37011</v>
      </c>
      <c r="G27" s="1" t="s">
        <v>60</v>
      </c>
      <c r="H27" s="1" t="s">
        <v>54</v>
      </c>
      <c r="I27" s="3" t="s">
        <v>115</v>
      </c>
      <c r="J27" s="8">
        <f>3.154/J1</f>
        <v>0.10513333333333333</v>
      </c>
      <c r="K27" s="5"/>
      <c r="L27" s="5"/>
      <c r="M27" s="5"/>
      <c r="N27" s="5"/>
      <c r="O27" s="42"/>
      <c r="P27" s="5"/>
      <c r="Q27" s="24">
        <v>68281</v>
      </c>
      <c r="R27" s="3">
        <v>21</v>
      </c>
      <c r="S27" s="1" t="s">
        <v>220</v>
      </c>
      <c r="T27" s="9">
        <f>+R27*J27*$J$1</f>
        <v>66.233999999999995</v>
      </c>
      <c r="U27" s="9"/>
      <c r="V27" s="55">
        <v>256413</v>
      </c>
      <c r="W27" s="1"/>
      <c r="X27" s="36"/>
      <c r="Y27" s="36"/>
    </row>
    <row r="29" spans="2:25" s="61" customFormat="1" x14ac:dyDescent="0.2">
      <c r="B29" s="1"/>
      <c r="C29" s="3"/>
      <c r="D29" s="3"/>
      <c r="E29" s="4"/>
      <c r="F29" s="4"/>
      <c r="G29" s="1"/>
      <c r="H29" s="1"/>
      <c r="I29" s="3"/>
      <c r="J29" s="8"/>
      <c r="K29" s="5"/>
      <c r="L29" s="5"/>
      <c r="M29" s="5"/>
      <c r="N29" s="5"/>
      <c r="O29" s="42"/>
      <c r="P29" s="5"/>
      <c r="Q29" s="24"/>
      <c r="R29" s="3"/>
      <c r="S29" s="1"/>
      <c r="T29" s="9"/>
      <c r="U29" s="9"/>
      <c r="V29" s="55"/>
      <c r="W29" s="1"/>
      <c r="X29" s="36"/>
      <c r="Y29" s="36"/>
    </row>
    <row r="30" spans="2:25" x14ac:dyDescent="0.2">
      <c r="B30" s="1"/>
      <c r="C30" s="3"/>
      <c r="D30" s="3"/>
      <c r="E30" s="4"/>
      <c r="F30" s="4"/>
      <c r="G30" s="1"/>
      <c r="H30" s="1"/>
      <c r="I30" s="3"/>
      <c r="J30" s="8"/>
      <c r="K30" s="5"/>
      <c r="L30" s="23"/>
      <c r="M30" s="5"/>
      <c r="N30" s="5"/>
      <c r="O30" s="42"/>
      <c r="P30" s="5"/>
      <c r="Q30" s="24"/>
      <c r="R30" s="2">
        <f>SUM(R12:R28)</f>
        <v>1903</v>
      </c>
      <c r="S30" s="3"/>
      <c r="T30" s="9">
        <f>SUM(T12:T29)</f>
        <v>5990.9540000000034</v>
      </c>
      <c r="U30" s="9"/>
      <c r="V30" s="55"/>
      <c r="W30" s="1"/>
      <c r="X30" s="36"/>
      <c r="Y30" s="36"/>
    </row>
    <row r="31" spans="2:25" x14ac:dyDescent="0.2">
      <c r="B31" s="16" t="s">
        <v>35</v>
      </c>
      <c r="C31" s="17" t="s">
        <v>36</v>
      </c>
      <c r="D31" s="17" t="s">
        <v>37</v>
      </c>
      <c r="E31" s="18" t="s">
        <v>38</v>
      </c>
      <c r="F31" s="18"/>
      <c r="G31" s="16" t="s">
        <v>39</v>
      </c>
      <c r="H31" s="16" t="s">
        <v>40</v>
      </c>
      <c r="I31" s="17" t="s">
        <v>72</v>
      </c>
      <c r="J31" s="19" t="s">
        <v>41</v>
      </c>
      <c r="K31" s="17" t="s">
        <v>42</v>
      </c>
      <c r="L31" s="17" t="s">
        <v>43</v>
      </c>
      <c r="M31" s="17" t="s">
        <v>44</v>
      </c>
      <c r="N31" s="17" t="s">
        <v>45</v>
      </c>
      <c r="O31" s="43" t="s">
        <v>46</v>
      </c>
      <c r="P31" s="17" t="s">
        <v>47</v>
      </c>
      <c r="Q31" s="20" t="s">
        <v>153</v>
      </c>
      <c r="R31" s="17" t="s">
        <v>48</v>
      </c>
      <c r="S31" s="16" t="s">
        <v>49</v>
      </c>
      <c r="T31" s="21" t="s">
        <v>71</v>
      </c>
      <c r="U31" s="21" t="s">
        <v>70</v>
      </c>
      <c r="V31" s="53" t="s">
        <v>154</v>
      </c>
      <c r="W31" s="58" t="e">
        <f>+#REF!</f>
        <v>#REF!</v>
      </c>
      <c r="X31" s="36"/>
      <c r="Y31" s="36"/>
    </row>
    <row r="32" spans="2:25" s="110" customFormat="1" ht="12" customHeight="1" x14ac:dyDescent="0.2">
      <c r="B32" s="99" t="s">
        <v>155</v>
      </c>
      <c r="C32" s="100" t="s">
        <v>163</v>
      </c>
      <c r="D32" s="100" t="s">
        <v>164</v>
      </c>
      <c r="E32" s="101">
        <v>36770</v>
      </c>
      <c r="F32" s="101">
        <v>36799</v>
      </c>
      <c r="G32" s="102"/>
      <c r="H32" s="102"/>
      <c r="I32" s="100" t="s">
        <v>165</v>
      </c>
      <c r="J32" s="103">
        <v>2.8340000000000001E-2</v>
      </c>
      <c r="K32" s="104">
        <v>0</v>
      </c>
      <c r="L32" s="104">
        <v>2.2000000000000001E-3</v>
      </c>
      <c r="M32" s="104">
        <v>7.1999999999999998E-3</v>
      </c>
      <c r="N32" s="104">
        <v>0</v>
      </c>
      <c r="O32" s="105">
        <v>0</v>
      </c>
      <c r="P32" s="104">
        <f>SUM(J32:N32)</f>
        <v>3.7740000000000003E-2</v>
      </c>
      <c r="Q32" s="106" t="s">
        <v>207</v>
      </c>
      <c r="R32" s="100">
        <v>243849</v>
      </c>
      <c r="S32" s="99" t="s">
        <v>83</v>
      </c>
      <c r="T32" s="107">
        <f>+J32*R32</f>
        <v>6910.68066</v>
      </c>
      <c r="U32" s="107"/>
      <c r="V32" s="108">
        <v>382790</v>
      </c>
      <c r="W32" s="112" t="s">
        <v>279</v>
      </c>
      <c r="X32" s="109"/>
      <c r="Y32" s="109"/>
    </row>
    <row r="33" spans="2:25" s="110" customFormat="1" ht="12" customHeight="1" x14ac:dyDescent="0.2">
      <c r="B33" s="99" t="s">
        <v>155</v>
      </c>
      <c r="C33" s="100" t="s">
        <v>163</v>
      </c>
      <c r="D33" s="100" t="s">
        <v>164</v>
      </c>
      <c r="E33" s="101">
        <v>36770</v>
      </c>
      <c r="F33" s="101">
        <v>36799</v>
      </c>
      <c r="G33" s="102"/>
      <c r="H33" s="102"/>
      <c r="I33" s="100" t="s">
        <v>165</v>
      </c>
      <c r="J33" s="103">
        <f>1.544/J1</f>
        <v>5.1466666666666668E-2</v>
      </c>
      <c r="K33" s="104">
        <v>0</v>
      </c>
      <c r="L33" s="104">
        <v>2.2000000000000001E-3</v>
      </c>
      <c r="M33" s="104">
        <v>7.1999999999999998E-3</v>
      </c>
      <c r="N33" s="104">
        <v>0</v>
      </c>
      <c r="O33" s="105">
        <v>0</v>
      </c>
      <c r="P33" s="104">
        <f>SUM(J33:N33)</f>
        <v>6.0866666666666666E-2</v>
      </c>
      <c r="Q33" s="106" t="s">
        <v>207</v>
      </c>
      <c r="R33" s="100">
        <v>4924</v>
      </c>
      <c r="S33" s="99" t="s">
        <v>84</v>
      </c>
      <c r="T33" s="107">
        <f>+J33*R33*30</f>
        <v>7602.6559999999999</v>
      </c>
      <c r="U33" s="107"/>
      <c r="V33" s="108">
        <v>382790</v>
      </c>
      <c r="W33" s="99"/>
      <c r="X33" s="109"/>
      <c r="Y33" s="109"/>
    </row>
    <row r="34" spans="2:25" s="110" customFormat="1" ht="12" customHeight="1" x14ac:dyDescent="0.2">
      <c r="B34" s="99" t="s">
        <v>155</v>
      </c>
      <c r="C34" s="100" t="s">
        <v>163</v>
      </c>
      <c r="D34" s="100" t="s">
        <v>164</v>
      </c>
      <c r="E34" s="101">
        <v>36770</v>
      </c>
      <c r="F34" s="101">
        <v>37864</v>
      </c>
      <c r="G34" s="102"/>
      <c r="H34" s="102"/>
      <c r="I34" s="100" t="s">
        <v>165</v>
      </c>
      <c r="J34" s="103">
        <v>2.8340000000000001E-2</v>
      </c>
      <c r="K34" s="104">
        <v>0</v>
      </c>
      <c r="L34" s="104">
        <v>2.2000000000000001E-3</v>
      </c>
      <c r="M34" s="104">
        <v>7.1999999999999998E-3</v>
      </c>
      <c r="N34" s="104">
        <v>0</v>
      </c>
      <c r="O34" s="105">
        <v>0</v>
      </c>
      <c r="P34" s="104">
        <f>SUM(J34:N34)</f>
        <v>3.7740000000000003E-2</v>
      </c>
      <c r="Q34" s="106" t="s">
        <v>207</v>
      </c>
      <c r="R34" s="100">
        <f>+(33135+524690)*1.02</f>
        <v>568981.5</v>
      </c>
      <c r="S34" s="99" t="s">
        <v>83</v>
      </c>
      <c r="T34" s="107">
        <f>+J34*R34</f>
        <v>16124.93571</v>
      </c>
      <c r="U34" s="107"/>
      <c r="V34" s="108">
        <v>380799</v>
      </c>
      <c r="W34" s="99"/>
      <c r="X34" s="109"/>
      <c r="Y34" s="109"/>
    </row>
    <row r="35" spans="2:25" s="110" customFormat="1" ht="12" customHeight="1" x14ac:dyDescent="0.2">
      <c r="B35" s="99" t="s">
        <v>155</v>
      </c>
      <c r="C35" s="100" t="s">
        <v>163</v>
      </c>
      <c r="D35" s="100" t="s">
        <v>164</v>
      </c>
      <c r="E35" s="101">
        <v>36770</v>
      </c>
      <c r="F35" s="101">
        <v>37864</v>
      </c>
      <c r="G35" s="102"/>
      <c r="H35" s="102"/>
      <c r="I35" s="100" t="s">
        <v>165</v>
      </c>
      <c r="J35" s="103">
        <f>1.544/31</f>
        <v>4.980645161290323E-2</v>
      </c>
      <c r="K35" s="104">
        <v>0</v>
      </c>
      <c r="L35" s="104">
        <v>2.2000000000000001E-3</v>
      </c>
      <c r="M35" s="104">
        <v>7.1999999999999998E-3</v>
      </c>
      <c r="N35" s="104">
        <v>0</v>
      </c>
      <c r="O35" s="105">
        <v>0</v>
      </c>
      <c r="P35" s="104">
        <f>SUM(J35:N35)</f>
        <v>5.9206451612903228E-2</v>
      </c>
      <c r="Q35" s="106" t="s">
        <v>207</v>
      </c>
      <c r="R35" s="100">
        <f>(669+10594)*1.02</f>
        <v>11488.26</v>
      </c>
      <c r="S35" s="99" t="s">
        <v>84</v>
      </c>
      <c r="T35" s="107">
        <f>+J35*R35*30</f>
        <v>17165.683974193551</v>
      </c>
      <c r="U35" s="107"/>
      <c r="V35" s="108">
        <v>380799</v>
      </c>
      <c r="W35" s="99"/>
      <c r="X35" s="109"/>
      <c r="Y35" s="109"/>
    </row>
    <row r="36" spans="2:25" s="110" customFormat="1" ht="12" customHeight="1" x14ac:dyDescent="0.2">
      <c r="B36" s="99" t="s">
        <v>155</v>
      </c>
      <c r="C36" s="100" t="s">
        <v>163</v>
      </c>
      <c r="D36" s="100" t="s">
        <v>164</v>
      </c>
      <c r="E36" s="101">
        <v>36770</v>
      </c>
      <c r="F36" s="101">
        <v>37864</v>
      </c>
      <c r="G36" s="99" t="s">
        <v>138</v>
      </c>
      <c r="H36" s="99" t="s">
        <v>125</v>
      </c>
      <c r="I36" s="100" t="s">
        <v>120</v>
      </c>
      <c r="J36" s="103">
        <f>10.913/J1</f>
        <v>0.36376666666666668</v>
      </c>
      <c r="K36" s="104"/>
      <c r="L36" s="104"/>
      <c r="M36" s="104"/>
      <c r="N36" s="104"/>
      <c r="O36" s="105"/>
      <c r="P36" s="104"/>
      <c r="Q36" s="106" t="s">
        <v>201</v>
      </c>
      <c r="R36" s="100">
        <f>4477*1.02</f>
        <v>4566.54</v>
      </c>
      <c r="S36" s="119">
        <v>2000001592</v>
      </c>
      <c r="T36" s="107">
        <f>+J36*R36*30</f>
        <v>49834.651020000005</v>
      </c>
      <c r="U36" s="107"/>
      <c r="V36" s="108">
        <v>380785</v>
      </c>
      <c r="W36" s="99"/>
      <c r="X36" s="109"/>
      <c r="Y36" s="109"/>
    </row>
    <row r="37" spans="2:25" s="110" customFormat="1" ht="12" customHeight="1" x14ac:dyDescent="0.2">
      <c r="B37" s="99" t="s">
        <v>155</v>
      </c>
      <c r="C37" s="100" t="s">
        <v>163</v>
      </c>
      <c r="D37" s="100" t="s">
        <v>164</v>
      </c>
      <c r="E37" s="101">
        <v>36770</v>
      </c>
      <c r="F37" s="101">
        <v>36799</v>
      </c>
      <c r="G37" s="99" t="s">
        <v>138</v>
      </c>
      <c r="H37" s="99" t="s">
        <v>125</v>
      </c>
      <c r="I37" s="100" t="s">
        <v>120</v>
      </c>
      <c r="J37" s="103">
        <f>10.913/J1</f>
        <v>0.36376666666666668</v>
      </c>
      <c r="K37" s="104"/>
      <c r="L37" s="104"/>
      <c r="M37" s="104"/>
      <c r="N37" s="104"/>
      <c r="O37" s="105"/>
      <c r="P37" s="104"/>
      <c r="Q37" s="106" t="s">
        <v>201</v>
      </c>
      <c r="R37" s="100">
        <v>8860</v>
      </c>
      <c r="S37" s="112" t="s">
        <v>265</v>
      </c>
      <c r="T37" s="107">
        <f>+R37*J37*30</f>
        <v>96689.180000000008</v>
      </c>
      <c r="U37" s="107"/>
      <c r="V37" s="108">
        <v>382793</v>
      </c>
      <c r="W37" s="99"/>
      <c r="X37" s="109"/>
      <c r="Y37" s="109"/>
    </row>
    <row r="38" spans="2:25" s="110" customFormat="1" ht="12" customHeight="1" x14ac:dyDescent="0.2">
      <c r="B38" s="99" t="s">
        <v>155</v>
      </c>
      <c r="C38" s="100" t="s">
        <v>163</v>
      </c>
      <c r="D38" s="100" t="s">
        <v>164</v>
      </c>
      <c r="E38" s="101">
        <v>36770</v>
      </c>
      <c r="F38" s="101">
        <v>37864</v>
      </c>
      <c r="G38" s="99" t="s">
        <v>138</v>
      </c>
      <c r="H38" s="99" t="s">
        <v>125</v>
      </c>
      <c r="I38" s="100" t="s">
        <v>120</v>
      </c>
      <c r="J38" s="103">
        <f>10.913/J1</f>
        <v>0.36376666666666668</v>
      </c>
      <c r="K38" s="104"/>
      <c r="L38" s="104"/>
      <c r="M38" s="104"/>
      <c r="N38" s="104"/>
      <c r="O38" s="105"/>
      <c r="P38" s="104"/>
      <c r="Q38" s="106" t="s">
        <v>201</v>
      </c>
      <c r="R38" s="100">
        <f>16156*1.02</f>
        <v>16479.12</v>
      </c>
      <c r="S38" s="112" t="s">
        <v>278</v>
      </c>
      <c r="T38" s="107">
        <f>+R38*J38*30</f>
        <v>179836.63655999998</v>
      </c>
      <c r="U38" s="107"/>
      <c r="V38" s="108">
        <v>380770</v>
      </c>
      <c r="W38" s="99"/>
      <c r="X38" s="109"/>
      <c r="Y38" s="109"/>
    </row>
    <row r="39" spans="2:25" s="110" customFormat="1" ht="12" customHeight="1" x14ac:dyDescent="0.2">
      <c r="B39" s="99" t="s">
        <v>155</v>
      </c>
      <c r="C39" s="100" t="s">
        <v>163</v>
      </c>
      <c r="D39" s="100" t="s">
        <v>164</v>
      </c>
      <c r="E39" s="101">
        <v>36770</v>
      </c>
      <c r="F39" s="101">
        <v>37864</v>
      </c>
      <c r="G39" s="99" t="s">
        <v>138</v>
      </c>
      <c r="H39" s="99" t="s">
        <v>280</v>
      </c>
      <c r="I39" s="100" t="s">
        <v>120</v>
      </c>
      <c r="J39" s="103">
        <f>8.223/J1</f>
        <v>0.27410000000000001</v>
      </c>
      <c r="K39" s="104"/>
      <c r="L39" s="104"/>
      <c r="M39" s="104"/>
      <c r="N39" s="104"/>
      <c r="O39" s="105"/>
      <c r="P39" s="104"/>
      <c r="Q39" s="106" t="s">
        <v>201</v>
      </c>
      <c r="R39" s="100">
        <f>340*1.02</f>
        <v>346.8</v>
      </c>
      <c r="S39" s="120">
        <v>2000001604</v>
      </c>
      <c r="T39" s="107">
        <f>+R39*J39*30</f>
        <v>2851.7364000000002</v>
      </c>
      <c r="U39" s="107"/>
      <c r="V39" s="108">
        <v>380777</v>
      </c>
      <c r="W39" s="99"/>
      <c r="X39" s="109"/>
      <c r="Y39" s="109"/>
    </row>
    <row r="40" spans="2:25" s="110" customFormat="1" ht="12" customHeight="1" x14ac:dyDescent="0.2">
      <c r="B40" s="99" t="s">
        <v>155</v>
      </c>
      <c r="C40" s="100" t="s">
        <v>163</v>
      </c>
      <c r="D40" s="100" t="s">
        <v>164</v>
      </c>
      <c r="E40" s="101">
        <v>36770</v>
      </c>
      <c r="F40" s="101">
        <v>36830</v>
      </c>
      <c r="G40" s="99" t="s">
        <v>138</v>
      </c>
      <c r="H40" s="99" t="s">
        <v>281</v>
      </c>
      <c r="I40" s="100" t="s">
        <v>120</v>
      </c>
      <c r="J40" s="103">
        <f>10.913/J1</f>
        <v>0.36376666666666668</v>
      </c>
      <c r="K40" s="104"/>
      <c r="L40" s="104"/>
      <c r="M40" s="104"/>
      <c r="N40" s="104"/>
      <c r="O40" s="105"/>
      <c r="P40" s="104"/>
      <c r="Q40" s="106" t="s">
        <v>201</v>
      </c>
      <c r="R40" s="100">
        <f>457*1.02</f>
        <v>466.14</v>
      </c>
      <c r="S40" s="120">
        <v>2000001640</v>
      </c>
      <c r="T40" s="107">
        <f>+R40*J40*30</f>
        <v>5086.9858199999999</v>
      </c>
      <c r="U40" s="107"/>
      <c r="V40" s="108">
        <v>380789</v>
      </c>
      <c r="W40" s="99"/>
      <c r="X40" s="109"/>
      <c r="Y40" s="109"/>
    </row>
    <row r="41" spans="2:25" s="110" customFormat="1" ht="12" customHeight="1" x14ac:dyDescent="0.2">
      <c r="B41" s="99" t="s">
        <v>155</v>
      </c>
      <c r="C41" s="100" t="s">
        <v>163</v>
      </c>
      <c r="D41" s="100" t="s">
        <v>164</v>
      </c>
      <c r="E41" s="101">
        <v>36770</v>
      </c>
      <c r="F41" s="101">
        <v>36799</v>
      </c>
      <c r="G41" s="102"/>
      <c r="H41" s="102"/>
      <c r="I41" s="100" t="s">
        <v>120</v>
      </c>
      <c r="J41" s="103">
        <f>10.913/J1</f>
        <v>0.36376666666666668</v>
      </c>
      <c r="K41" s="104"/>
      <c r="L41" s="104"/>
      <c r="M41" s="104"/>
      <c r="N41" s="104"/>
      <c r="O41" s="105"/>
      <c r="P41" s="104"/>
      <c r="Q41" s="106" t="s">
        <v>201</v>
      </c>
      <c r="R41" s="100">
        <v>201</v>
      </c>
      <c r="S41" s="102" t="s">
        <v>264</v>
      </c>
      <c r="T41" s="107">
        <f>J41*J$1*R41</f>
        <v>2193.5129999999999</v>
      </c>
      <c r="U41" s="107"/>
      <c r="V41" s="108">
        <v>382805</v>
      </c>
      <c r="W41" s="99"/>
      <c r="X41" s="109"/>
      <c r="Y41" s="109"/>
    </row>
    <row r="42" spans="2:25" s="110" customFormat="1" ht="12" customHeight="1" x14ac:dyDescent="0.2">
      <c r="B42" s="99" t="s">
        <v>155</v>
      </c>
      <c r="C42" s="100" t="s">
        <v>163</v>
      </c>
      <c r="D42" s="100" t="s">
        <v>164</v>
      </c>
      <c r="E42" s="101">
        <v>36770</v>
      </c>
      <c r="F42" s="101">
        <v>36799</v>
      </c>
      <c r="G42" s="102"/>
      <c r="H42" s="102"/>
      <c r="I42" s="100" t="s">
        <v>120</v>
      </c>
      <c r="J42" s="103">
        <f>10.913/31</f>
        <v>0.35203225806451616</v>
      </c>
      <c r="K42" s="104"/>
      <c r="L42" s="104"/>
      <c r="M42" s="104"/>
      <c r="N42" s="104"/>
      <c r="O42" s="105"/>
      <c r="P42" s="104"/>
      <c r="Q42" s="106" t="s">
        <v>201</v>
      </c>
      <c r="R42" s="100">
        <v>1957</v>
      </c>
      <c r="S42" s="102" t="s">
        <v>263</v>
      </c>
      <c r="T42" s="107">
        <f>J42*J$1*R42</f>
        <v>20667.813870967744</v>
      </c>
      <c r="U42" s="107"/>
      <c r="V42" s="108">
        <v>382806</v>
      </c>
      <c r="W42" s="99"/>
      <c r="X42" s="109"/>
      <c r="Y42" s="109"/>
    </row>
    <row r="43" spans="2:25" s="110" customFormat="1" ht="12" customHeight="1" x14ac:dyDescent="0.2">
      <c r="B43" s="99" t="s">
        <v>155</v>
      </c>
      <c r="C43" s="100" t="s">
        <v>163</v>
      </c>
      <c r="D43" s="100" t="s">
        <v>164</v>
      </c>
      <c r="E43" s="101">
        <v>36770</v>
      </c>
      <c r="F43" s="101">
        <v>36799</v>
      </c>
      <c r="G43" s="102"/>
      <c r="H43" s="102"/>
      <c r="I43" s="100" t="s">
        <v>120</v>
      </c>
      <c r="J43" s="103">
        <f>8.223/J1</f>
        <v>0.27410000000000001</v>
      </c>
      <c r="K43" s="104"/>
      <c r="L43" s="104"/>
      <c r="M43" s="104"/>
      <c r="N43" s="104"/>
      <c r="O43" s="105"/>
      <c r="P43" s="104"/>
      <c r="Q43" s="106" t="s">
        <v>201</v>
      </c>
      <c r="R43" s="100">
        <v>149</v>
      </c>
      <c r="S43" s="112" t="s">
        <v>262</v>
      </c>
      <c r="T43" s="107">
        <f>J43*J$1*R43</f>
        <v>1225.2270000000001</v>
      </c>
      <c r="U43" s="107"/>
      <c r="V43" s="108">
        <v>382807</v>
      </c>
      <c r="W43" s="99"/>
      <c r="X43" s="109"/>
      <c r="Y43" s="109"/>
    </row>
    <row r="44" spans="2:25" s="110" customFormat="1" ht="12" customHeight="1" x14ac:dyDescent="0.2">
      <c r="B44" s="99" t="s">
        <v>155</v>
      </c>
      <c r="C44" s="100" t="s">
        <v>169</v>
      </c>
      <c r="D44" s="100" t="s">
        <v>164</v>
      </c>
      <c r="E44" s="101">
        <v>36770</v>
      </c>
      <c r="F44" s="101">
        <v>36799</v>
      </c>
      <c r="G44" s="99" t="s">
        <v>138</v>
      </c>
      <c r="H44" s="99" t="s">
        <v>138</v>
      </c>
      <c r="I44" s="100" t="s">
        <v>120</v>
      </c>
      <c r="J44" s="103">
        <f>4.75/J1</f>
        <v>0.15833333333333333</v>
      </c>
      <c r="K44" s="104"/>
      <c r="L44" s="104"/>
      <c r="M44" s="104"/>
      <c r="N44" s="104"/>
      <c r="O44" s="105"/>
      <c r="P44" s="104"/>
      <c r="Q44" s="106" t="s">
        <v>223</v>
      </c>
      <c r="R44" s="100">
        <v>151</v>
      </c>
      <c r="S44" s="112" t="s">
        <v>261</v>
      </c>
      <c r="T44" s="107">
        <f>J44*J$1*R44</f>
        <v>717.25</v>
      </c>
      <c r="U44" s="107"/>
      <c r="V44" s="108">
        <v>382813</v>
      </c>
      <c r="W44" s="99"/>
      <c r="X44" s="109"/>
      <c r="Y44" s="109"/>
    </row>
    <row r="45" spans="2:25" s="61" customFormat="1" ht="12" customHeight="1" x14ac:dyDescent="0.2">
      <c r="B45" s="1" t="s">
        <v>155</v>
      </c>
      <c r="C45" s="3" t="s">
        <v>169</v>
      </c>
      <c r="D45" s="3" t="s">
        <v>164</v>
      </c>
      <c r="E45" s="4">
        <v>36739</v>
      </c>
      <c r="F45" s="4">
        <v>36769</v>
      </c>
      <c r="G45" s="1" t="s">
        <v>138</v>
      </c>
      <c r="H45" s="1" t="s">
        <v>138</v>
      </c>
      <c r="I45" s="3" t="s">
        <v>120</v>
      </c>
      <c r="J45" s="8">
        <f>10.913/31</f>
        <v>0.35203225806451616</v>
      </c>
      <c r="K45" s="5"/>
      <c r="L45" s="5"/>
      <c r="M45" s="5"/>
      <c r="N45" s="5"/>
      <c r="O45" s="42"/>
      <c r="P45" s="5"/>
      <c r="Q45" s="24" t="s">
        <v>223</v>
      </c>
      <c r="R45" s="3">
        <f>431+67</f>
        <v>498</v>
      </c>
      <c r="S45" s="1"/>
      <c r="T45" s="9">
        <f>J45*J$1*R45</f>
        <v>5259.361935483872</v>
      </c>
      <c r="U45" s="9"/>
      <c r="V45" s="55">
        <v>345006</v>
      </c>
      <c r="W45" s="1"/>
      <c r="X45" s="36"/>
      <c r="Y45" s="36"/>
    </row>
    <row r="46" spans="2:25" s="61" customFormat="1" ht="12" customHeight="1" x14ac:dyDescent="0.2">
      <c r="B46" s="1"/>
      <c r="C46" s="3"/>
      <c r="D46" s="3"/>
      <c r="E46" s="4"/>
      <c r="F46" s="4"/>
      <c r="G46" s="1"/>
      <c r="H46" s="1"/>
      <c r="I46" s="3"/>
      <c r="J46" s="8"/>
      <c r="K46" s="5"/>
      <c r="L46" s="5"/>
      <c r="M46" s="5"/>
      <c r="N46" s="5"/>
      <c r="O46" s="42"/>
      <c r="P46" s="5"/>
      <c r="Q46" s="24"/>
      <c r="R46" s="3"/>
      <c r="S46" s="1"/>
      <c r="T46" s="9"/>
      <c r="U46" s="9"/>
      <c r="V46" s="55"/>
      <c r="W46" s="1"/>
      <c r="X46" s="36"/>
      <c r="Y46" s="36"/>
    </row>
    <row r="47" spans="2:25" s="61" customFormat="1" x14ac:dyDescent="0.2">
      <c r="B47" s="1"/>
      <c r="C47" s="3"/>
      <c r="D47" s="3"/>
      <c r="E47" s="4"/>
      <c r="F47" s="4"/>
      <c r="G47" s="29"/>
      <c r="H47" s="29"/>
      <c r="I47" s="3"/>
      <c r="J47" s="8"/>
      <c r="K47" s="5"/>
      <c r="L47" s="5"/>
      <c r="M47" s="5"/>
      <c r="N47" s="5"/>
      <c r="O47" s="42"/>
      <c r="P47" s="5"/>
      <c r="Q47" s="24"/>
      <c r="R47" s="3"/>
      <c r="S47" s="1"/>
      <c r="T47" s="9">
        <f>SUM(T32:T46)</f>
        <v>412166.31195064512</v>
      </c>
      <c r="U47" s="9"/>
      <c r="V47" s="55"/>
      <c r="W47" s="1"/>
      <c r="X47" s="36"/>
      <c r="Y47" s="36"/>
    </row>
    <row r="48" spans="2:25" x14ac:dyDescent="0.2">
      <c r="B48" s="16" t="s">
        <v>35</v>
      </c>
      <c r="C48" s="17" t="s">
        <v>36</v>
      </c>
      <c r="D48" s="17" t="s">
        <v>37</v>
      </c>
      <c r="E48" s="18" t="s">
        <v>38</v>
      </c>
      <c r="F48" s="18"/>
      <c r="G48" s="16" t="s">
        <v>39</v>
      </c>
      <c r="H48" s="16" t="s">
        <v>40</v>
      </c>
      <c r="I48" s="17" t="s">
        <v>72</v>
      </c>
      <c r="J48" s="19" t="s">
        <v>41</v>
      </c>
      <c r="K48" s="17" t="s">
        <v>42</v>
      </c>
      <c r="L48" s="17" t="s">
        <v>43</v>
      </c>
      <c r="M48" s="17" t="s">
        <v>44</v>
      </c>
      <c r="N48" s="17" t="s">
        <v>45</v>
      </c>
      <c r="O48" s="43" t="s">
        <v>46</v>
      </c>
      <c r="P48" s="17" t="s">
        <v>47</v>
      </c>
      <c r="Q48" s="20" t="s">
        <v>153</v>
      </c>
      <c r="R48" s="17" t="s">
        <v>48</v>
      </c>
      <c r="S48" s="16" t="s">
        <v>49</v>
      </c>
      <c r="T48" s="21" t="s">
        <v>71</v>
      </c>
      <c r="U48" s="21" t="s">
        <v>70</v>
      </c>
      <c r="V48" s="53" t="s">
        <v>154</v>
      </c>
      <c r="W48" s="58" t="e">
        <f>+#REF!</f>
        <v>#REF!</v>
      </c>
      <c r="X48" s="36"/>
      <c r="Y48" s="36"/>
    </row>
    <row r="49" spans="2:25" s="110" customFormat="1" x14ac:dyDescent="0.2">
      <c r="B49" s="99" t="s">
        <v>155</v>
      </c>
      <c r="C49" s="100" t="s">
        <v>33</v>
      </c>
      <c r="D49" s="100" t="s">
        <v>111</v>
      </c>
      <c r="E49" s="101">
        <v>36770</v>
      </c>
      <c r="F49" s="101">
        <v>36799</v>
      </c>
      <c r="G49" s="99" t="s">
        <v>112</v>
      </c>
      <c r="H49" s="102" t="s">
        <v>113</v>
      </c>
      <c r="I49" s="100" t="s">
        <v>110</v>
      </c>
      <c r="J49" s="103">
        <f>5.17/+J1</f>
        <v>0.17233333333333334</v>
      </c>
      <c r="K49" s="104">
        <v>7.6300000000000007E-2</v>
      </c>
      <c r="L49" s="104">
        <v>2.2000000000000001E-3</v>
      </c>
      <c r="M49" s="104">
        <v>7.1999999999999998E-3</v>
      </c>
      <c r="N49" s="104">
        <v>0</v>
      </c>
      <c r="O49" s="105">
        <v>2.7900000000000001E-2</v>
      </c>
      <c r="P49" s="104">
        <f>SUM(J49:N49)</f>
        <v>0.25803333333333334</v>
      </c>
      <c r="Q49" s="106">
        <v>34703</v>
      </c>
      <c r="R49" s="100">
        <v>1052</v>
      </c>
      <c r="S49" s="99" t="s">
        <v>53</v>
      </c>
      <c r="T49" s="107">
        <f>J49*J$1*R49</f>
        <v>5438.84</v>
      </c>
      <c r="U49" s="107"/>
      <c r="V49" s="108">
        <v>384203</v>
      </c>
      <c r="W49" s="99" t="s">
        <v>114</v>
      </c>
      <c r="X49" s="109"/>
      <c r="Y49" s="109"/>
    </row>
    <row r="50" spans="2:25" s="110" customFormat="1" x14ac:dyDescent="0.2">
      <c r="B50" s="99" t="s">
        <v>155</v>
      </c>
      <c r="C50" s="100" t="s">
        <v>33</v>
      </c>
      <c r="D50" s="100" t="s">
        <v>111</v>
      </c>
      <c r="E50" s="101">
        <v>36770</v>
      </c>
      <c r="F50" s="101">
        <v>36829</v>
      </c>
      <c r="G50" s="99" t="s">
        <v>112</v>
      </c>
      <c r="H50" s="102" t="s">
        <v>113</v>
      </c>
      <c r="I50" s="100" t="s">
        <v>110</v>
      </c>
      <c r="J50" s="103">
        <f>4.92/J1</f>
        <v>0.16400000000000001</v>
      </c>
      <c r="K50" s="104">
        <v>7.6300000000000007E-2</v>
      </c>
      <c r="L50" s="104">
        <v>2.2000000000000001E-3</v>
      </c>
      <c r="M50" s="104">
        <v>7.1999999999999998E-3</v>
      </c>
      <c r="N50" s="104">
        <v>0</v>
      </c>
      <c r="O50" s="105">
        <v>2.7900000000000001E-2</v>
      </c>
      <c r="P50" s="104">
        <f>SUM(J50:N50)</f>
        <v>0.24970000000000003</v>
      </c>
      <c r="Q50" s="106">
        <v>34608</v>
      </c>
      <c r="R50" s="100">
        <v>2455</v>
      </c>
      <c r="S50" s="99" t="s">
        <v>53</v>
      </c>
      <c r="T50" s="107">
        <f>J50*J$1*R50</f>
        <v>12078.6</v>
      </c>
      <c r="U50" s="107"/>
      <c r="V50" s="108">
        <v>379572</v>
      </c>
      <c r="W50" s="99"/>
      <c r="X50" s="109"/>
      <c r="Y50" s="109"/>
    </row>
    <row r="51" spans="2:25" s="110" customFormat="1" x14ac:dyDescent="0.2">
      <c r="B51" s="99" t="s">
        <v>155</v>
      </c>
      <c r="C51" s="100" t="s">
        <v>136</v>
      </c>
      <c r="D51" s="100" t="s">
        <v>111</v>
      </c>
      <c r="E51" s="101">
        <v>36770</v>
      </c>
      <c r="F51" s="101">
        <v>36799</v>
      </c>
      <c r="G51" s="99" t="s">
        <v>137</v>
      </c>
      <c r="H51" s="99" t="s">
        <v>111</v>
      </c>
      <c r="I51" s="100" t="s">
        <v>110</v>
      </c>
      <c r="J51" s="103">
        <f>11.95/J1</f>
        <v>0.39833333333333332</v>
      </c>
      <c r="K51" s="104">
        <v>0</v>
      </c>
      <c r="L51" s="104">
        <v>2.2000000000000001E-3</v>
      </c>
      <c r="M51" s="104">
        <v>7.1999999999999998E-3</v>
      </c>
      <c r="N51" s="104">
        <v>0</v>
      </c>
      <c r="O51" s="105">
        <v>2.2200000000000001E-2</v>
      </c>
      <c r="P51" s="104">
        <f>SUM(J51:N51)</f>
        <v>0.40773333333333328</v>
      </c>
      <c r="Q51" s="106">
        <v>34686</v>
      </c>
      <c r="R51" s="100">
        <v>1174</v>
      </c>
      <c r="S51" s="99" t="s">
        <v>53</v>
      </c>
      <c r="T51" s="107">
        <f>J51*J$1*R51</f>
        <v>14029.3</v>
      </c>
      <c r="U51" s="107"/>
      <c r="V51" s="108">
        <v>382821</v>
      </c>
      <c r="W51" s="99" t="s">
        <v>114</v>
      </c>
      <c r="X51" s="109"/>
      <c r="Y51" s="109"/>
    </row>
    <row r="52" spans="2:25" s="110" customFormat="1" x14ac:dyDescent="0.2">
      <c r="B52" s="99" t="s">
        <v>155</v>
      </c>
      <c r="C52" s="100" t="s">
        <v>136</v>
      </c>
      <c r="D52" s="100" t="s">
        <v>111</v>
      </c>
      <c r="E52" s="101">
        <v>36770</v>
      </c>
      <c r="F52" s="101">
        <v>36829</v>
      </c>
      <c r="G52" s="99" t="s">
        <v>137</v>
      </c>
      <c r="H52" s="99" t="s">
        <v>111</v>
      </c>
      <c r="I52" s="100" t="s">
        <v>110</v>
      </c>
      <c r="J52" s="103">
        <f>11.92/J1</f>
        <v>0.39733333333333332</v>
      </c>
      <c r="K52" s="104">
        <v>0</v>
      </c>
      <c r="L52" s="104">
        <v>2.2000000000000001E-3</v>
      </c>
      <c r="M52" s="104">
        <v>7.1999999999999998E-3</v>
      </c>
      <c r="N52" s="104">
        <v>0</v>
      </c>
      <c r="O52" s="105">
        <v>2.2200000000000001E-2</v>
      </c>
      <c r="P52" s="104">
        <f>SUM(J52:N52)</f>
        <v>0.40673333333333328</v>
      </c>
      <c r="Q52" s="106">
        <v>34594</v>
      </c>
      <c r="R52" s="100">
        <v>2738</v>
      </c>
      <c r="S52" s="99" t="s">
        <v>53</v>
      </c>
      <c r="T52" s="107">
        <f>J52*J$1*R52</f>
        <v>32636.959999999999</v>
      </c>
      <c r="U52" s="107"/>
      <c r="V52" s="108">
        <v>379663</v>
      </c>
      <c r="W52" s="99"/>
      <c r="X52" s="109"/>
      <c r="Y52" s="109"/>
    </row>
    <row r="53" spans="2:25" s="110" customFormat="1" x14ac:dyDescent="0.2">
      <c r="B53" s="99" t="s">
        <v>155</v>
      </c>
      <c r="C53" s="100" t="s">
        <v>33</v>
      </c>
      <c r="D53" s="100" t="s">
        <v>111</v>
      </c>
      <c r="E53" s="101">
        <v>36770</v>
      </c>
      <c r="F53" s="101">
        <v>36830</v>
      </c>
      <c r="G53" s="99" t="s">
        <v>166</v>
      </c>
      <c r="H53" s="99"/>
      <c r="I53" s="100" t="s">
        <v>167</v>
      </c>
      <c r="J53" s="103">
        <v>2.4799999999999999E-2</v>
      </c>
      <c r="K53" s="104"/>
      <c r="L53" s="104"/>
      <c r="M53" s="104"/>
      <c r="N53" s="104"/>
      <c r="O53" s="105"/>
      <c r="P53" s="104"/>
      <c r="Q53" s="106">
        <v>34614</v>
      </c>
      <c r="R53" s="100">
        <v>146488</v>
      </c>
      <c r="S53" s="99"/>
      <c r="T53" s="107">
        <f>J53*R53</f>
        <v>3632.9023999999999</v>
      </c>
      <c r="U53" s="107"/>
      <c r="V53" s="108">
        <v>379889</v>
      </c>
      <c r="W53" s="99"/>
      <c r="X53" s="109"/>
      <c r="Y53" s="109"/>
    </row>
    <row r="54" spans="2:25" s="110" customFormat="1" x14ac:dyDescent="0.2">
      <c r="B54" s="99" t="s">
        <v>155</v>
      </c>
      <c r="C54" s="100" t="s">
        <v>33</v>
      </c>
      <c r="D54" s="100" t="s">
        <v>111</v>
      </c>
      <c r="E54" s="101">
        <v>36770</v>
      </c>
      <c r="F54" s="101">
        <v>36830</v>
      </c>
      <c r="G54" s="99" t="s">
        <v>166</v>
      </c>
      <c r="H54" s="99"/>
      <c r="I54" s="100" t="s">
        <v>167</v>
      </c>
      <c r="J54" s="103">
        <f>2.02/J1</f>
        <v>6.7333333333333328E-2</v>
      </c>
      <c r="K54" s="104"/>
      <c r="L54" s="104"/>
      <c r="M54" s="104"/>
      <c r="N54" s="104"/>
      <c r="O54" s="105"/>
      <c r="P54" s="104"/>
      <c r="Q54" s="106">
        <v>34614</v>
      </c>
      <c r="R54" s="100">
        <v>979</v>
      </c>
      <c r="S54" s="99"/>
      <c r="T54" s="107">
        <f>J54*J$1*R54</f>
        <v>1977.58</v>
      </c>
      <c r="U54" s="107"/>
      <c r="V54" s="108">
        <v>379889</v>
      </c>
      <c r="W54" s="99"/>
      <c r="X54" s="109"/>
      <c r="Y54" s="109"/>
    </row>
    <row r="55" spans="2:25" s="110" customFormat="1" x14ac:dyDescent="0.2">
      <c r="B55" s="99" t="s">
        <v>155</v>
      </c>
      <c r="C55" s="100" t="s">
        <v>33</v>
      </c>
      <c r="D55" s="100" t="s">
        <v>111</v>
      </c>
      <c r="E55" s="101">
        <v>36770</v>
      </c>
      <c r="F55" s="101">
        <v>36799</v>
      </c>
      <c r="G55" s="99" t="s">
        <v>166</v>
      </c>
      <c r="H55" s="99"/>
      <c r="I55" s="100" t="s">
        <v>167</v>
      </c>
      <c r="J55" s="103">
        <v>2.4799999999999999E-2</v>
      </c>
      <c r="K55" s="104"/>
      <c r="L55" s="104"/>
      <c r="M55" s="104"/>
      <c r="N55" s="104"/>
      <c r="O55" s="105"/>
      <c r="P55" s="104"/>
      <c r="Q55" s="106">
        <v>34736</v>
      </c>
      <c r="R55" s="100">
        <v>62780</v>
      </c>
      <c r="S55" s="99"/>
      <c r="T55" s="107">
        <f>J55*R55</f>
        <v>1556.944</v>
      </c>
      <c r="U55" s="107"/>
      <c r="V55" s="108">
        <v>387961</v>
      </c>
      <c r="W55" s="99" t="s">
        <v>114</v>
      </c>
      <c r="X55" s="109"/>
      <c r="Y55" s="109"/>
    </row>
    <row r="56" spans="2:25" s="110" customFormat="1" x14ac:dyDescent="0.2">
      <c r="B56" s="99" t="s">
        <v>155</v>
      </c>
      <c r="C56" s="100" t="s">
        <v>33</v>
      </c>
      <c r="D56" s="100" t="s">
        <v>111</v>
      </c>
      <c r="E56" s="101">
        <v>36770</v>
      </c>
      <c r="F56" s="101">
        <v>36799</v>
      </c>
      <c r="G56" s="99" t="s">
        <v>166</v>
      </c>
      <c r="H56" s="99"/>
      <c r="I56" s="100" t="s">
        <v>167</v>
      </c>
      <c r="J56" s="103">
        <f>2.02/J1</f>
        <v>6.7333333333333328E-2</v>
      </c>
      <c r="K56" s="104"/>
      <c r="L56" s="104"/>
      <c r="M56" s="104"/>
      <c r="N56" s="104"/>
      <c r="O56" s="105"/>
      <c r="P56" s="104"/>
      <c r="Q56" s="106">
        <v>34736</v>
      </c>
      <c r="R56" s="100">
        <v>420</v>
      </c>
      <c r="S56" s="99"/>
      <c r="T56" s="107">
        <f>J56*J$1*R56</f>
        <v>848.4</v>
      </c>
      <c r="U56" s="107"/>
      <c r="V56" s="108">
        <v>389761</v>
      </c>
      <c r="W56" s="99" t="s">
        <v>114</v>
      </c>
      <c r="X56" s="109"/>
      <c r="Y56" s="109"/>
    </row>
    <row r="57" spans="2:25" s="110" customFormat="1" x14ac:dyDescent="0.2">
      <c r="B57" s="99" t="s">
        <v>155</v>
      </c>
      <c r="C57" s="100" t="s">
        <v>33</v>
      </c>
      <c r="D57" s="100" t="s">
        <v>111</v>
      </c>
      <c r="E57" s="101">
        <v>36770</v>
      </c>
      <c r="F57" s="101">
        <v>36799</v>
      </c>
      <c r="G57" s="99" t="s">
        <v>170</v>
      </c>
      <c r="H57" s="99"/>
      <c r="I57" s="100" t="s">
        <v>171</v>
      </c>
      <c r="J57" s="103">
        <v>1.8700000000000001E-2</v>
      </c>
      <c r="K57" s="104"/>
      <c r="L57" s="104"/>
      <c r="M57" s="104"/>
      <c r="N57" s="104"/>
      <c r="O57" s="105"/>
      <c r="P57" s="104"/>
      <c r="Q57" s="106">
        <v>34732</v>
      </c>
      <c r="R57" s="116">
        <v>22531</v>
      </c>
      <c r="S57" s="99"/>
      <c r="T57" s="107">
        <f>+R57*J57</f>
        <v>421.3297</v>
      </c>
      <c r="U57" s="107"/>
      <c r="V57" s="108">
        <v>387950</v>
      </c>
      <c r="W57" s="99" t="s">
        <v>114</v>
      </c>
      <c r="X57" s="109"/>
      <c r="Y57" s="109"/>
    </row>
    <row r="58" spans="2:25" s="110" customFormat="1" x14ac:dyDescent="0.2">
      <c r="B58" s="99" t="s">
        <v>155</v>
      </c>
      <c r="C58" s="100" t="s">
        <v>33</v>
      </c>
      <c r="D58" s="100" t="s">
        <v>111</v>
      </c>
      <c r="E58" s="101">
        <v>36770</v>
      </c>
      <c r="F58" s="101">
        <v>36799</v>
      </c>
      <c r="G58" s="99" t="s">
        <v>170</v>
      </c>
      <c r="H58" s="99"/>
      <c r="I58" s="100" t="s">
        <v>171</v>
      </c>
      <c r="J58" s="103">
        <v>1.17</v>
      </c>
      <c r="K58" s="104"/>
      <c r="L58" s="104"/>
      <c r="M58" s="104"/>
      <c r="N58" s="104"/>
      <c r="O58" s="105"/>
      <c r="P58" s="104"/>
      <c r="Q58" s="106">
        <v>34732</v>
      </c>
      <c r="R58" s="116">
        <v>167</v>
      </c>
      <c r="S58" s="99"/>
      <c r="T58" s="107">
        <f>+R58*J58</f>
        <v>195.39</v>
      </c>
      <c r="U58" s="107"/>
      <c r="V58" s="108">
        <v>387950</v>
      </c>
      <c r="W58" s="99" t="s">
        <v>114</v>
      </c>
      <c r="X58" s="109"/>
      <c r="Y58" s="109"/>
    </row>
    <row r="59" spans="2:25" s="110" customFormat="1" x14ac:dyDescent="0.2">
      <c r="B59" s="99" t="s">
        <v>155</v>
      </c>
      <c r="C59" s="100" t="s">
        <v>33</v>
      </c>
      <c r="D59" s="100" t="s">
        <v>111</v>
      </c>
      <c r="E59" s="101">
        <v>36770</v>
      </c>
      <c r="F59" s="101">
        <v>36830</v>
      </c>
      <c r="G59" s="99" t="s">
        <v>170</v>
      </c>
      <c r="H59" s="99"/>
      <c r="I59" s="100" t="s">
        <v>171</v>
      </c>
      <c r="J59" s="103">
        <v>1.8700000000000001E-2</v>
      </c>
      <c r="K59" s="104"/>
      <c r="L59" s="104"/>
      <c r="M59" s="104"/>
      <c r="N59" s="104"/>
      <c r="O59" s="105"/>
      <c r="P59" s="104"/>
      <c r="Q59" s="106">
        <v>34576</v>
      </c>
      <c r="R59" s="116">
        <v>52573</v>
      </c>
      <c r="S59" s="99"/>
      <c r="T59" s="107">
        <f>+R59*J59</f>
        <v>983.1151000000001</v>
      </c>
      <c r="U59" s="107"/>
      <c r="V59" s="108">
        <v>379856</v>
      </c>
      <c r="W59" s="99"/>
      <c r="X59" s="109"/>
      <c r="Y59" s="109"/>
    </row>
    <row r="60" spans="2:25" s="110" customFormat="1" x14ac:dyDescent="0.2">
      <c r="B60" s="99" t="s">
        <v>155</v>
      </c>
      <c r="C60" s="100" t="s">
        <v>33</v>
      </c>
      <c r="D60" s="100" t="s">
        <v>111</v>
      </c>
      <c r="E60" s="101">
        <v>36770</v>
      </c>
      <c r="F60" s="101">
        <v>36830</v>
      </c>
      <c r="G60" s="99" t="s">
        <v>170</v>
      </c>
      <c r="H60" s="99"/>
      <c r="I60" s="100" t="s">
        <v>171</v>
      </c>
      <c r="J60" s="103">
        <v>1.17</v>
      </c>
      <c r="K60" s="104"/>
      <c r="L60" s="104"/>
      <c r="M60" s="104"/>
      <c r="N60" s="104"/>
      <c r="O60" s="105"/>
      <c r="P60" s="104"/>
      <c r="Q60" s="106">
        <v>34576</v>
      </c>
      <c r="R60" s="116">
        <v>389</v>
      </c>
      <c r="S60" s="99"/>
      <c r="T60" s="107">
        <f>+R60*J60</f>
        <v>455.13</v>
      </c>
      <c r="U60" s="107"/>
      <c r="V60" s="108">
        <v>379856</v>
      </c>
      <c r="W60" s="99"/>
      <c r="X60" s="109"/>
      <c r="Y60" s="109"/>
    </row>
    <row r="61" spans="2:25" x14ac:dyDescent="0.2">
      <c r="B61" s="1"/>
      <c r="C61" s="3"/>
      <c r="D61" s="3"/>
      <c r="E61" s="4"/>
      <c r="F61" s="4"/>
      <c r="G61" s="1"/>
      <c r="H61" s="1"/>
      <c r="I61" s="3"/>
      <c r="J61" s="8"/>
      <c r="K61" s="5"/>
      <c r="L61" s="23"/>
      <c r="M61" s="5"/>
      <c r="N61" s="5"/>
      <c r="O61" s="42"/>
      <c r="P61" s="5"/>
      <c r="Q61" s="24"/>
      <c r="R61" s="2"/>
      <c r="S61" s="3"/>
      <c r="T61" s="9"/>
      <c r="U61" s="9"/>
      <c r="V61" s="55"/>
      <c r="W61" s="1"/>
      <c r="X61" s="36"/>
      <c r="Y61" s="36"/>
    </row>
    <row r="62" spans="2:25" x14ac:dyDescent="0.2">
      <c r="B62" s="1"/>
      <c r="C62" s="3"/>
      <c r="D62" s="3"/>
      <c r="E62" s="4"/>
      <c r="F62" s="4"/>
      <c r="G62" s="1"/>
      <c r="H62" s="1"/>
      <c r="I62" s="3"/>
      <c r="J62" s="8"/>
      <c r="K62" s="5"/>
      <c r="L62" s="23"/>
      <c r="M62" s="5"/>
      <c r="N62" s="5"/>
      <c r="O62" s="45"/>
      <c r="P62" s="5"/>
      <c r="Q62" s="24"/>
      <c r="R62" s="3"/>
      <c r="S62" s="3"/>
      <c r="T62" s="70">
        <f>SUM(T49:T61)</f>
        <v>74254.491200000004</v>
      </c>
      <c r="W62" s="29"/>
      <c r="X62" s="37"/>
      <c r="Y62" s="37"/>
    </row>
    <row r="63" spans="2:25" x14ac:dyDescent="0.2">
      <c r="B63" s="16" t="s">
        <v>35</v>
      </c>
      <c r="C63" s="17" t="s">
        <v>36</v>
      </c>
      <c r="D63" s="17" t="s">
        <v>37</v>
      </c>
      <c r="E63" s="18" t="s">
        <v>38</v>
      </c>
      <c r="F63" s="18"/>
      <c r="G63" s="16" t="s">
        <v>39</v>
      </c>
      <c r="H63" s="16" t="s">
        <v>40</v>
      </c>
      <c r="I63" s="17" t="s">
        <v>72</v>
      </c>
      <c r="J63" s="19" t="s">
        <v>41</v>
      </c>
      <c r="K63" s="17" t="s">
        <v>42</v>
      </c>
      <c r="L63" s="17" t="s">
        <v>43</v>
      </c>
      <c r="M63" s="17" t="s">
        <v>44</v>
      </c>
      <c r="N63" s="17" t="s">
        <v>45</v>
      </c>
      <c r="O63" s="43" t="s">
        <v>46</v>
      </c>
      <c r="P63" s="17" t="s">
        <v>47</v>
      </c>
      <c r="Q63" s="20" t="s">
        <v>153</v>
      </c>
      <c r="R63" s="17" t="s">
        <v>48</v>
      </c>
      <c r="S63" s="16" t="s">
        <v>49</v>
      </c>
      <c r="T63" s="21" t="s">
        <v>71</v>
      </c>
      <c r="U63" s="21" t="s">
        <v>70</v>
      </c>
      <c r="V63" s="53" t="s">
        <v>154</v>
      </c>
      <c r="W63" s="58"/>
      <c r="X63" s="36"/>
      <c r="Y63" s="36"/>
    </row>
    <row r="64" spans="2:25" ht="11.25" customHeight="1" x14ac:dyDescent="0.2">
      <c r="B64" s="1"/>
      <c r="C64" s="3" t="s">
        <v>252</v>
      </c>
      <c r="D64" s="3"/>
      <c r="E64" s="4"/>
      <c r="F64" s="4" t="s">
        <v>253</v>
      </c>
      <c r="G64" s="1"/>
      <c r="H64" s="1"/>
      <c r="I64" s="3"/>
      <c r="J64" s="8"/>
      <c r="K64" s="5"/>
      <c r="L64" s="23"/>
      <c r="M64" s="5"/>
      <c r="N64" s="5"/>
      <c r="O64" s="42"/>
      <c r="P64" s="5"/>
      <c r="Q64" s="24"/>
      <c r="R64" s="2"/>
      <c r="S64" s="3"/>
      <c r="T64" s="9"/>
      <c r="U64" s="9"/>
      <c r="V64" s="55"/>
      <c r="W64" s="1"/>
      <c r="X64" s="36"/>
      <c r="Y64" s="36"/>
    </row>
    <row r="65" spans="2:25" x14ac:dyDescent="0.2">
      <c r="B65" s="16" t="s">
        <v>35</v>
      </c>
      <c r="C65" s="17" t="s">
        <v>36</v>
      </c>
      <c r="D65" s="17" t="s">
        <v>37</v>
      </c>
      <c r="E65" s="18" t="s">
        <v>38</v>
      </c>
      <c r="F65" s="18"/>
      <c r="G65" s="16" t="s">
        <v>39</v>
      </c>
      <c r="H65" s="16" t="s">
        <v>40</v>
      </c>
      <c r="I65" s="17" t="s">
        <v>72</v>
      </c>
      <c r="J65" s="19" t="s">
        <v>41</v>
      </c>
      <c r="K65" s="17" t="s">
        <v>42</v>
      </c>
      <c r="L65" s="17" t="s">
        <v>43</v>
      </c>
      <c r="M65" s="17" t="s">
        <v>44</v>
      </c>
      <c r="N65" s="17" t="s">
        <v>45</v>
      </c>
      <c r="O65" s="43" t="s">
        <v>46</v>
      </c>
      <c r="P65" s="17" t="s">
        <v>47</v>
      </c>
      <c r="Q65" s="20" t="s">
        <v>153</v>
      </c>
      <c r="R65" s="17" t="s">
        <v>48</v>
      </c>
      <c r="S65" s="16" t="s">
        <v>49</v>
      </c>
      <c r="T65" s="21" t="s">
        <v>71</v>
      </c>
      <c r="U65" s="21" t="s">
        <v>70</v>
      </c>
      <c r="V65" s="53" t="s">
        <v>154</v>
      </c>
      <c r="W65" s="58">
        <f>+W12</f>
        <v>0</v>
      </c>
      <c r="X65" s="36"/>
      <c r="Y65" s="36"/>
    </row>
    <row r="66" spans="2:25" s="61" customFormat="1" x14ac:dyDescent="0.2">
      <c r="B66" s="1" t="s">
        <v>155</v>
      </c>
      <c r="C66" s="3" t="s">
        <v>118</v>
      </c>
      <c r="D66" s="3" t="s">
        <v>117</v>
      </c>
      <c r="E66" s="4">
        <v>36220</v>
      </c>
      <c r="F66" s="4">
        <v>36707</v>
      </c>
      <c r="G66" s="1" t="s">
        <v>121</v>
      </c>
      <c r="H66" s="1" t="s">
        <v>119</v>
      </c>
      <c r="I66" s="3" t="s">
        <v>120</v>
      </c>
      <c r="J66" s="8">
        <v>0.30330000000000001</v>
      </c>
      <c r="K66" s="5">
        <v>0</v>
      </c>
      <c r="L66" s="5">
        <v>2.2000000000000001E-3</v>
      </c>
      <c r="M66" s="5">
        <v>0</v>
      </c>
      <c r="N66" s="5">
        <v>0</v>
      </c>
      <c r="O66" s="42">
        <v>0</v>
      </c>
      <c r="P66" s="5">
        <f>SUM(J66:N66)</f>
        <v>0.30549999999999999</v>
      </c>
      <c r="Q66" s="24" t="s">
        <v>162</v>
      </c>
      <c r="R66" s="3">
        <v>0</v>
      </c>
      <c r="S66" s="1" t="s">
        <v>161</v>
      </c>
      <c r="T66" s="9">
        <f>J66*J$1*R66</f>
        <v>0</v>
      </c>
      <c r="U66" s="9"/>
      <c r="V66" s="55">
        <v>157260</v>
      </c>
      <c r="W66" s="1" t="s">
        <v>251</v>
      </c>
      <c r="X66" s="36"/>
      <c r="Y66" s="36"/>
    </row>
    <row r="67" spans="2:25" s="61" customFormat="1" x14ac:dyDescent="0.2">
      <c r="B67" s="1" t="s">
        <v>155</v>
      </c>
      <c r="C67" s="3" t="s">
        <v>118</v>
      </c>
      <c r="D67" s="3" t="s">
        <v>117</v>
      </c>
      <c r="E67" s="4">
        <v>36220</v>
      </c>
      <c r="F67" s="4">
        <v>36707</v>
      </c>
      <c r="G67" s="1" t="s">
        <v>122</v>
      </c>
      <c r="H67" s="1" t="s">
        <v>119</v>
      </c>
      <c r="I67" s="3" t="s">
        <v>120</v>
      </c>
      <c r="J67" s="8">
        <v>0.30330000000000001</v>
      </c>
      <c r="K67" s="5">
        <v>0</v>
      </c>
      <c r="L67" s="5">
        <v>2.2000000000000001E-3</v>
      </c>
      <c r="M67" s="5">
        <v>0</v>
      </c>
      <c r="N67" s="5">
        <v>0</v>
      </c>
      <c r="O67" s="42">
        <v>0</v>
      </c>
      <c r="P67" s="5">
        <f>SUM(J67:N67)</f>
        <v>0.30549999999999999</v>
      </c>
      <c r="Q67" s="24" t="s">
        <v>162</v>
      </c>
      <c r="R67" s="3">
        <v>0</v>
      </c>
      <c r="S67" s="1" t="s">
        <v>161</v>
      </c>
      <c r="T67" s="9">
        <f>J67*J$1*R67</f>
        <v>0</v>
      </c>
      <c r="U67" s="9"/>
      <c r="V67" s="55">
        <v>157260</v>
      </c>
      <c r="W67" s="1" t="s">
        <v>251</v>
      </c>
      <c r="X67" s="36"/>
      <c r="Y67" s="36"/>
    </row>
    <row r="68" spans="2:25" x14ac:dyDescent="0.2">
      <c r="B68" s="1"/>
      <c r="C68" s="3"/>
      <c r="D68" s="3"/>
      <c r="E68" s="4" t="s">
        <v>34</v>
      </c>
      <c r="F68" s="4"/>
      <c r="G68" s="1"/>
      <c r="H68" s="1"/>
      <c r="I68" s="3"/>
      <c r="J68" s="8"/>
      <c r="K68" s="5"/>
      <c r="L68" s="23"/>
      <c r="M68" s="5"/>
      <c r="N68" s="5"/>
      <c r="O68" s="42"/>
      <c r="P68" s="5"/>
      <c r="Q68" s="48"/>
      <c r="R68" s="49">
        <f>SUM(R66:R67)</f>
        <v>0</v>
      </c>
      <c r="S68" s="40"/>
      <c r="T68" s="39">
        <f>SUM(T66:T67)</f>
        <v>0</v>
      </c>
      <c r="U68" s="39"/>
      <c r="V68" s="56"/>
      <c r="W68" s="59"/>
      <c r="X68" s="35"/>
      <c r="Y68" s="35"/>
    </row>
    <row r="69" spans="2:25" ht="11.25" customHeight="1" x14ac:dyDescent="0.2">
      <c r="B69" s="16" t="s">
        <v>35</v>
      </c>
      <c r="C69" s="17" t="s">
        <v>36</v>
      </c>
      <c r="D69" s="17" t="s">
        <v>37</v>
      </c>
      <c r="E69" s="18" t="s">
        <v>38</v>
      </c>
      <c r="F69" s="18"/>
      <c r="G69" s="16" t="s">
        <v>39</v>
      </c>
      <c r="H69" s="16" t="s">
        <v>40</v>
      </c>
      <c r="I69" s="17" t="s">
        <v>72</v>
      </c>
      <c r="J69" s="19" t="s">
        <v>41</v>
      </c>
      <c r="K69" s="17" t="s">
        <v>42</v>
      </c>
      <c r="L69" s="17" t="s">
        <v>43</v>
      </c>
      <c r="M69" s="17" t="s">
        <v>44</v>
      </c>
      <c r="N69" s="17" t="s">
        <v>45</v>
      </c>
      <c r="O69" s="43" t="s">
        <v>46</v>
      </c>
      <c r="P69" s="17" t="s">
        <v>47</v>
      </c>
      <c r="Q69" s="20" t="s">
        <v>153</v>
      </c>
      <c r="R69" s="17" t="s">
        <v>48</v>
      </c>
      <c r="S69" s="16" t="s">
        <v>49</v>
      </c>
      <c r="T69" s="21" t="s">
        <v>71</v>
      </c>
      <c r="U69" s="21" t="s">
        <v>70</v>
      </c>
      <c r="V69" s="53" t="s">
        <v>154</v>
      </c>
      <c r="W69" s="58" t="e">
        <f>+#REF!</f>
        <v>#REF!</v>
      </c>
      <c r="X69" s="36"/>
      <c r="Y69" s="36"/>
    </row>
    <row r="70" spans="2:25" s="110" customFormat="1" x14ac:dyDescent="0.2">
      <c r="B70" s="99" t="s">
        <v>155</v>
      </c>
      <c r="C70" s="100" t="s">
        <v>32</v>
      </c>
      <c r="D70" s="100" t="s">
        <v>111</v>
      </c>
      <c r="E70" s="101">
        <v>36770</v>
      </c>
      <c r="F70" s="101">
        <v>37894</v>
      </c>
      <c r="G70" s="99" t="s">
        <v>55</v>
      </c>
      <c r="H70" s="102" t="s">
        <v>126</v>
      </c>
      <c r="I70" s="100" t="s">
        <v>123</v>
      </c>
      <c r="J70" s="103">
        <f>7.5654/J$1</f>
        <v>0.25218000000000002</v>
      </c>
      <c r="K70" s="104">
        <v>0</v>
      </c>
      <c r="L70" s="104">
        <v>2.2000000000000001E-3</v>
      </c>
      <c r="M70" s="104">
        <v>0</v>
      </c>
      <c r="N70" s="104">
        <v>0</v>
      </c>
      <c r="O70" s="105">
        <v>0</v>
      </c>
      <c r="P70" s="104">
        <f t="shared" ref="P70:P79" si="3">SUM(J70:N70)</f>
        <v>0.25438</v>
      </c>
      <c r="Q70" s="113">
        <v>3.6673</v>
      </c>
      <c r="R70" s="100">
        <v>764</v>
      </c>
      <c r="S70" s="99" t="s">
        <v>272</v>
      </c>
      <c r="T70" s="107">
        <f t="shared" ref="T70:T79" si="4">J70*J$1*R70</f>
        <v>5779.9656000000004</v>
      </c>
      <c r="U70" s="107"/>
      <c r="V70" s="108">
        <v>375520</v>
      </c>
      <c r="W70" s="99"/>
      <c r="X70" s="109"/>
      <c r="Y70" s="109"/>
    </row>
    <row r="71" spans="2:25" s="110" customFormat="1" x14ac:dyDescent="0.2">
      <c r="B71" s="99" t="s">
        <v>155</v>
      </c>
      <c r="C71" s="100" t="s">
        <v>32</v>
      </c>
      <c r="D71" s="100" t="s">
        <v>111</v>
      </c>
      <c r="E71" s="101">
        <v>36770</v>
      </c>
      <c r="F71" s="101">
        <v>37894</v>
      </c>
      <c r="G71" s="99" t="s">
        <v>124</v>
      </c>
      <c r="H71" s="102" t="s">
        <v>126</v>
      </c>
      <c r="I71" s="100" t="s">
        <v>123</v>
      </c>
      <c r="J71" s="103">
        <f>+J70</f>
        <v>0.25218000000000002</v>
      </c>
      <c r="K71" s="104">
        <v>0</v>
      </c>
      <c r="L71" s="104">
        <v>2.2000000000000001E-3</v>
      </c>
      <c r="M71" s="104">
        <v>0</v>
      </c>
      <c r="N71" s="104">
        <v>0</v>
      </c>
      <c r="O71" s="105">
        <v>0</v>
      </c>
      <c r="P71" s="104">
        <f t="shared" si="3"/>
        <v>0.25438</v>
      </c>
      <c r="Q71" s="113">
        <f>+Q70</f>
        <v>3.6673</v>
      </c>
      <c r="R71" s="100">
        <v>1123</v>
      </c>
      <c r="S71" s="99" t="str">
        <f>+S70</f>
        <v>#021351</v>
      </c>
      <c r="T71" s="107">
        <f t="shared" si="4"/>
        <v>8495.9441999999999</v>
      </c>
      <c r="U71" s="107"/>
      <c r="V71" s="108">
        <f>+V70</f>
        <v>375520</v>
      </c>
      <c r="W71" s="99"/>
      <c r="X71" s="109"/>
      <c r="Y71" s="109"/>
    </row>
    <row r="72" spans="2:25" s="110" customFormat="1" x14ac:dyDescent="0.2">
      <c r="B72" s="99" t="s">
        <v>155</v>
      </c>
      <c r="C72" s="100" t="s">
        <v>32</v>
      </c>
      <c r="D72" s="100" t="s">
        <v>111</v>
      </c>
      <c r="E72" s="101">
        <v>36770</v>
      </c>
      <c r="F72" s="101">
        <v>37894</v>
      </c>
      <c r="G72" s="99" t="s">
        <v>125</v>
      </c>
      <c r="H72" s="102" t="s">
        <v>126</v>
      </c>
      <c r="I72" s="100" t="s">
        <v>123</v>
      </c>
      <c r="J72" s="103">
        <f>+J71</f>
        <v>0.25218000000000002</v>
      </c>
      <c r="K72" s="104">
        <v>0</v>
      </c>
      <c r="L72" s="104">
        <v>2.2000000000000001E-3</v>
      </c>
      <c r="M72" s="104">
        <v>0</v>
      </c>
      <c r="N72" s="104">
        <v>0</v>
      </c>
      <c r="O72" s="105">
        <v>0</v>
      </c>
      <c r="P72" s="104">
        <f t="shared" si="3"/>
        <v>0.25438</v>
      </c>
      <c r="Q72" s="113">
        <f>+Q71</f>
        <v>3.6673</v>
      </c>
      <c r="R72" s="100">
        <f>853+1752</f>
        <v>2605</v>
      </c>
      <c r="S72" s="99" t="str">
        <f>+S71</f>
        <v>#021351</v>
      </c>
      <c r="T72" s="107">
        <f t="shared" si="4"/>
        <v>19707.867000000002</v>
      </c>
      <c r="U72" s="107"/>
      <c r="V72" s="108">
        <f>+V71</f>
        <v>375520</v>
      </c>
      <c r="W72" s="99"/>
      <c r="X72" s="109"/>
      <c r="Y72" s="109"/>
    </row>
    <row r="73" spans="2:25" s="110" customFormat="1" x14ac:dyDescent="0.2">
      <c r="B73" s="99" t="s">
        <v>155</v>
      </c>
      <c r="C73" s="100" t="s">
        <v>32</v>
      </c>
      <c r="D73" s="100" t="s">
        <v>111</v>
      </c>
      <c r="E73" s="101">
        <v>36770</v>
      </c>
      <c r="F73" s="101">
        <v>36799</v>
      </c>
      <c r="G73" s="99" t="s">
        <v>55</v>
      </c>
      <c r="H73" s="102" t="s">
        <v>126</v>
      </c>
      <c r="I73" s="100" t="s">
        <v>123</v>
      </c>
      <c r="J73" s="103">
        <f t="shared" ref="J73:J78" si="5">7.5654/J$1</f>
        <v>0.25218000000000002</v>
      </c>
      <c r="K73" s="104">
        <v>0</v>
      </c>
      <c r="L73" s="104">
        <v>2.2000000000000001E-3</v>
      </c>
      <c r="M73" s="104">
        <v>0</v>
      </c>
      <c r="N73" s="104">
        <v>0</v>
      </c>
      <c r="O73" s="105">
        <v>0</v>
      </c>
      <c r="P73" s="104">
        <f>SUM(J73:N73)</f>
        <v>0.25438</v>
      </c>
      <c r="Q73" s="113">
        <v>3.6751999999999998</v>
      </c>
      <c r="R73" s="114">
        <v>20</v>
      </c>
      <c r="S73" s="99" t="s">
        <v>277</v>
      </c>
      <c r="T73" s="107">
        <f>J73*J$1*R73</f>
        <v>151.30799999999999</v>
      </c>
      <c r="U73" s="107"/>
      <c r="V73" s="108">
        <v>379552</v>
      </c>
      <c r="W73" s="99"/>
      <c r="X73" s="109"/>
      <c r="Y73" s="109"/>
    </row>
    <row r="74" spans="2:25" s="110" customFormat="1" x14ac:dyDescent="0.2">
      <c r="B74" s="99" t="s">
        <v>155</v>
      </c>
      <c r="C74" s="100" t="s">
        <v>32</v>
      </c>
      <c r="D74" s="100" t="s">
        <v>111</v>
      </c>
      <c r="E74" s="101">
        <v>36770</v>
      </c>
      <c r="F74" s="101">
        <v>36799</v>
      </c>
      <c r="G74" s="99" t="s">
        <v>124</v>
      </c>
      <c r="H74" s="102" t="s">
        <v>126</v>
      </c>
      <c r="I74" s="100" t="s">
        <v>123</v>
      </c>
      <c r="J74" s="103">
        <f t="shared" si="5"/>
        <v>0.25218000000000002</v>
      </c>
      <c r="K74" s="104">
        <v>0</v>
      </c>
      <c r="L74" s="104">
        <v>2.2000000000000001E-3</v>
      </c>
      <c r="M74" s="104">
        <v>0</v>
      </c>
      <c r="N74" s="104">
        <v>0</v>
      </c>
      <c r="O74" s="105">
        <v>0</v>
      </c>
      <c r="P74" s="104">
        <f>SUM(J74:N74)</f>
        <v>0.25438</v>
      </c>
      <c r="Q74" s="113">
        <f>+Q73</f>
        <v>3.6751999999999998</v>
      </c>
      <c r="R74" s="100">
        <v>29</v>
      </c>
      <c r="S74" s="99" t="str">
        <f>+S73</f>
        <v>#021461</v>
      </c>
      <c r="T74" s="107">
        <f>J74*J$1*R74</f>
        <v>219.39660000000001</v>
      </c>
      <c r="U74" s="107"/>
      <c r="V74" s="108">
        <v>375532</v>
      </c>
      <c r="W74" s="99"/>
      <c r="X74" s="109"/>
      <c r="Y74" s="109"/>
    </row>
    <row r="75" spans="2:25" s="110" customFormat="1" x14ac:dyDescent="0.2">
      <c r="B75" s="99" t="s">
        <v>155</v>
      </c>
      <c r="C75" s="100" t="s">
        <v>32</v>
      </c>
      <c r="D75" s="100" t="s">
        <v>111</v>
      </c>
      <c r="E75" s="101">
        <v>36770</v>
      </c>
      <c r="F75" s="101">
        <v>36799</v>
      </c>
      <c r="G75" s="99" t="s">
        <v>125</v>
      </c>
      <c r="H75" s="102" t="s">
        <v>126</v>
      </c>
      <c r="I75" s="100" t="s">
        <v>123</v>
      </c>
      <c r="J75" s="103">
        <f t="shared" si="5"/>
        <v>0.25218000000000002</v>
      </c>
      <c r="K75" s="104">
        <v>0</v>
      </c>
      <c r="L75" s="104">
        <v>2.2000000000000001E-3</v>
      </c>
      <c r="M75" s="104">
        <v>0</v>
      </c>
      <c r="N75" s="104">
        <v>0</v>
      </c>
      <c r="O75" s="105">
        <v>0</v>
      </c>
      <c r="P75" s="104">
        <f>SUM(J75:N75)</f>
        <v>0.25438</v>
      </c>
      <c r="Q75" s="113">
        <f>+Q74</f>
        <v>3.6751999999999998</v>
      </c>
      <c r="R75" s="100">
        <f>22+45</f>
        <v>67</v>
      </c>
      <c r="S75" s="99" t="str">
        <f>+S74</f>
        <v>#021461</v>
      </c>
      <c r="T75" s="107">
        <f>J75*J$1*R75</f>
        <v>506.8818</v>
      </c>
      <c r="U75" s="107"/>
      <c r="V75" s="108">
        <v>375532</v>
      </c>
      <c r="W75" s="99"/>
      <c r="X75" s="109"/>
      <c r="Y75" s="109"/>
    </row>
    <row r="76" spans="2:25" s="110" customFormat="1" x14ac:dyDescent="0.2">
      <c r="B76" s="99" t="s">
        <v>155</v>
      </c>
      <c r="C76" s="100" t="s">
        <v>32</v>
      </c>
      <c r="D76" s="100" t="s">
        <v>111</v>
      </c>
      <c r="E76" s="101">
        <v>36770</v>
      </c>
      <c r="F76" s="101">
        <v>37864</v>
      </c>
      <c r="G76" s="99" t="s">
        <v>55</v>
      </c>
      <c r="H76" s="102" t="s">
        <v>126</v>
      </c>
      <c r="I76" s="100" t="s">
        <v>123</v>
      </c>
      <c r="J76" s="103">
        <f t="shared" si="5"/>
        <v>0.25218000000000002</v>
      </c>
      <c r="K76" s="104">
        <v>0</v>
      </c>
      <c r="L76" s="104">
        <v>2.2000000000000001E-3</v>
      </c>
      <c r="M76" s="104">
        <v>0</v>
      </c>
      <c r="N76" s="104">
        <v>0</v>
      </c>
      <c r="O76" s="105">
        <v>0</v>
      </c>
      <c r="P76" s="104">
        <f t="shared" si="3"/>
        <v>0.25438</v>
      </c>
      <c r="Q76" s="113">
        <v>3.6675</v>
      </c>
      <c r="R76" s="114">
        <v>46</v>
      </c>
      <c r="S76" s="99" t="s">
        <v>270</v>
      </c>
      <c r="T76" s="107">
        <f t="shared" si="4"/>
        <v>348.00839999999999</v>
      </c>
      <c r="U76" s="107"/>
      <c r="V76" s="108">
        <v>375532</v>
      </c>
      <c r="W76" s="99"/>
      <c r="X76" s="109"/>
      <c r="Y76" s="109"/>
    </row>
    <row r="77" spans="2:25" s="110" customFormat="1" x14ac:dyDescent="0.2">
      <c r="B77" s="99" t="s">
        <v>155</v>
      </c>
      <c r="C77" s="100" t="s">
        <v>32</v>
      </c>
      <c r="D77" s="100" t="s">
        <v>111</v>
      </c>
      <c r="E77" s="101">
        <v>36770</v>
      </c>
      <c r="F77" s="101">
        <v>37864</v>
      </c>
      <c r="G77" s="99" t="s">
        <v>124</v>
      </c>
      <c r="H77" s="102" t="s">
        <v>126</v>
      </c>
      <c r="I77" s="100" t="s">
        <v>123</v>
      </c>
      <c r="J77" s="103">
        <f t="shared" si="5"/>
        <v>0.25218000000000002</v>
      </c>
      <c r="K77" s="104">
        <v>0</v>
      </c>
      <c r="L77" s="104">
        <v>2.2000000000000001E-3</v>
      </c>
      <c r="M77" s="104">
        <v>0</v>
      </c>
      <c r="N77" s="104">
        <v>0</v>
      </c>
      <c r="O77" s="105">
        <v>0</v>
      </c>
      <c r="P77" s="104">
        <f t="shared" si="3"/>
        <v>0.25438</v>
      </c>
      <c r="Q77" s="113">
        <f>+Q76</f>
        <v>3.6675</v>
      </c>
      <c r="R77" s="100">
        <v>68</v>
      </c>
      <c r="S77" s="99" t="str">
        <f>+S76</f>
        <v>#021349</v>
      </c>
      <c r="T77" s="107">
        <f t="shared" si="4"/>
        <v>514.44720000000007</v>
      </c>
      <c r="U77" s="107"/>
      <c r="V77" s="108">
        <v>375532</v>
      </c>
      <c r="W77" s="99"/>
      <c r="X77" s="109"/>
      <c r="Y77" s="109"/>
    </row>
    <row r="78" spans="2:25" s="110" customFormat="1" x14ac:dyDescent="0.2">
      <c r="B78" s="99" t="s">
        <v>155</v>
      </c>
      <c r="C78" s="100" t="s">
        <v>32</v>
      </c>
      <c r="D78" s="100" t="s">
        <v>111</v>
      </c>
      <c r="E78" s="101">
        <v>36770</v>
      </c>
      <c r="F78" s="101">
        <v>37864</v>
      </c>
      <c r="G78" s="99" t="s">
        <v>125</v>
      </c>
      <c r="H78" s="102" t="s">
        <v>126</v>
      </c>
      <c r="I78" s="100" t="s">
        <v>123</v>
      </c>
      <c r="J78" s="103">
        <f t="shared" si="5"/>
        <v>0.25218000000000002</v>
      </c>
      <c r="K78" s="104">
        <v>0</v>
      </c>
      <c r="L78" s="104">
        <v>2.2000000000000001E-3</v>
      </c>
      <c r="M78" s="104">
        <v>0</v>
      </c>
      <c r="N78" s="104">
        <v>0</v>
      </c>
      <c r="O78" s="105">
        <v>0</v>
      </c>
      <c r="P78" s="104">
        <f t="shared" si="3"/>
        <v>0.25438</v>
      </c>
      <c r="Q78" s="113">
        <f>+Q77</f>
        <v>3.6675</v>
      </c>
      <c r="R78" s="100">
        <f>51+105</f>
        <v>156</v>
      </c>
      <c r="S78" s="99" t="str">
        <f>+S77</f>
        <v>#021349</v>
      </c>
      <c r="T78" s="107">
        <f t="shared" si="4"/>
        <v>1180.2024000000001</v>
      </c>
      <c r="U78" s="107"/>
      <c r="V78" s="108">
        <v>375532</v>
      </c>
      <c r="W78" s="99"/>
      <c r="X78" s="109"/>
      <c r="Y78" s="109"/>
    </row>
    <row r="79" spans="2:25" s="110" customFormat="1" x14ac:dyDescent="0.2">
      <c r="B79" s="99" t="s">
        <v>155</v>
      </c>
      <c r="C79" s="100" t="s">
        <v>32</v>
      </c>
      <c r="D79" s="100" t="s">
        <v>111</v>
      </c>
      <c r="E79" s="101">
        <v>36770</v>
      </c>
      <c r="F79" s="101">
        <v>37864</v>
      </c>
      <c r="G79" s="99" t="s">
        <v>127</v>
      </c>
      <c r="H79" s="102" t="s">
        <v>126</v>
      </c>
      <c r="I79" s="100" t="s">
        <v>128</v>
      </c>
      <c r="J79" s="103">
        <f>14.1875/30</f>
        <v>0.47291666666666665</v>
      </c>
      <c r="K79" s="104">
        <v>0</v>
      </c>
      <c r="L79" s="104">
        <v>2.2000000000000001E-3</v>
      </c>
      <c r="M79" s="104">
        <v>0</v>
      </c>
      <c r="N79" s="104">
        <v>0</v>
      </c>
      <c r="O79" s="105">
        <v>0</v>
      </c>
      <c r="P79" s="104">
        <f t="shared" si="3"/>
        <v>0.47511666666666663</v>
      </c>
      <c r="Q79" s="115">
        <v>3.6674000000000002</v>
      </c>
      <c r="R79" s="100">
        <v>3575</v>
      </c>
      <c r="S79" s="99" t="s">
        <v>271</v>
      </c>
      <c r="T79" s="107">
        <f t="shared" si="4"/>
        <v>50720.3125</v>
      </c>
      <c r="U79" s="107"/>
      <c r="V79" s="108">
        <v>375527</v>
      </c>
      <c r="W79" s="99"/>
      <c r="X79" s="109"/>
      <c r="Y79" s="109"/>
    </row>
    <row r="80" spans="2:25" s="110" customFormat="1" x14ac:dyDescent="0.2">
      <c r="B80" s="99" t="s">
        <v>155</v>
      </c>
      <c r="C80" s="100" t="s">
        <v>32</v>
      </c>
      <c r="D80" s="100" t="s">
        <v>111</v>
      </c>
      <c r="E80" s="101">
        <v>36770</v>
      </c>
      <c r="F80" s="101">
        <v>36799</v>
      </c>
      <c r="G80" s="99" t="s">
        <v>127</v>
      </c>
      <c r="H80" s="102" t="s">
        <v>126</v>
      </c>
      <c r="I80" s="100" t="s">
        <v>128</v>
      </c>
      <c r="J80" s="103">
        <f>14.1875/30</f>
        <v>0.47291666666666665</v>
      </c>
      <c r="K80" s="104">
        <v>0</v>
      </c>
      <c r="L80" s="104">
        <v>2.2000000000000001E-3</v>
      </c>
      <c r="M80" s="104">
        <v>0</v>
      </c>
      <c r="N80" s="104">
        <v>0</v>
      </c>
      <c r="O80" s="105">
        <v>0</v>
      </c>
      <c r="P80" s="104">
        <f t="shared" ref="P80:P91" si="6">SUM(J80:N80)</f>
        <v>0.47511666666666663</v>
      </c>
      <c r="Q80" s="115">
        <v>3.6751</v>
      </c>
      <c r="R80" s="100">
        <v>1532</v>
      </c>
      <c r="S80" s="99" t="s">
        <v>276</v>
      </c>
      <c r="T80" s="107">
        <f>J80*J$1*R80</f>
        <v>21735.25</v>
      </c>
      <c r="U80" s="107"/>
      <c r="V80" s="108">
        <v>379349</v>
      </c>
      <c r="W80" s="99"/>
      <c r="X80" s="109"/>
      <c r="Y80" s="109"/>
    </row>
    <row r="81" spans="2:25" s="110" customFormat="1" x14ac:dyDescent="0.2">
      <c r="B81" s="99" t="s">
        <v>155</v>
      </c>
      <c r="C81" s="100" t="s">
        <v>32</v>
      </c>
      <c r="D81" s="100" t="s">
        <v>111</v>
      </c>
      <c r="E81" s="101">
        <v>36770</v>
      </c>
      <c r="F81" s="101">
        <v>36799</v>
      </c>
      <c r="G81" s="99" t="s">
        <v>55</v>
      </c>
      <c r="H81" s="102" t="s">
        <v>126</v>
      </c>
      <c r="I81" s="100" t="s">
        <v>123</v>
      </c>
      <c r="J81" s="103">
        <f>7.5654/J$1</f>
        <v>0.25218000000000002</v>
      </c>
      <c r="K81" s="104">
        <v>0</v>
      </c>
      <c r="L81" s="104">
        <v>2.2000000000000001E-3</v>
      </c>
      <c r="M81" s="104">
        <v>0</v>
      </c>
      <c r="N81" s="104">
        <v>0</v>
      </c>
      <c r="O81" s="105">
        <v>0</v>
      </c>
      <c r="P81" s="104">
        <f t="shared" si="6"/>
        <v>0.25438</v>
      </c>
      <c r="Q81" s="113">
        <v>3.6749999999999998</v>
      </c>
      <c r="R81" s="114">
        <v>327</v>
      </c>
      <c r="S81" s="99" t="s">
        <v>275</v>
      </c>
      <c r="T81" s="107">
        <f>J81*J$1*R81</f>
        <v>2473.8858</v>
      </c>
      <c r="U81" s="107"/>
      <c r="V81" s="108">
        <v>379308</v>
      </c>
      <c r="W81" s="99"/>
      <c r="X81" s="109"/>
      <c r="Y81" s="109"/>
    </row>
    <row r="82" spans="2:25" s="110" customFormat="1" x14ac:dyDescent="0.2">
      <c r="B82" s="99" t="s">
        <v>155</v>
      </c>
      <c r="C82" s="100" t="s">
        <v>32</v>
      </c>
      <c r="D82" s="100" t="s">
        <v>111</v>
      </c>
      <c r="E82" s="101">
        <v>36770</v>
      </c>
      <c r="F82" s="101">
        <v>36799</v>
      </c>
      <c r="G82" s="99" t="s">
        <v>124</v>
      </c>
      <c r="H82" s="102" t="s">
        <v>126</v>
      </c>
      <c r="I82" s="100" t="s">
        <v>123</v>
      </c>
      <c r="J82" s="103">
        <f>7.5654/J$1</f>
        <v>0.25218000000000002</v>
      </c>
      <c r="K82" s="104">
        <v>0</v>
      </c>
      <c r="L82" s="104">
        <v>2.2000000000000001E-3</v>
      </c>
      <c r="M82" s="104">
        <v>0</v>
      </c>
      <c r="N82" s="104">
        <v>0</v>
      </c>
      <c r="O82" s="105">
        <v>0</v>
      </c>
      <c r="P82" s="104">
        <f t="shared" si="6"/>
        <v>0.25438</v>
      </c>
      <c r="Q82" s="113">
        <f>+Q81</f>
        <v>3.6749999999999998</v>
      </c>
      <c r="R82" s="100">
        <v>481</v>
      </c>
      <c r="S82" s="99" t="str">
        <f>+S81</f>
        <v>#021463</v>
      </c>
      <c r="T82" s="107">
        <f>J82*J$1*R82</f>
        <v>3638.9574000000002</v>
      </c>
      <c r="U82" s="107"/>
      <c r="V82" s="108">
        <f>+V81</f>
        <v>379308</v>
      </c>
      <c r="W82" s="99"/>
      <c r="X82" s="109"/>
      <c r="Y82" s="109"/>
    </row>
    <row r="83" spans="2:25" s="110" customFormat="1" x14ac:dyDescent="0.2">
      <c r="B83" s="99" t="s">
        <v>155</v>
      </c>
      <c r="C83" s="100" t="s">
        <v>32</v>
      </c>
      <c r="D83" s="100" t="s">
        <v>111</v>
      </c>
      <c r="E83" s="101">
        <v>36770</v>
      </c>
      <c r="F83" s="101">
        <v>36799</v>
      </c>
      <c r="G83" s="99" t="s">
        <v>125</v>
      </c>
      <c r="H83" s="102" t="s">
        <v>126</v>
      </c>
      <c r="I83" s="100" t="s">
        <v>123</v>
      </c>
      <c r="J83" s="103">
        <f>7.5654/J$1</f>
        <v>0.25218000000000002</v>
      </c>
      <c r="K83" s="104">
        <v>0</v>
      </c>
      <c r="L83" s="104">
        <v>2.2000000000000001E-3</v>
      </c>
      <c r="M83" s="104">
        <v>0</v>
      </c>
      <c r="N83" s="104">
        <v>0</v>
      </c>
      <c r="O83" s="105">
        <v>0</v>
      </c>
      <c r="P83" s="104">
        <f t="shared" si="6"/>
        <v>0.25438</v>
      </c>
      <c r="Q83" s="113">
        <f>+Q82</f>
        <v>3.6749999999999998</v>
      </c>
      <c r="R83" s="100">
        <f>366+751</f>
        <v>1117</v>
      </c>
      <c r="S83" s="99" t="str">
        <f>+S82</f>
        <v>#021463</v>
      </c>
      <c r="T83" s="107">
        <f>J83*J$1*R83</f>
        <v>8450.5518000000011</v>
      </c>
      <c r="U83" s="107"/>
      <c r="V83" s="108">
        <f>+V82</f>
        <v>379308</v>
      </c>
      <c r="W83" s="99"/>
      <c r="X83" s="109"/>
      <c r="Y83" s="109"/>
    </row>
    <row r="84" spans="2:25" s="133" customFormat="1" x14ac:dyDescent="0.2">
      <c r="B84" s="121" t="s">
        <v>155</v>
      </c>
      <c r="C84" s="122" t="s">
        <v>32</v>
      </c>
      <c r="D84" s="122" t="s">
        <v>111</v>
      </c>
      <c r="E84" s="123">
        <v>36770</v>
      </c>
      <c r="F84" s="123">
        <v>36799</v>
      </c>
      <c r="G84" s="121" t="s">
        <v>132</v>
      </c>
      <c r="H84" s="124"/>
      <c r="I84" s="122" t="s">
        <v>131</v>
      </c>
      <c r="J84" s="125">
        <v>7.9000000000000008E-3</v>
      </c>
      <c r="K84" s="126">
        <v>0</v>
      </c>
      <c r="L84" s="126">
        <v>2.2000000000000001E-3</v>
      </c>
      <c r="M84" s="126">
        <v>0</v>
      </c>
      <c r="N84" s="126">
        <v>0</v>
      </c>
      <c r="O84" s="127">
        <v>0</v>
      </c>
      <c r="P84" s="126">
        <f t="shared" si="6"/>
        <v>1.0100000000000001E-2</v>
      </c>
      <c r="Q84" s="135">
        <v>3.6793999999999998</v>
      </c>
      <c r="R84" s="122">
        <v>168000</v>
      </c>
      <c r="S84" s="121" t="s">
        <v>284</v>
      </c>
      <c r="T84" s="129">
        <f>+R84*J84</f>
        <v>1327.2</v>
      </c>
      <c r="U84" s="130"/>
      <c r="V84" s="131">
        <v>384464</v>
      </c>
      <c r="W84" s="121"/>
      <c r="X84" s="132"/>
      <c r="Y84" s="132"/>
    </row>
    <row r="85" spans="2:25" s="133" customFormat="1" x14ac:dyDescent="0.2">
      <c r="B85" s="121" t="s">
        <v>155</v>
      </c>
      <c r="C85" s="122" t="s">
        <v>32</v>
      </c>
      <c r="D85" s="122" t="s">
        <v>111</v>
      </c>
      <c r="E85" s="123">
        <v>36770</v>
      </c>
      <c r="F85" s="123">
        <v>36799</v>
      </c>
      <c r="G85" s="121" t="s">
        <v>130</v>
      </c>
      <c r="H85" s="124"/>
      <c r="I85" s="122" t="s">
        <v>131</v>
      </c>
      <c r="J85" s="125">
        <v>0.6673</v>
      </c>
      <c r="K85" s="126">
        <v>0</v>
      </c>
      <c r="L85" s="126">
        <v>2.2000000000000001E-3</v>
      </c>
      <c r="M85" s="126">
        <v>0</v>
      </c>
      <c r="N85" s="126">
        <v>0</v>
      </c>
      <c r="O85" s="127">
        <v>0</v>
      </c>
      <c r="P85" s="126">
        <f t="shared" si="6"/>
        <v>0.66949999999999998</v>
      </c>
      <c r="Q85" s="135">
        <v>3.6793999999999998</v>
      </c>
      <c r="R85" s="122">
        <v>642</v>
      </c>
      <c r="S85" s="121" t="s">
        <v>284</v>
      </c>
      <c r="T85" s="129">
        <f>+R85*J85</f>
        <v>428.40660000000003</v>
      </c>
      <c r="U85" s="130"/>
      <c r="V85" s="131">
        <v>384464</v>
      </c>
      <c r="W85" s="121"/>
      <c r="X85" s="132"/>
      <c r="Y85" s="132"/>
    </row>
    <row r="86" spans="2:25" s="133" customFormat="1" x14ac:dyDescent="0.2">
      <c r="B86" s="121" t="s">
        <v>155</v>
      </c>
      <c r="C86" s="122" t="s">
        <v>32</v>
      </c>
      <c r="D86" s="122" t="s">
        <v>111</v>
      </c>
      <c r="E86" s="123">
        <v>36770</v>
      </c>
      <c r="F86" s="123">
        <v>37864</v>
      </c>
      <c r="G86" s="121" t="s">
        <v>132</v>
      </c>
      <c r="H86" s="124"/>
      <c r="I86" s="122" t="s">
        <v>131</v>
      </c>
      <c r="J86" s="125">
        <v>7.9000000000000008E-3</v>
      </c>
      <c r="K86" s="126">
        <v>0</v>
      </c>
      <c r="L86" s="126">
        <v>2.2000000000000001E-3</v>
      </c>
      <c r="M86" s="126">
        <v>0</v>
      </c>
      <c r="N86" s="126">
        <v>0</v>
      </c>
      <c r="O86" s="127">
        <v>0</v>
      </c>
      <c r="P86" s="126">
        <f t="shared" si="6"/>
        <v>1.0100000000000001E-2</v>
      </c>
      <c r="Q86" s="134">
        <v>3.6686000000000001</v>
      </c>
      <c r="R86" s="122">
        <v>261182</v>
      </c>
      <c r="S86" s="121" t="s">
        <v>269</v>
      </c>
      <c r="T86" s="129">
        <f>+R86*J86</f>
        <v>2063.3378000000002</v>
      </c>
      <c r="U86" s="130"/>
      <c r="V86" s="131">
        <v>377146</v>
      </c>
      <c r="W86" s="121"/>
      <c r="X86" s="132"/>
      <c r="Y86" s="132"/>
    </row>
    <row r="87" spans="2:25" s="133" customFormat="1" x14ac:dyDescent="0.2">
      <c r="B87" s="121" t="s">
        <v>155</v>
      </c>
      <c r="C87" s="122" t="s">
        <v>32</v>
      </c>
      <c r="D87" s="122" t="s">
        <v>111</v>
      </c>
      <c r="E87" s="123">
        <v>36770</v>
      </c>
      <c r="F87" s="123">
        <v>37864</v>
      </c>
      <c r="G87" s="121" t="s">
        <v>130</v>
      </c>
      <c r="H87" s="124"/>
      <c r="I87" s="122" t="s">
        <v>131</v>
      </c>
      <c r="J87" s="125">
        <v>0.6673</v>
      </c>
      <c r="K87" s="126">
        <v>0</v>
      </c>
      <c r="L87" s="126">
        <v>2.2000000000000001E-3</v>
      </c>
      <c r="M87" s="126">
        <v>0</v>
      </c>
      <c r="N87" s="126">
        <v>0</v>
      </c>
      <c r="O87" s="127">
        <v>0</v>
      </c>
      <c r="P87" s="126">
        <f t="shared" si="6"/>
        <v>0.66949999999999998</v>
      </c>
      <c r="Q87" s="134">
        <v>3.6686000000000001</v>
      </c>
      <c r="R87" s="122">
        <v>3073</v>
      </c>
      <c r="S87" s="121" t="s">
        <v>269</v>
      </c>
      <c r="T87" s="129">
        <f>+R87*J87</f>
        <v>2050.6129000000001</v>
      </c>
      <c r="U87" s="130"/>
      <c r="V87" s="131">
        <v>377146</v>
      </c>
      <c r="W87" s="121"/>
      <c r="X87" s="132"/>
      <c r="Y87" s="132"/>
    </row>
    <row r="88" spans="2:25" s="133" customFormat="1" x14ac:dyDescent="0.2">
      <c r="B88" s="121" t="s">
        <v>155</v>
      </c>
      <c r="C88" s="122" t="s">
        <v>32</v>
      </c>
      <c r="D88" s="122" t="s">
        <v>111</v>
      </c>
      <c r="E88" s="123">
        <v>36770</v>
      </c>
      <c r="F88" s="123" t="s">
        <v>273</v>
      </c>
      <c r="G88" s="121" t="s">
        <v>133</v>
      </c>
      <c r="H88" s="124"/>
      <c r="I88" s="122" t="s">
        <v>135</v>
      </c>
      <c r="J88" s="125">
        <v>4.8099999999999997E-2</v>
      </c>
      <c r="K88" s="126">
        <v>0</v>
      </c>
      <c r="L88" s="126">
        <v>2.2000000000000001E-3</v>
      </c>
      <c r="M88" s="126">
        <v>0</v>
      </c>
      <c r="N88" s="126">
        <v>0</v>
      </c>
      <c r="O88" s="127">
        <v>0</v>
      </c>
      <c r="P88" s="126">
        <f t="shared" si="6"/>
        <v>5.0299999999999997E-2</v>
      </c>
      <c r="Q88" s="128">
        <v>3.6684999999999999</v>
      </c>
      <c r="R88" s="122">
        <v>13269</v>
      </c>
      <c r="S88" s="121" t="s">
        <v>274</v>
      </c>
      <c r="T88" s="129">
        <f>+J88*R88</f>
        <v>638.23889999999994</v>
      </c>
      <c r="U88" s="130"/>
      <c r="V88" s="131">
        <v>377157</v>
      </c>
      <c r="W88" s="121"/>
      <c r="X88" s="132"/>
      <c r="Y88" s="132"/>
    </row>
    <row r="89" spans="2:25" s="133" customFormat="1" x14ac:dyDescent="0.2">
      <c r="B89" s="121" t="s">
        <v>155</v>
      </c>
      <c r="C89" s="122" t="s">
        <v>32</v>
      </c>
      <c r="D89" s="122" t="s">
        <v>111</v>
      </c>
      <c r="E89" s="123">
        <v>36770</v>
      </c>
      <c r="F89" s="123" t="s">
        <v>273</v>
      </c>
      <c r="G89" s="121" t="s">
        <v>134</v>
      </c>
      <c r="H89" s="124"/>
      <c r="I89" s="122" t="s">
        <v>135</v>
      </c>
      <c r="J89" s="125">
        <v>0.48399999999999999</v>
      </c>
      <c r="K89" s="126">
        <v>0</v>
      </c>
      <c r="L89" s="126">
        <v>2.2000000000000001E-3</v>
      </c>
      <c r="M89" s="126">
        <v>0</v>
      </c>
      <c r="N89" s="126">
        <v>0</v>
      </c>
      <c r="O89" s="127">
        <v>0</v>
      </c>
      <c r="P89" s="126">
        <f t="shared" si="6"/>
        <v>0.48619999999999997</v>
      </c>
      <c r="Q89" s="128">
        <v>3.6684999999999999</v>
      </c>
      <c r="R89" s="122">
        <v>1319</v>
      </c>
      <c r="S89" s="121" t="s">
        <v>274</v>
      </c>
      <c r="T89" s="129">
        <f>+J89*R89</f>
        <v>638.39599999999996</v>
      </c>
      <c r="U89" s="130"/>
      <c r="V89" s="131">
        <v>377157</v>
      </c>
      <c r="W89" s="121"/>
      <c r="X89" s="132"/>
      <c r="Y89" s="132"/>
    </row>
    <row r="90" spans="2:25" s="133" customFormat="1" x14ac:dyDescent="0.2">
      <c r="B90" s="121" t="s">
        <v>155</v>
      </c>
      <c r="C90" s="122" t="s">
        <v>32</v>
      </c>
      <c r="D90" s="122" t="s">
        <v>111</v>
      </c>
      <c r="E90" s="123">
        <v>36770</v>
      </c>
      <c r="F90" s="123">
        <v>36799</v>
      </c>
      <c r="G90" s="121" t="s">
        <v>133</v>
      </c>
      <c r="H90" s="124"/>
      <c r="I90" s="122" t="s">
        <v>135</v>
      </c>
      <c r="J90" s="125">
        <v>4.8099999999999997E-2</v>
      </c>
      <c r="K90" s="126">
        <v>0</v>
      </c>
      <c r="L90" s="126">
        <v>2.2000000000000001E-3</v>
      </c>
      <c r="M90" s="126">
        <v>0</v>
      </c>
      <c r="N90" s="126">
        <v>0</v>
      </c>
      <c r="O90" s="127">
        <v>0</v>
      </c>
      <c r="P90" s="126">
        <f t="shared" si="6"/>
        <v>5.0299999999999997E-2</v>
      </c>
      <c r="Q90" s="128">
        <v>3.6791</v>
      </c>
      <c r="R90" s="122">
        <v>5687</v>
      </c>
      <c r="S90" s="121" t="s">
        <v>283</v>
      </c>
      <c r="T90" s="129">
        <f>+J90*R90</f>
        <v>273.54469999999998</v>
      </c>
      <c r="U90" s="130"/>
      <c r="V90" s="131">
        <v>384211</v>
      </c>
      <c r="W90" s="121"/>
      <c r="X90" s="132"/>
      <c r="Y90" s="132"/>
    </row>
    <row r="91" spans="2:25" s="133" customFormat="1" x14ac:dyDescent="0.2">
      <c r="B91" s="121" t="s">
        <v>155</v>
      </c>
      <c r="C91" s="122" t="s">
        <v>32</v>
      </c>
      <c r="D91" s="122" t="s">
        <v>111</v>
      </c>
      <c r="E91" s="123">
        <v>36770</v>
      </c>
      <c r="F91" s="123">
        <v>36799</v>
      </c>
      <c r="G91" s="121" t="s">
        <v>134</v>
      </c>
      <c r="H91" s="124"/>
      <c r="I91" s="122" t="s">
        <v>135</v>
      </c>
      <c r="J91" s="125">
        <v>0.48399999999999999</v>
      </c>
      <c r="K91" s="126">
        <v>0</v>
      </c>
      <c r="L91" s="126">
        <v>2.2000000000000001E-3</v>
      </c>
      <c r="M91" s="126">
        <v>0</v>
      </c>
      <c r="N91" s="126">
        <v>0</v>
      </c>
      <c r="O91" s="127">
        <v>0</v>
      </c>
      <c r="P91" s="126">
        <f t="shared" si="6"/>
        <v>0.48619999999999997</v>
      </c>
      <c r="Q91" s="128">
        <v>3.6791</v>
      </c>
      <c r="R91" s="122">
        <v>565</v>
      </c>
      <c r="S91" s="121" t="s">
        <v>283</v>
      </c>
      <c r="T91" s="129">
        <f>+J91*R91</f>
        <v>273.45999999999998</v>
      </c>
      <c r="U91" s="130"/>
      <c r="V91" s="131">
        <v>384211</v>
      </c>
      <c r="W91" s="121"/>
      <c r="X91" s="132"/>
      <c r="Y91" s="132"/>
    </row>
    <row r="92" spans="2:25" x14ac:dyDescent="0.2">
      <c r="B92" s="27"/>
      <c r="C92" s="3"/>
      <c r="D92" s="3"/>
      <c r="E92" s="4"/>
      <c r="F92" s="4"/>
      <c r="G92" s="1"/>
      <c r="H92" s="1"/>
      <c r="I92" s="3"/>
      <c r="J92" s="8"/>
      <c r="K92" s="5"/>
      <c r="L92" s="5"/>
      <c r="M92" s="5"/>
      <c r="N92" s="5"/>
      <c r="O92" s="42"/>
      <c r="P92" s="5"/>
      <c r="Q92" s="48"/>
      <c r="R92" s="49"/>
      <c r="S92" s="28"/>
      <c r="T92" s="28">
        <f>SUM(T70:T91)</f>
        <v>131616.17560000002</v>
      </c>
      <c r="U92" s="28"/>
      <c r="V92" s="51"/>
      <c r="W92" s="57"/>
      <c r="X92" s="35"/>
      <c r="Y92" s="35"/>
    </row>
    <row r="93" spans="2:25" x14ac:dyDescent="0.2">
      <c r="B93" s="27"/>
      <c r="C93" s="3"/>
      <c r="D93" s="3"/>
      <c r="E93" s="4"/>
      <c r="F93" s="4"/>
      <c r="G93" s="1"/>
      <c r="H93" s="1"/>
      <c r="I93" s="3"/>
      <c r="J93" s="5"/>
      <c r="K93" s="5"/>
      <c r="L93" s="5"/>
      <c r="M93" s="5"/>
      <c r="N93" s="5"/>
      <c r="O93" s="42"/>
      <c r="P93" s="5"/>
      <c r="Q93" s="48"/>
      <c r="R93" s="49"/>
      <c r="S93" s="28"/>
      <c r="T93" s="28"/>
      <c r="U93" s="28"/>
      <c r="V93" s="51"/>
      <c r="W93" s="57"/>
      <c r="X93" s="35"/>
      <c r="Y93" s="35"/>
    </row>
    <row r="94" spans="2:25" x14ac:dyDescent="0.2">
      <c r="B94" s="27"/>
      <c r="C94" s="3"/>
      <c r="D94" s="3"/>
      <c r="E94" s="4"/>
      <c r="F94" s="4"/>
      <c r="G94" s="1"/>
      <c r="H94" s="1"/>
      <c r="I94" s="3"/>
      <c r="J94" s="8"/>
      <c r="K94" s="5"/>
      <c r="L94" s="5"/>
      <c r="M94" s="5"/>
      <c r="N94" s="5"/>
      <c r="O94" s="42"/>
      <c r="P94" s="5"/>
      <c r="Q94" s="48"/>
      <c r="R94" s="49"/>
      <c r="S94" s="28"/>
      <c r="T94" s="28"/>
      <c r="U94" s="28"/>
      <c r="V94" s="51"/>
      <c r="W94" s="57"/>
      <c r="X94" s="35"/>
      <c r="Y94" s="35"/>
    </row>
    <row r="95" spans="2:25" ht="13.5" thickBot="1" x14ac:dyDescent="0.25">
      <c r="B95" s="27"/>
      <c r="C95" s="3"/>
      <c r="D95" s="3"/>
      <c r="E95" s="4"/>
      <c r="F95" s="4"/>
      <c r="G95" s="1"/>
      <c r="H95" s="1"/>
      <c r="I95" s="3"/>
      <c r="J95" s="5"/>
      <c r="K95" s="5"/>
      <c r="L95" s="5"/>
      <c r="M95" s="5"/>
      <c r="N95" s="5"/>
      <c r="O95" s="42"/>
      <c r="P95" s="5"/>
      <c r="Q95" s="48"/>
      <c r="R95" s="49"/>
      <c r="S95" s="28"/>
      <c r="T95" s="71">
        <f>SUM(T92,T68,T64,T62,T47,T30)</f>
        <v>624027.93275064521</v>
      </c>
      <c r="U95" s="28" t="s">
        <v>300</v>
      </c>
      <c r="V95" s="51"/>
      <c r="W95" s="57"/>
      <c r="X95" s="35"/>
      <c r="Y95" s="35"/>
    </row>
    <row r="96" spans="2:25" ht="13.5" thickTop="1" x14ac:dyDescent="0.2">
      <c r="B96" s="27"/>
      <c r="C96" s="3"/>
      <c r="D96" s="3"/>
      <c r="E96" s="4"/>
      <c r="F96" s="4"/>
      <c r="G96" s="1"/>
      <c r="H96" s="1"/>
      <c r="I96" s="3"/>
      <c r="J96" s="5"/>
      <c r="K96" s="5"/>
      <c r="L96" s="5"/>
      <c r="M96" s="5"/>
      <c r="N96" s="5"/>
      <c r="O96" s="42"/>
      <c r="P96" s="5"/>
      <c r="Q96" s="48"/>
      <c r="R96" s="49"/>
      <c r="S96" s="28"/>
      <c r="T96" s="28"/>
      <c r="U96" s="57" t="s">
        <v>176</v>
      </c>
      <c r="V96" s="51"/>
      <c r="W96" s="57"/>
      <c r="X96" s="40"/>
      <c r="Y96" s="35"/>
    </row>
    <row r="97" spans="2:25" x14ac:dyDescent="0.2">
      <c r="B97" s="27"/>
      <c r="C97" s="3"/>
      <c r="D97" s="3"/>
      <c r="E97" s="4"/>
      <c r="F97" s="4"/>
      <c r="G97" s="1"/>
      <c r="H97" s="1"/>
      <c r="I97" s="3"/>
      <c r="J97" s="5"/>
      <c r="K97" s="5"/>
      <c r="L97" s="5"/>
      <c r="M97" s="5"/>
      <c r="N97" s="5"/>
      <c r="O97" s="42"/>
      <c r="P97" s="5"/>
      <c r="Q97" s="48"/>
      <c r="R97" s="49"/>
      <c r="S97" s="28"/>
      <c r="T97" s="28"/>
      <c r="U97" s="28"/>
      <c r="V97" s="51"/>
      <c r="W97" s="57"/>
      <c r="X97" s="35"/>
      <c r="Y97" s="35"/>
    </row>
    <row r="98" spans="2:25" x14ac:dyDescent="0.2">
      <c r="B98" s="27"/>
      <c r="C98" s="3"/>
      <c r="D98" s="3"/>
      <c r="E98" s="4"/>
      <c r="F98" s="4"/>
      <c r="G98" s="1"/>
      <c r="H98" s="1"/>
      <c r="I98" s="3"/>
      <c r="J98" s="5"/>
      <c r="K98" s="5"/>
      <c r="L98" s="5"/>
      <c r="M98" s="5"/>
      <c r="N98" s="5"/>
      <c r="O98" s="42"/>
      <c r="P98" s="5"/>
      <c r="Q98" s="48"/>
      <c r="R98" s="49"/>
      <c r="S98" s="28"/>
      <c r="T98" s="28"/>
      <c r="U98" s="28"/>
      <c r="V98" s="51"/>
      <c r="W98" s="57"/>
      <c r="X98" s="35"/>
      <c r="Y98" s="35"/>
    </row>
    <row r="99" spans="2:25" x14ac:dyDescent="0.2">
      <c r="B99" s="27"/>
      <c r="C99" s="3"/>
      <c r="D99" s="3"/>
      <c r="E99" s="36"/>
      <c r="F99" s="4"/>
      <c r="G99" s="1"/>
      <c r="H99" s="1"/>
      <c r="I99" s="3"/>
      <c r="J99" s="8"/>
      <c r="K99" s="5"/>
      <c r="L99" s="5"/>
      <c r="M99" s="5"/>
      <c r="N99" s="5"/>
      <c r="O99" s="42"/>
      <c r="P99" s="5"/>
      <c r="Q99" s="48"/>
      <c r="R99" s="49"/>
      <c r="S99" s="40"/>
      <c r="T99" s="28"/>
      <c r="U99" s="28"/>
      <c r="V99" s="51"/>
      <c r="W99" s="57"/>
      <c r="X99" s="35"/>
      <c r="Y99" s="35"/>
    </row>
    <row r="100" spans="2:25" x14ac:dyDescent="0.2">
      <c r="B100" s="27"/>
      <c r="C100" s="3"/>
      <c r="D100" s="3"/>
      <c r="E100" s="36"/>
      <c r="F100" s="4"/>
      <c r="G100" s="1"/>
      <c r="H100" s="1"/>
      <c r="I100" s="3"/>
      <c r="J100" s="8"/>
      <c r="K100" s="5"/>
      <c r="L100" s="5"/>
      <c r="M100" s="5"/>
      <c r="N100" s="5"/>
      <c r="O100" s="42"/>
      <c r="P100" s="5"/>
      <c r="Q100" s="48"/>
      <c r="R100" s="49"/>
      <c r="S100" s="40"/>
      <c r="T100" s="28"/>
      <c r="U100" s="28"/>
      <c r="V100" s="51"/>
      <c r="W100" s="57"/>
      <c r="X100" s="35"/>
      <c r="Y100" s="35"/>
    </row>
    <row r="101" spans="2:25" x14ac:dyDescent="0.2">
      <c r="E101" s="38"/>
      <c r="Q101" s="34"/>
      <c r="R101" s="34"/>
      <c r="S101" s="34"/>
      <c r="T101" s="34"/>
      <c r="U101" s="34"/>
      <c r="V101" s="50"/>
      <c r="W101" s="60"/>
      <c r="X101" s="50"/>
    </row>
    <row r="102" spans="2:25" x14ac:dyDescent="0.2">
      <c r="E102" s="38"/>
      <c r="Q102" s="34"/>
      <c r="R102" s="34"/>
      <c r="S102" s="34"/>
      <c r="T102" s="34"/>
      <c r="U102" s="34"/>
      <c r="V102" s="50"/>
      <c r="W102" s="60"/>
      <c r="X102" s="50"/>
    </row>
    <row r="103" spans="2:25" x14ac:dyDescent="0.2">
      <c r="E103" s="38"/>
    </row>
    <row r="104" spans="2:25" x14ac:dyDescent="0.2">
      <c r="E104" s="38"/>
    </row>
    <row r="105" spans="2:25" x14ac:dyDescent="0.2">
      <c r="E105" s="38"/>
    </row>
  </sheetData>
  <pageMargins left="0.75" right="0.75" top="1" bottom="1" header="0.5" footer="0.5"/>
  <pageSetup scale="33" fitToHeight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9"/>
  <sheetViews>
    <sheetView topLeftCell="E54" workbookViewId="0">
      <selection activeCell="U75" sqref="U75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6.5703125" style="25" customWidth="1"/>
    <col min="10" max="10" width="7.710937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258</v>
      </c>
      <c r="C1" s="3"/>
      <c r="D1" s="3"/>
      <c r="E1" s="4"/>
      <c r="F1" s="4"/>
      <c r="G1" s="1"/>
      <c r="H1" s="1"/>
      <c r="I1" s="3" t="s">
        <v>50</v>
      </c>
      <c r="J1" s="7">
        <v>30</v>
      </c>
      <c r="K1" s="47" t="s">
        <v>61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">
      <c r="B2" s="1" t="s">
        <v>56</v>
      </c>
      <c r="C2" s="1"/>
      <c r="D2" s="1"/>
      <c r="E2" s="4"/>
      <c r="F2" s="4"/>
      <c r="G2" s="1"/>
      <c r="H2" s="1"/>
      <c r="I2" s="3"/>
      <c r="J2" s="7"/>
      <c r="K2" s="47" t="s">
        <v>62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">
      <c r="B3" s="1" t="s">
        <v>57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2"/>
      <c r="P3" s="31" t="s">
        <v>34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">
      <c r="B5" s="1" t="s">
        <v>63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">
      <c r="B6" s="1"/>
      <c r="C6" s="3" t="s">
        <v>156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100</v>
      </c>
      <c r="E11" s="18" t="s">
        <v>38</v>
      </c>
      <c r="F11" s="18"/>
      <c r="G11" s="16" t="s">
        <v>39</v>
      </c>
      <c r="H11" s="16" t="s">
        <v>40</v>
      </c>
      <c r="I11" s="17" t="s">
        <v>72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3" t="s">
        <v>46</v>
      </c>
      <c r="P11" s="17" t="s">
        <v>47</v>
      </c>
      <c r="Q11" s="20" t="s">
        <v>153</v>
      </c>
      <c r="R11" s="17" t="s">
        <v>48</v>
      </c>
      <c r="S11" s="16" t="s">
        <v>49</v>
      </c>
      <c r="T11" s="21" t="s">
        <v>71</v>
      </c>
      <c r="U11" s="21" t="s">
        <v>70</v>
      </c>
      <c r="V11" s="53" t="s">
        <v>154</v>
      </c>
      <c r="W11" s="58" t="s">
        <v>64</v>
      </c>
      <c r="X11" s="36"/>
      <c r="Y11" s="36"/>
    </row>
    <row r="12" spans="2:25" x14ac:dyDescent="0.2">
      <c r="B12" s="16" t="s">
        <v>35</v>
      </c>
      <c r="C12" s="17" t="s">
        <v>36</v>
      </c>
      <c r="D12" s="17" t="s">
        <v>100</v>
      </c>
      <c r="E12" s="18" t="s">
        <v>38</v>
      </c>
      <c r="F12" s="18"/>
      <c r="G12" s="16" t="s">
        <v>39</v>
      </c>
      <c r="H12" s="16" t="s">
        <v>40</v>
      </c>
      <c r="I12" s="17" t="s">
        <v>72</v>
      </c>
      <c r="J12" s="19" t="s">
        <v>41</v>
      </c>
      <c r="K12" s="17" t="s">
        <v>42</v>
      </c>
      <c r="L12" s="17" t="s">
        <v>43</v>
      </c>
      <c r="M12" s="17" t="s">
        <v>44</v>
      </c>
      <c r="N12" s="17" t="s">
        <v>45</v>
      </c>
      <c r="O12" s="43" t="s">
        <v>46</v>
      </c>
      <c r="P12" s="17" t="s">
        <v>47</v>
      </c>
      <c r="Q12" s="20" t="s">
        <v>153</v>
      </c>
      <c r="R12" s="17" t="s">
        <v>48</v>
      </c>
      <c r="S12" s="16" t="s">
        <v>49</v>
      </c>
      <c r="T12" s="21" t="s">
        <v>71</v>
      </c>
      <c r="U12" s="21" t="s">
        <v>70</v>
      </c>
      <c r="V12" s="53" t="s">
        <v>154</v>
      </c>
      <c r="W12" s="58" t="s">
        <v>64</v>
      </c>
      <c r="X12" s="36"/>
      <c r="Y12" s="36"/>
    </row>
    <row r="13" spans="2:25" s="110" customFormat="1" x14ac:dyDescent="0.2">
      <c r="B13" s="99" t="s">
        <v>155</v>
      </c>
      <c r="C13" s="100" t="s">
        <v>52</v>
      </c>
      <c r="D13" s="100" t="s">
        <v>111</v>
      </c>
      <c r="E13" s="101">
        <v>36770</v>
      </c>
      <c r="F13" s="101">
        <v>36981</v>
      </c>
      <c r="G13" s="111">
        <v>10001</v>
      </c>
      <c r="H13" s="111">
        <v>10001</v>
      </c>
      <c r="I13" s="100" t="s">
        <v>101</v>
      </c>
      <c r="J13" s="103">
        <v>1.37E-2</v>
      </c>
      <c r="K13" s="104"/>
      <c r="L13" s="104"/>
      <c r="M13" s="104"/>
      <c r="N13" s="104"/>
      <c r="O13" s="105"/>
      <c r="P13" s="104"/>
      <c r="Q13" s="106">
        <v>530750</v>
      </c>
      <c r="R13" s="100">
        <v>9374</v>
      </c>
      <c r="S13" s="99" t="s">
        <v>260</v>
      </c>
      <c r="T13" s="107">
        <f>J13*1*R13</f>
        <v>128.4238</v>
      </c>
      <c r="U13" s="107"/>
      <c r="V13" s="108">
        <v>384260</v>
      </c>
      <c r="W13" s="99"/>
      <c r="X13" s="109"/>
      <c r="Y13" s="109"/>
    </row>
    <row r="14" spans="2:25" s="110" customFormat="1" x14ac:dyDescent="0.2">
      <c r="B14" s="99" t="s">
        <v>155</v>
      </c>
      <c r="C14" s="100" t="s">
        <v>52</v>
      </c>
      <c r="D14" s="100" t="s">
        <v>111</v>
      </c>
      <c r="E14" s="101">
        <v>36770</v>
      </c>
      <c r="F14" s="101">
        <v>36981</v>
      </c>
      <c r="G14" s="111">
        <v>10002</v>
      </c>
      <c r="H14" s="111">
        <v>10002</v>
      </c>
      <c r="I14" s="100" t="s">
        <v>101</v>
      </c>
      <c r="J14" s="103">
        <v>1.0137</v>
      </c>
      <c r="K14" s="104"/>
      <c r="L14" s="104"/>
      <c r="M14" s="104"/>
      <c r="N14" s="104"/>
      <c r="O14" s="105"/>
      <c r="P14" s="104"/>
      <c r="Q14" s="106">
        <v>530750</v>
      </c>
      <c r="R14" s="100">
        <v>153</v>
      </c>
      <c r="S14" s="99" t="s">
        <v>260</v>
      </c>
      <c r="T14" s="107">
        <f>J14*1*R14</f>
        <v>155.09610000000001</v>
      </c>
      <c r="U14" s="107"/>
      <c r="V14" s="108">
        <v>384260</v>
      </c>
      <c r="W14" s="99"/>
      <c r="X14" s="109"/>
      <c r="Y14" s="109"/>
    </row>
    <row r="15" spans="2:25" s="110" customFormat="1" x14ac:dyDescent="0.2">
      <c r="B15" s="99" t="s">
        <v>155</v>
      </c>
      <c r="C15" s="100" t="s">
        <v>52</v>
      </c>
      <c r="D15" s="100" t="s">
        <v>111</v>
      </c>
      <c r="E15" s="101">
        <v>36770</v>
      </c>
      <c r="F15" s="101">
        <v>36799</v>
      </c>
      <c r="G15" s="111">
        <v>10001</v>
      </c>
      <c r="H15" s="111">
        <v>10001</v>
      </c>
      <c r="I15" s="100" t="s">
        <v>101</v>
      </c>
      <c r="J15" s="103">
        <v>1.8372999999999999</v>
      </c>
      <c r="K15" s="104"/>
      <c r="L15" s="104"/>
      <c r="M15" s="104"/>
      <c r="N15" s="104"/>
      <c r="O15" s="105"/>
      <c r="P15" s="104"/>
      <c r="Q15" s="106">
        <v>530769</v>
      </c>
      <c r="R15" s="100">
        <v>66</v>
      </c>
      <c r="S15" s="99" t="s">
        <v>259</v>
      </c>
      <c r="T15" s="107">
        <f>J15*1*R15</f>
        <v>121.26179999999999</v>
      </c>
      <c r="U15" s="107"/>
      <c r="V15" s="108">
        <v>384234</v>
      </c>
      <c r="W15" s="99"/>
      <c r="X15" s="109"/>
      <c r="Y15" s="109"/>
    </row>
    <row r="16" spans="2:25" s="110" customFormat="1" x14ac:dyDescent="0.2">
      <c r="B16" s="99" t="s">
        <v>155</v>
      </c>
      <c r="C16" s="100" t="s">
        <v>52</v>
      </c>
      <c r="D16" s="100" t="s">
        <v>111</v>
      </c>
      <c r="E16" s="101">
        <v>36770</v>
      </c>
      <c r="F16" s="101">
        <v>36799</v>
      </c>
      <c r="G16" s="111">
        <v>10001</v>
      </c>
      <c r="H16" s="111">
        <v>10001</v>
      </c>
      <c r="I16" s="100" t="s">
        <v>101</v>
      </c>
      <c r="J16" s="103">
        <v>1.37E-2</v>
      </c>
      <c r="K16" s="104"/>
      <c r="L16" s="104"/>
      <c r="M16" s="104"/>
      <c r="N16" s="104"/>
      <c r="O16" s="105"/>
      <c r="P16" s="104"/>
      <c r="Q16" s="106">
        <v>530769</v>
      </c>
      <c r="R16" s="100">
        <v>4018</v>
      </c>
      <c r="S16" s="99" t="s">
        <v>259</v>
      </c>
      <c r="T16" s="107">
        <f>J16*1*R16</f>
        <v>55.046599999999998</v>
      </c>
      <c r="U16" s="107"/>
      <c r="V16" s="108">
        <v>384234</v>
      </c>
      <c r="W16" s="99"/>
      <c r="X16" s="109"/>
      <c r="Y16" s="109"/>
    </row>
    <row r="17" spans="2:25" x14ac:dyDescent="0.2">
      <c r="B17" s="10" t="s">
        <v>34</v>
      </c>
      <c r="C17" s="11" t="s">
        <v>34</v>
      </c>
      <c r="D17" s="12" t="s">
        <v>34</v>
      </c>
      <c r="E17" s="13" t="s">
        <v>34</v>
      </c>
      <c r="F17" s="13"/>
      <c r="G17" s="10" t="s">
        <v>34</v>
      </c>
      <c r="H17" s="30" t="s">
        <v>34</v>
      </c>
      <c r="I17" s="11" t="s">
        <v>34</v>
      </c>
      <c r="J17" s="14"/>
      <c r="K17" s="15"/>
      <c r="L17" s="15"/>
      <c r="M17" s="15"/>
      <c r="N17" s="15"/>
      <c r="O17" s="44"/>
      <c r="P17" s="15"/>
      <c r="Q17" s="26" t="s">
        <v>34</v>
      </c>
      <c r="R17" s="11">
        <f>SUM(R13:R16)</f>
        <v>13611</v>
      </c>
      <c r="S17" s="10" t="s">
        <v>34</v>
      </c>
      <c r="T17" s="22">
        <f>SUM(T13:T16)</f>
        <v>459.82830000000001</v>
      </c>
      <c r="U17" s="22"/>
      <c r="V17" s="54"/>
      <c r="W17" s="10"/>
      <c r="X17" s="36"/>
      <c r="Y17" s="36"/>
    </row>
    <row r="18" spans="2:25" x14ac:dyDescent="0.2">
      <c r="B18" s="16" t="s">
        <v>35</v>
      </c>
      <c r="C18" s="17" t="s">
        <v>36</v>
      </c>
      <c r="D18" s="17" t="s">
        <v>37</v>
      </c>
      <c r="E18" s="18" t="s">
        <v>38</v>
      </c>
      <c r="F18" s="18"/>
      <c r="G18" s="16" t="s">
        <v>39</v>
      </c>
      <c r="H18" s="16" t="s">
        <v>40</v>
      </c>
      <c r="I18" s="17" t="s">
        <v>72</v>
      </c>
      <c r="J18" s="19" t="s">
        <v>41</v>
      </c>
      <c r="K18" s="17" t="s">
        <v>42</v>
      </c>
      <c r="L18" s="17" t="s">
        <v>43</v>
      </c>
      <c r="M18" s="17" t="s">
        <v>44</v>
      </c>
      <c r="N18" s="17" t="s">
        <v>45</v>
      </c>
      <c r="O18" s="43" t="s">
        <v>46</v>
      </c>
      <c r="P18" s="17" t="s">
        <v>47</v>
      </c>
      <c r="Q18" s="20" t="s">
        <v>153</v>
      </c>
      <c r="R18" s="17" t="s">
        <v>48</v>
      </c>
      <c r="S18" s="16" t="s">
        <v>49</v>
      </c>
      <c r="T18" s="21" t="s">
        <v>71</v>
      </c>
      <c r="U18" s="21" t="s">
        <v>70</v>
      </c>
      <c r="V18" s="53" t="s">
        <v>154</v>
      </c>
      <c r="W18" s="58" t="str">
        <f>+W12</f>
        <v>Questions</v>
      </c>
      <c r="X18" s="36"/>
      <c r="Y18" s="36"/>
    </row>
    <row r="19" spans="2:25" s="61" customFormat="1" x14ac:dyDescent="0.2">
      <c r="B19" s="1" t="s">
        <v>155</v>
      </c>
      <c r="C19" s="3" t="s">
        <v>67</v>
      </c>
      <c r="D19" s="3" t="s">
        <v>80</v>
      </c>
      <c r="E19" s="4">
        <v>36617</v>
      </c>
      <c r="F19" s="4">
        <v>36830</v>
      </c>
      <c r="G19" s="1" t="s">
        <v>81</v>
      </c>
      <c r="H19" s="1" t="s">
        <v>83</v>
      </c>
      <c r="I19" s="3" t="s">
        <v>82</v>
      </c>
      <c r="J19" s="8">
        <f>6.238/J1</f>
        <v>0.20793333333333336</v>
      </c>
      <c r="K19" s="5">
        <v>0</v>
      </c>
      <c r="L19" s="5">
        <v>0</v>
      </c>
      <c r="M19" s="5">
        <v>0</v>
      </c>
      <c r="N19" s="5">
        <v>0</v>
      </c>
      <c r="O19" s="42">
        <v>0</v>
      </c>
      <c r="P19" s="5">
        <f t="shared" ref="P19:P47" si="0">SUM(J19:N19)</f>
        <v>0.20793333333333336</v>
      </c>
      <c r="Q19" s="24">
        <v>51407</v>
      </c>
      <c r="R19" s="3">
        <v>73754</v>
      </c>
      <c r="S19" s="1" t="s">
        <v>224</v>
      </c>
      <c r="T19" s="9"/>
      <c r="U19" s="9"/>
      <c r="V19" s="55">
        <v>156569</v>
      </c>
      <c r="W19" s="1"/>
      <c r="X19" s="36"/>
      <c r="Y19" s="36"/>
    </row>
    <row r="20" spans="2:25" s="61" customFormat="1" x14ac:dyDescent="0.2">
      <c r="B20" s="1" t="s">
        <v>155</v>
      </c>
      <c r="C20" s="3" t="s">
        <v>67</v>
      </c>
      <c r="D20" s="3" t="s">
        <v>80</v>
      </c>
      <c r="E20" s="4">
        <v>36617</v>
      </c>
      <c r="F20" s="4">
        <v>36830</v>
      </c>
      <c r="G20" s="1" t="s">
        <v>81</v>
      </c>
      <c r="H20" s="1" t="s">
        <v>84</v>
      </c>
      <c r="I20" s="3" t="s">
        <v>82</v>
      </c>
      <c r="J20" s="8">
        <f>1.512/J1</f>
        <v>5.04E-2</v>
      </c>
      <c r="K20" s="5">
        <v>0</v>
      </c>
      <c r="L20" s="5">
        <v>0</v>
      </c>
      <c r="M20" s="5">
        <v>0</v>
      </c>
      <c r="N20" s="5">
        <v>0</v>
      </c>
      <c r="O20" s="42">
        <v>0</v>
      </c>
      <c r="P20" s="5">
        <f t="shared" si="0"/>
        <v>5.04E-2</v>
      </c>
      <c r="Q20" s="24">
        <v>51407</v>
      </c>
      <c r="R20" s="3">
        <v>73754</v>
      </c>
      <c r="S20" s="1" t="s">
        <v>224</v>
      </c>
      <c r="T20" s="9"/>
      <c r="U20" s="9"/>
      <c r="V20" s="55">
        <v>156569</v>
      </c>
      <c r="W20" s="1"/>
      <c r="X20" s="36"/>
      <c r="Y20" s="36"/>
    </row>
    <row r="21" spans="2:25" s="61" customFormat="1" x14ac:dyDescent="0.2">
      <c r="B21" s="1" t="s">
        <v>155</v>
      </c>
      <c r="C21" s="3" t="s">
        <v>67</v>
      </c>
      <c r="D21" s="3"/>
      <c r="E21" s="4">
        <v>36100</v>
      </c>
      <c r="F21" s="4">
        <v>36830</v>
      </c>
      <c r="G21" s="29" t="s">
        <v>102</v>
      </c>
      <c r="H21" s="1" t="s">
        <v>103</v>
      </c>
      <c r="I21" s="3" t="s">
        <v>76</v>
      </c>
      <c r="J21" s="8">
        <f t="shared" ref="J21:J26" si="1">4.56/J$1</f>
        <v>0.152</v>
      </c>
      <c r="K21" s="5">
        <v>1.32E-2</v>
      </c>
      <c r="L21" s="5">
        <v>2.2000000000000001E-3</v>
      </c>
      <c r="M21" s="5">
        <v>7.1999999999999998E-3</v>
      </c>
      <c r="N21" s="5">
        <v>0</v>
      </c>
      <c r="O21" s="42">
        <v>2.1160000000000002E-2</v>
      </c>
      <c r="P21" s="5">
        <f t="shared" si="0"/>
        <v>0.17460000000000001</v>
      </c>
      <c r="Q21" s="24">
        <v>61822</v>
      </c>
      <c r="R21" s="3">
        <v>4000</v>
      </c>
      <c r="S21" s="1" t="s">
        <v>104</v>
      </c>
      <c r="T21" s="9">
        <f t="shared" ref="T21:T27" si="2">J21*J$1*R21</f>
        <v>18240</v>
      </c>
      <c r="U21" s="9"/>
      <c r="V21" s="55">
        <v>162284</v>
      </c>
      <c r="W21" s="1"/>
      <c r="X21" s="36"/>
      <c r="Y21" s="36"/>
    </row>
    <row r="22" spans="2:25" s="61" customFormat="1" x14ac:dyDescent="0.2">
      <c r="B22" s="1" t="s">
        <v>155</v>
      </c>
      <c r="C22" s="3" t="s">
        <v>67</v>
      </c>
      <c r="D22" s="3" t="s">
        <v>58</v>
      </c>
      <c r="E22" s="4">
        <v>36526</v>
      </c>
      <c r="F22" s="4">
        <v>36830</v>
      </c>
      <c r="G22" s="1" t="s">
        <v>105</v>
      </c>
      <c r="H22" s="1" t="s">
        <v>141</v>
      </c>
      <c r="I22" s="3" t="s">
        <v>76</v>
      </c>
      <c r="J22" s="8">
        <f t="shared" si="1"/>
        <v>0.152</v>
      </c>
      <c r="K22" s="5">
        <v>1.32E-2</v>
      </c>
      <c r="L22" s="5">
        <v>2.2000000000000001E-3</v>
      </c>
      <c r="M22" s="5">
        <v>7.4999999999999997E-3</v>
      </c>
      <c r="N22" s="5">
        <v>0</v>
      </c>
      <c r="O22" s="42">
        <v>2.1160000000000002E-2</v>
      </c>
      <c r="P22" s="5">
        <f>SUM(J22:N22)</f>
        <v>0.1749</v>
      </c>
      <c r="Q22" s="24">
        <v>61825</v>
      </c>
      <c r="R22" s="3">
        <v>2000</v>
      </c>
      <c r="S22" s="29" t="s">
        <v>139</v>
      </c>
      <c r="T22" s="9">
        <f t="shared" si="2"/>
        <v>9120</v>
      </c>
      <c r="U22" s="9"/>
      <c r="V22" s="55">
        <v>156570</v>
      </c>
      <c r="W22" s="9"/>
      <c r="X22" s="36"/>
      <c r="Y22" s="36"/>
    </row>
    <row r="23" spans="2:25" s="61" customFormat="1" x14ac:dyDescent="0.2">
      <c r="B23" s="1" t="s">
        <v>155</v>
      </c>
      <c r="C23" s="3" t="s">
        <v>67</v>
      </c>
      <c r="D23" s="3" t="s">
        <v>58</v>
      </c>
      <c r="E23" s="4">
        <v>36526</v>
      </c>
      <c r="F23" s="4">
        <v>36830</v>
      </c>
      <c r="G23" s="1" t="s">
        <v>108</v>
      </c>
      <c r="H23" s="1" t="s">
        <v>141</v>
      </c>
      <c r="I23" s="3" t="s">
        <v>76</v>
      </c>
      <c r="J23" s="8">
        <f t="shared" si="1"/>
        <v>0.152</v>
      </c>
      <c r="K23" s="5">
        <v>1.32E-2</v>
      </c>
      <c r="L23" s="5">
        <v>2.2000000000000001E-3</v>
      </c>
      <c r="M23" s="5">
        <v>7.4999999999999997E-3</v>
      </c>
      <c r="N23" s="5">
        <v>0</v>
      </c>
      <c r="O23" s="42">
        <v>2.1160000000000002E-2</v>
      </c>
      <c r="P23" s="5">
        <f>SUM(J23:N23)</f>
        <v>0.1749</v>
      </c>
      <c r="Q23" s="24">
        <v>61825</v>
      </c>
      <c r="R23" s="3">
        <v>5000</v>
      </c>
      <c r="S23" s="29" t="s">
        <v>139</v>
      </c>
      <c r="T23" s="9">
        <f t="shared" si="2"/>
        <v>22799.999999999996</v>
      </c>
      <c r="U23" s="9"/>
      <c r="V23" s="55">
        <v>156570</v>
      </c>
      <c r="W23" s="9"/>
      <c r="X23" s="36"/>
      <c r="Y23" s="36"/>
    </row>
    <row r="24" spans="2:25" s="61" customFormat="1" x14ac:dyDescent="0.2">
      <c r="B24" s="1" t="s">
        <v>155</v>
      </c>
      <c r="C24" s="3" t="s">
        <v>67</v>
      </c>
      <c r="D24" s="3" t="s">
        <v>58</v>
      </c>
      <c r="E24" s="4">
        <v>36526</v>
      </c>
      <c r="F24" s="4">
        <v>36830</v>
      </c>
      <c r="G24" s="1" t="s">
        <v>140</v>
      </c>
      <c r="H24" s="1" t="s">
        <v>141</v>
      </c>
      <c r="I24" s="3" t="s">
        <v>76</v>
      </c>
      <c r="J24" s="8">
        <f t="shared" si="1"/>
        <v>0.152</v>
      </c>
      <c r="K24" s="5">
        <v>1.32E-2</v>
      </c>
      <c r="L24" s="5">
        <v>2.2000000000000001E-3</v>
      </c>
      <c r="M24" s="5">
        <v>7.4999999999999997E-3</v>
      </c>
      <c r="N24" s="5">
        <v>0</v>
      </c>
      <c r="O24" s="42">
        <v>2.1160000000000002E-2</v>
      </c>
      <c r="P24" s="5">
        <f>SUM(J24:N24)</f>
        <v>0.1749</v>
      </c>
      <c r="Q24" s="24">
        <v>61825</v>
      </c>
      <c r="R24" s="3">
        <v>1000</v>
      </c>
      <c r="S24" s="29" t="s">
        <v>139</v>
      </c>
      <c r="T24" s="9">
        <f t="shared" si="2"/>
        <v>4560</v>
      </c>
      <c r="U24" s="9"/>
      <c r="V24" s="55">
        <v>156570</v>
      </c>
      <c r="W24" s="9"/>
      <c r="X24" s="36"/>
      <c r="Y24" s="36"/>
    </row>
    <row r="25" spans="2:25" s="61" customFormat="1" x14ac:dyDescent="0.2">
      <c r="B25" s="1" t="s">
        <v>155</v>
      </c>
      <c r="C25" s="3" t="s">
        <v>67</v>
      </c>
      <c r="D25" s="3"/>
      <c r="E25" s="4">
        <v>36100</v>
      </c>
      <c r="F25" s="4">
        <v>36830</v>
      </c>
      <c r="G25" s="1" t="s">
        <v>105</v>
      </c>
      <c r="H25" s="29" t="s">
        <v>106</v>
      </c>
      <c r="I25" s="3" t="s">
        <v>76</v>
      </c>
      <c r="J25" s="8">
        <f t="shared" si="1"/>
        <v>0.152</v>
      </c>
      <c r="K25" s="5">
        <v>1.32E-2</v>
      </c>
      <c r="L25" s="5">
        <v>2.2000000000000001E-3</v>
      </c>
      <c r="M25" s="5">
        <v>7.1999999999999998E-3</v>
      </c>
      <c r="N25" s="5">
        <v>0</v>
      </c>
      <c r="O25" s="42">
        <v>2.1160000000000002E-2</v>
      </c>
      <c r="P25" s="5">
        <f t="shared" si="0"/>
        <v>0.17460000000000001</v>
      </c>
      <c r="Q25" s="24">
        <v>61838</v>
      </c>
      <c r="R25" s="3">
        <v>1000</v>
      </c>
      <c r="S25" s="1" t="s">
        <v>107</v>
      </c>
      <c r="T25" s="9">
        <f t="shared" si="2"/>
        <v>4560</v>
      </c>
      <c r="U25" s="9"/>
      <c r="V25" s="55">
        <v>156571</v>
      </c>
      <c r="W25" s="1"/>
      <c r="X25" s="36"/>
      <c r="Y25" s="36"/>
    </row>
    <row r="26" spans="2:25" s="61" customFormat="1" x14ac:dyDescent="0.2">
      <c r="B26" s="1" t="s">
        <v>155</v>
      </c>
      <c r="C26" s="3" t="s">
        <v>67</v>
      </c>
      <c r="D26" s="3" t="s">
        <v>58</v>
      </c>
      <c r="E26" s="4">
        <v>36526</v>
      </c>
      <c r="F26" s="4">
        <v>36830</v>
      </c>
      <c r="G26" s="1" t="s">
        <v>105</v>
      </c>
      <c r="H26" s="1" t="s">
        <v>143</v>
      </c>
      <c r="I26" s="3" t="s">
        <v>76</v>
      </c>
      <c r="J26" s="8">
        <f t="shared" si="1"/>
        <v>0.152</v>
      </c>
      <c r="K26" s="5">
        <v>1.32E-2</v>
      </c>
      <c r="L26" s="5">
        <v>2.2000000000000001E-3</v>
      </c>
      <c r="M26" s="5">
        <v>7.4999999999999997E-3</v>
      </c>
      <c r="N26" s="5">
        <v>0</v>
      </c>
      <c r="O26" s="42">
        <v>2.1160000000000002E-2</v>
      </c>
      <c r="P26" s="5">
        <f>SUM(J26:N26)</f>
        <v>0.1749</v>
      </c>
      <c r="Q26" s="24">
        <v>61990</v>
      </c>
      <c r="R26" s="3">
        <v>2000</v>
      </c>
      <c r="S26" s="29" t="s">
        <v>142</v>
      </c>
      <c r="T26" s="9">
        <f t="shared" si="2"/>
        <v>9120</v>
      </c>
      <c r="U26" s="9"/>
      <c r="V26" s="55">
        <v>156573</v>
      </c>
      <c r="W26" s="9"/>
      <c r="X26" s="36"/>
      <c r="Y26" s="36"/>
    </row>
    <row r="27" spans="2:25" s="61" customFormat="1" x14ac:dyDescent="0.2">
      <c r="B27" s="1" t="s">
        <v>155</v>
      </c>
      <c r="C27" s="3" t="s">
        <v>67</v>
      </c>
      <c r="D27" s="3" t="s">
        <v>58</v>
      </c>
      <c r="E27" s="4">
        <v>36465</v>
      </c>
      <c r="F27" s="4">
        <v>36891</v>
      </c>
      <c r="G27" s="1"/>
      <c r="H27" s="1" t="s">
        <v>240</v>
      </c>
      <c r="I27" s="3" t="s">
        <v>76</v>
      </c>
      <c r="J27" s="8">
        <f>3.0417/30.417</f>
        <v>9.9999999999999992E-2</v>
      </c>
      <c r="K27" s="5">
        <v>1.32E-2</v>
      </c>
      <c r="L27" s="5">
        <v>2.2000000000000001E-3</v>
      </c>
      <c r="M27" s="5">
        <v>7.4999999999999997E-3</v>
      </c>
      <c r="N27" s="5">
        <v>0</v>
      </c>
      <c r="O27" s="42">
        <v>2.1160000000000002E-2</v>
      </c>
      <c r="P27" s="5">
        <f>SUM(J27:N27)</f>
        <v>0.12289999999999998</v>
      </c>
      <c r="Q27" s="24">
        <v>62164</v>
      </c>
      <c r="R27" s="90">
        <v>2000</v>
      </c>
      <c r="S27" s="29" t="s">
        <v>193</v>
      </c>
      <c r="T27" s="9">
        <f t="shared" si="2"/>
        <v>5999.9999999999991</v>
      </c>
      <c r="U27" s="55"/>
      <c r="V27" s="36" t="s">
        <v>194</v>
      </c>
      <c r="W27" s="36"/>
    </row>
    <row r="28" spans="2:25" s="61" customFormat="1" x14ac:dyDescent="0.2">
      <c r="B28" s="1" t="s">
        <v>155</v>
      </c>
      <c r="C28" s="3" t="s">
        <v>67</v>
      </c>
      <c r="D28" s="3" t="s">
        <v>80</v>
      </c>
      <c r="E28" s="4">
        <v>36617</v>
      </c>
      <c r="F28" s="4">
        <v>36799</v>
      </c>
      <c r="G28" s="1" t="s">
        <v>81</v>
      </c>
      <c r="H28" s="1" t="s">
        <v>99</v>
      </c>
      <c r="I28" s="3" t="s">
        <v>98</v>
      </c>
      <c r="J28" s="8">
        <f>6.029/J$1</f>
        <v>0.20096666666666665</v>
      </c>
      <c r="K28" s="5">
        <v>1.2999999999999999E-2</v>
      </c>
      <c r="L28" s="5">
        <v>2.2000000000000001E-3</v>
      </c>
      <c r="M28" s="5">
        <v>7.1999999999999998E-3</v>
      </c>
      <c r="N28" s="5">
        <v>0</v>
      </c>
      <c r="O28" s="42">
        <v>2.1160000000000002E-2</v>
      </c>
      <c r="P28" s="5">
        <f t="shared" si="0"/>
        <v>0.22336666666666669</v>
      </c>
      <c r="Q28" s="24">
        <v>67693</v>
      </c>
      <c r="R28" s="3">
        <v>54327</v>
      </c>
      <c r="S28" s="1" t="s">
        <v>218</v>
      </c>
      <c r="T28" s="9">
        <f>J28*J$1*R28</f>
        <v>327537.48300000001</v>
      </c>
      <c r="U28" s="9"/>
      <c r="V28" s="55">
        <v>231378</v>
      </c>
      <c r="W28" s="1"/>
      <c r="X28" s="36"/>
      <c r="Y28" s="36"/>
    </row>
    <row r="29" spans="2:25" s="61" customFormat="1" x14ac:dyDescent="0.2">
      <c r="B29" s="1" t="s">
        <v>155</v>
      </c>
      <c r="C29" s="3" t="s">
        <v>67</v>
      </c>
      <c r="D29" s="3" t="s">
        <v>80</v>
      </c>
      <c r="E29" s="4">
        <v>36617</v>
      </c>
      <c r="F29" s="4">
        <v>36981</v>
      </c>
      <c r="G29" s="1" t="s">
        <v>81</v>
      </c>
      <c r="H29" s="1" t="s">
        <v>83</v>
      </c>
      <c r="I29" s="3" t="s">
        <v>82</v>
      </c>
      <c r="J29" s="8">
        <v>2.93E-2</v>
      </c>
      <c r="K29" s="5">
        <v>0</v>
      </c>
      <c r="L29" s="5">
        <v>0</v>
      </c>
      <c r="M29" s="5">
        <v>0</v>
      </c>
      <c r="N29" s="5">
        <v>0</v>
      </c>
      <c r="O29" s="42">
        <v>0</v>
      </c>
      <c r="P29" s="5">
        <f>SUM(J29:N29)</f>
        <v>2.93E-2</v>
      </c>
      <c r="Q29" s="24">
        <v>67712</v>
      </c>
      <c r="R29" s="3">
        <v>6050607</v>
      </c>
      <c r="S29" s="1" t="s">
        <v>219</v>
      </c>
      <c r="T29" s="9">
        <f>J29*R29</f>
        <v>177282.78510000001</v>
      </c>
      <c r="U29" s="9"/>
      <c r="V29" s="55">
        <v>235876</v>
      </c>
      <c r="W29" s="1">
        <v>231698</v>
      </c>
      <c r="X29" s="36"/>
      <c r="Y29" s="36"/>
    </row>
    <row r="30" spans="2:25" s="61" customFormat="1" x14ac:dyDescent="0.2">
      <c r="B30" s="1" t="s">
        <v>155</v>
      </c>
      <c r="C30" s="3" t="s">
        <v>67</v>
      </c>
      <c r="D30" s="3" t="s">
        <v>80</v>
      </c>
      <c r="E30" s="4">
        <v>36617</v>
      </c>
      <c r="F30" s="4">
        <v>36981</v>
      </c>
      <c r="G30" s="1" t="s">
        <v>81</v>
      </c>
      <c r="H30" s="1" t="s">
        <v>84</v>
      </c>
      <c r="I30" s="3" t="s">
        <v>82</v>
      </c>
      <c r="J30" s="8">
        <v>1.524</v>
      </c>
      <c r="K30" s="5">
        <v>0</v>
      </c>
      <c r="L30" s="5">
        <v>0</v>
      </c>
      <c r="M30" s="5">
        <v>0</v>
      </c>
      <c r="N30" s="5">
        <v>0</v>
      </c>
      <c r="O30" s="42">
        <v>0</v>
      </c>
      <c r="P30" s="5">
        <f>SUM(J30:N30)</f>
        <v>1.524</v>
      </c>
      <c r="Q30" s="24">
        <v>67712</v>
      </c>
      <c r="R30" s="3">
        <v>108648</v>
      </c>
      <c r="S30" s="1" t="s">
        <v>219</v>
      </c>
      <c r="T30" s="9">
        <f>J30*R30</f>
        <v>165579.552</v>
      </c>
      <c r="U30" s="9"/>
      <c r="V30" s="55">
        <v>235876</v>
      </c>
      <c r="W30" s="1">
        <v>231698</v>
      </c>
      <c r="X30" s="36"/>
      <c r="Y30" s="36"/>
    </row>
    <row r="31" spans="2:25" s="61" customFormat="1" x14ac:dyDescent="0.2">
      <c r="B31" s="1" t="s">
        <v>155</v>
      </c>
      <c r="C31" s="3" t="s">
        <v>67</v>
      </c>
      <c r="D31" s="3" t="s">
        <v>80</v>
      </c>
      <c r="E31" s="4">
        <v>36617</v>
      </c>
      <c r="F31" s="4">
        <v>36981</v>
      </c>
      <c r="G31" s="1" t="s">
        <v>81</v>
      </c>
      <c r="H31" s="1" t="s">
        <v>83</v>
      </c>
      <c r="I31" s="3" t="s">
        <v>82</v>
      </c>
      <c r="J31" s="8">
        <v>0</v>
      </c>
      <c r="K31" s="5">
        <v>0</v>
      </c>
      <c r="L31" s="5">
        <v>0</v>
      </c>
      <c r="M31" s="5">
        <v>0</v>
      </c>
      <c r="N31" s="5">
        <v>0</v>
      </c>
      <c r="O31" s="42">
        <v>0</v>
      </c>
      <c r="P31" s="5">
        <f t="shared" si="0"/>
        <v>0</v>
      </c>
      <c r="Q31" s="24">
        <v>67713</v>
      </c>
      <c r="R31" s="3">
        <v>0</v>
      </c>
      <c r="S31" s="1" t="s">
        <v>241</v>
      </c>
      <c r="T31" s="9">
        <f>J31*R31</f>
        <v>0</v>
      </c>
      <c r="U31" s="9"/>
      <c r="V31" s="55">
        <v>235876</v>
      </c>
      <c r="W31" s="1"/>
      <c r="X31" s="36"/>
      <c r="Y31" s="36"/>
    </row>
    <row r="32" spans="2:25" s="61" customFormat="1" x14ac:dyDescent="0.2">
      <c r="B32" s="1" t="s">
        <v>155</v>
      </c>
      <c r="C32" s="3" t="s">
        <v>67</v>
      </c>
      <c r="D32" s="3" t="s">
        <v>80</v>
      </c>
      <c r="E32" s="4">
        <v>36617</v>
      </c>
      <c r="F32" s="4">
        <v>36981</v>
      </c>
      <c r="G32" s="1" t="s">
        <v>81</v>
      </c>
      <c r="H32" s="1" t="s">
        <v>84</v>
      </c>
      <c r="I32" s="3" t="s">
        <v>82</v>
      </c>
      <c r="J32" s="8">
        <v>0</v>
      </c>
      <c r="K32" s="5">
        <v>0</v>
      </c>
      <c r="L32" s="5">
        <v>0</v>
      </c>
      <c r="M32" s="5">
        <v>0</v>
      </c>
      <c r="N32" s="5">
        <v>0</v>
      </c>
      <c r="O32" s="42">
        <v>0</v>
      </c>
      <c r="P32" s="5">
        <f t="shared" si="0"/>
        <v>0</v>
      </c>
      <c r="Q32" s="24">
        <v>67713</v>
      </c>
      <c r="R32" s="3">
        <v>0</v>
      </c>
      <c r="S32" s="1" t="s">
        <v>241</v>
      </c>
      <c r="T32" s="9">
        <f>J32*R32</f>
        <v>0</v>
      </c>
      <c r="U32" s="9"/>
      <c r="V32" s="55">
        <v>235876</v>
      </c>
      <c r="W32" s="1"/>
      <c r="X32" s="36"/>
      <c r="Y32" s="36"/>
    </row>
    <row r="33" spans="2:25" s="61" customFormat="1" x14ac:dyDescent="0.2">
      <c r="B33" s="1" t="s">
        <v>155</v>
      </c>
      <c r="C33" s="3" t="s">
        <v>67</v>
      </c>
      <c r="D33" s="3" t="s">
        <v>74</v>
      </c>
      <c r="E33" s="4">
        <v>36678</v>
      </c>
      <c r="F33" s="4">
        <v>37042</v>
      </c>
      <c r="G33" s="1" t="s">
        <v>75</v>
      </c>
      <c r="H33" s="1" t="s">
        <v>78</v>
      </c>
      <c r="I33" s="3" t="s">
        <v>76</v>
      </c>
      <c r="J33" s="8">
        <f>6.401/J$1</f>
        <v>0.21336666666666665</v>
      </c>
      <c r="K33" s="5">
        <v>1.32E-2</v>
      </c>
      <c r="L33" s="5">
        <v>2.2000000000000001E-3</v>
      </c>
      <c r="M33" s="5">
        <v>7.1999999999999998E-3</v>
      </c>
      <c r="N33" s="5">
        <v>0</v>
      </c>
      <c r="O33" s="42">
        <v>2.1160000000000002E-2</v>
      </c>
      <c r="P33" s="5">
        <f t="shared" si="0"/>
        <v>0.23596666666666666</v>
      </c>
      <c r="Q33" s="24">
        <v>68359</v>
      </c>
      <c r="R33" s="3">
        <v>285</v>
      </c>
      <c r="S33" s="1" t="s">
        <v>239</v>
      </c>
      <c r="T33" s="9">
        <f t="shared" ref="T33:T49" si="3">J33*J$1*R33</f>
        <v>1824.2849999999999</v>
      </c>
      <c r="U33" s="9"/>
      <c r="V33" s="55">
        <v>271307</v>
      </c>
      <c r="W33" s="1"/>
      <c r="X33" s="36"/>
      <c r="Y33" s="36"/>
    </row>
    <row r="34" spans="2:25" s="61" customFormat="1" x14ac:dyDescent="0.2">
      <c r="B34" s="1" t="s">
        <v>155</v>
      </c>
      <c r="C34" s="3" t="s">
        <v>67</v>
      </c>
      <c r="D34" s="3" t="s">
        <v>73</v>
      </c>
      <c r="E34" s="4">
        <v>36678</v>
      </c>
      <c r="F34" s="4">
        <v>37042</v>
      </c>
      <c r="G34" s="1" t="s">
        <v>75</v>
      </c>
      <c r="H34" s="1" t="s">
        <v>79</v>
      </c>
      <c r="I34" s="3" t="s">
        <v>76</v>
      </c>
      <c r="J34" s="8">
        <f>6.401/J$1</f>
        <v>0.21336666666666665</v>
      </c>
      <c r="K34" s="5">
        <v>1.32E-2</v>
      </c>
      <c r="L34" s="5">
        <v>2.2000000000000001E-3</v>
      </c>
      <c r="M34" s="5">
        <v>7.1999999999999998E-3</v>
      </c>
      <c r="N34" s="5">
        <v>0</v>
      </c>
      <c r="O34" s="42">
        <v>2.1160000000000002E-2</v>
      </c>
      <c r="P34" s="5">
        <f t="shared" si="0"/>
        <v>0.23596666666666666</v>
      </c>
      <c r="Q34" s="24">
        <v>68384</v>
      </c>
      <c r="R34" s="3">
        <v>218</v>
      </c>
      <c r="S34" s="1" t="s">
        <v>238</v>
      </c>
      <c r="T34" s="9">
        <f t="shared" si="3"/>
        <v>1395.4179999999999</v>
      </c>
      <c r="U34" s="9"/>
      <c r="V34" s="55">
        <v>280570</v>
      </c>
      <c r="W34" s="1"/>
      <c r="X34" s="36"/>
      <c r="Y34" s="36"/>
    </row>
    <row r="35" spans="2:25" s="61" customFormat="1" x14ac:dyDescent="0.2">
      <c r="B35" s="1" t="s">
        <v>155</v>
      </c>
      <c r="C35" s="3" t="s">
        <v>67</v>
      </c>
      <c r="D35" s="3" t="s">
        <v>74</v>
      </c>
      <c r="E35" s="4">
        <v>36708</v>
      </c>
      <c r="F35" s="4">
        <v>37072</v>
      </c>
      <c r="G35" s="1" t="s">
        <v>75</v>
      </c>
      <c r="H35" s="1" t="s">
        <v>78</v>
      </c>
      <c r="I35" s="3" t="s">
        <v>76</v>
      </c>
      <c r="J35" s="8">
        <f>6.449/J$1</f>
        <v>0.21496666666666667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2">
        <v>2.1160000000000002E-2</v>
      </c>
      <c r="P35" s="5">
        <f t="shared" si="0"/>
        <v>0.23756666666666668</v>
      </c>
      <c r="Q35" s="24">
        <v>68616</v>
      </c>
      <c r="R35" s="3">
        <v>900</v>
      </c>
      <c r="S35" s="1" t="s">
        <v>242</v>
      </c>
      <c r="T35" s="9">
        <f t="shared" si="3"/>
        <v>5804.0999999999995</v>
      </c>
      <c r="U35" s="9"/>
      <c r="V35" s="55">
        <v>309723</v>
      </c>
      <c r="W35" s="1" t="s">
        <v>243</v>
      </c>
      <c r="X35" s="36"/>
      <c r="Y35" s="36"/>
    </row>
    <row r="36" spans="2:25" s="61" customFormat="1" x14ac:dyDescent="0.2">
      <c r="B36" s="1" t="s">
        <v>155</v>
      </c>
      <c r="C36" s="3" t="s">
        <v>67</v>
      </c>
      <c r="D36" s="3" t="s">
        <v>73</v>
      </c>
      <c r="E36" s="4">
        <v>36708</v>
      </c>
      <c r="F36" s="4">
        <v>37072</v>
      </c>
      <c r="G36" s="1" t="s">
        <v>75</v>
      </c>
      <c r="H36" s="1" t="s">
        <v>77</v>
      </c>
      <c r="I36" s="3" t="s">
        <v>76</v>
      </c>
      <c r="J36" s="8">
        <f>6.449/J$1</f>
        <v>0.21496666666666667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2">
        <v>2.1160000000000002E-2</v>
      </c>
      <c r="P36" s="5">
        <f t="shared" si="0"/>
        <v>0.23756666666666668</v>
      </c>
      <c r="Q36" s="24">
        <v>68635</v>
      </c>
      <c r="R36" s="3">
        <v>1</v>
      </c>
      <c r="S36" s="1" t="s">
        <v>244</v>
      </c>
      <c r="T36" s="9">
        <f t="shared" si="3"/>
        <v>6.4489999999999998</v>
      </c>
      <c r="U36" s="9"/>
      <c r="V36" s="55">
        <v>312333</v>
      </c>
      <c r="W36" s="1"/>
      <c r="X36" s="36"/>
      <c r="Y36" s="36"/>
    </row>
    <row r="37" spans="2:25" s="61" customFormat="1" x14ac:dyDescent="0.2">
      <c r="B37" s="1" t="s">
        <v>155</v>
      </c>
      <c r="C37" s="3" t="s">
        <v>67</v>
      </c>
      <c r="D37" s="3" t="s">
        <v>73</v>
      </c>
      <c r="E37" s="4">
        <v>36739</v>
      </c>
      <c r="F37" s="4">
        <v>37103</v>
      </c>
      <c r="G37" s="1" t="s">
        <v>75</v>
      </c>
      <c r="H37" s="1" t="s">
        <v>79</v>
      </c>
      <c r="I37" s="3" t="s">
        <v>76</v>
      </c>
      <c r="J37" s="8">
        <f>6.401/J$1</f>
        <v>0.21336666666666665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2">
        <v>2.1160000000000002E-2</v>
      </c>
      <c r="P37" s="5">
        <f t="shared" si="0"/>
        <v>0.23596666666666666</v>
      </c>
      <c r="Q37" s="24">
        <v>68926</v>
      </c>
      <c r="R37" s="3">
        <v>4</v>
      </c>
      <c r="S37" s="1" t="s">
        <v>0</v>
      </c>
      <c r="T37" s="9">
        <f t="shared" si="3"/>
        <v>25.603999999999999</v>
      </c>
      <c r="U37" s="9"/>
      <c r="V37" s="55">
        <v>345125</v>
      </c>
      <c r="W37" s="1"/>
      <c r="X37" s="36"/>
      <c r="Y37" s="36"/>
    </row>
    <row r="38" spans="2:25" s="61" customFormat="1" x14ac:dyDescent="0.2">
      <c r="B38" s="1" t="s">
        <v>155</v>
      </c>
      <c r="C38" s="3" t="s">
        <v>67</v>
      </c>
      <c r="D38" s="3" t="s">
        <v>73</v>
      </c>
      <c r="E38" s="4">
        <v>36404</v>
      </c>
      <c r="F38" s="4">
        <v>36769</v>
      </c>
      <c r="G38" s="1" t="s">
        <v>75</v>
      </c>
      <c r="H38" s="1" t="s">
        <v>79</v>
      </c>
      <c r="I38" s="3" t="s">
        <v>76</v>
      </c>
      <c r="J38" s="8">
        <f>6.449/J$1</f>
        <v>0.21496666666666667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2">
        <v>2.1160000000000002E-2</v>
      </c>
      <c r="P38" s="5">
        <f t="shared" si="0"/>
        <v>0.23756666666666668</v>
      </c>
      <c r="Q38" s="24">
        <v>64651</v>
      </c>
      <c r="R38" s="3">
        <v>64</v>
      </c>
      <c r="S38" s="1" t="s">
        <v>85</v>
      </c>
      <c r="T38" s="9">
        <f t="shared" si="3"/>
        <v>412.73599999999999</v>
      </c>
      <c r="U38" s="9"/>
      <c r="V38" s="55">
        <v>235630</v>
      </c>
      <c r="W38" s="1"/>
      <c r="X38" s="36"/>
      <c r="Y38" s="36"/>
    </row>
    <row r="39" spans="2:25" s="61" customFormat="1" x14ac:dyDescent="0.2">
      <c r="B39" s="1" t="s">
        <v>155</v>
      </c>
      <c r="C39" s="3" t="s">
        <v>67</v>
      </c>
      <c r="D39" s="3" t="s">
        <v>73</v>
      </c>
      <c r="E39" s="4">
        <v>36434</v>
      </c>
      <c r="F39" s="4">
        <v>36799</v>
      </c>
      <c r="G39" s="1" t="s">
        <v>75</v>
      </c>
      <c r="H39" s="1" t="s">
        <v>77</v>
      </c>
      <c r="I39" s="3" t="s">
        <v>76</v>
      </c>
      <c r="J39" s="8">
        <f>6.449/J$1</f>
        <v>0.21496666666666667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2">
        <v>2.1160000000000002E-2</v>
      </c>
      <c r="P39" s="5">
        <f t="shared" si="0"/>
        <v>0.23756666666666668</v>
      </c>
      <c r="Q39" s="24">
        <v>64862</v>
      </c>
      <c r="R39" s="3">
        <v>13</v>
      </c>
      <c r="S39" s="1" t="s">
        <v>86</v>
      </c>
      <c r="T39" s="9">
        <f t="shared" si="3"/>
        <v>83.837000000000003</v>
      </c>
      <c r="U39" s="9"/>
      <c r="V39" s="55">
        <v>156592</v>
      </c>
      <c r="W39" s="1"/>
      <c r="X39" s="36"/>
      <c r="Y39" s="36"/>
    </row>
    <row r="40" spans="2:25" s="61" customFormat="1" x14ac:dyDescent="0.2">
      <c r="B40" s="1" t="s">
        <v>155</v>
      </c>
      <c r="C40" s="3" t="s">
        <v>67</v>
      </c>
      <c r="D40" s="3" t="s">
        <v>80</v>
      </c>
      <c r="E40" s="4">
        <v>36434</v>
      </c>
      <c r="F40" s="4">
        <v>36799</v>
      </c>
      <c r="G40" s="1" t="s">
        <v>75</v>
      </c>
      <c r="H40" s="1" t="s">
        <v>87</v>
      </c>
      <c r="I40" s="3" t="s">
        <v>76</v>
      </c>
      <c r="J40" s="8">
        <f>6.372/J$1</f>
        <v>0.21240000000000001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2">
        <v>2.1160000000000002E-2</v>
      </c>
      <c r="P40" s="5">
        <f t="shared" si="0"/>
        <v>0.23500000000000001</v>
      </c>
      <c r="Q40" s="24">
        <v>64939</v>
      </c>
      <c r="R40" s="3">
        <v>2300</v>
      </c>
      <c r="S40" s="1" t="s">
        <v>88</v>
      </c>
      <c r="T40" s="9">
        <f t="shared" si="3"/>
        <v>14655.6</v>
      </c>
      <c r="U40" s="9"/>
      <c r="V40" s="55">
        <v>156593</v>
      </c>
      <c r="W40" s="1"/>
      <c r="X40" s="36"/>
      <c r="Y40" s="36"/>
    </row>
    <row r="41" spans="2:25" s="61" customFormat="1" x14ac:dyDescent="0.2">
      <c r="B41" s="1" t="s">
        <v>155</v>
      </c>
      <c r="C41" s="3" t="s">
        <v>67</v>
      </c>
      <c r="D41" s="3" t="s">
        <v>80</v>
      </c>
      <c r="E41" s="4">
        <v>36708</v>
      </c>
      <c r="F41" s="4">
        <v>36799</v>
      </c>
      <c r="G41" s="1" t="s">
        <v>75</v>
      </c>
      <c r="H41" s="1" t="s">
        <v>87</v>
      </c>
      <c r="I41" s="3" t="s">
        <v>76</v>
      </c>
      <c r="J41" s="8">
        <f>6.372/J$1</f>
        <v>0.21240000000000001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2">
        <v>2.1160000000000002E-2</v>
      </c>
      <c r="P41" s="5">
        <f>SUM(J41:N41)</f>
        <v>0.23500000000000001</v>
      </c>
      <c r="Q41" s="24">
        <v>64939</v>
      </c>
      <c r="R41" s="3">
        <v>-2300</v>
      </c>
      <c r="S41" s="1" t="s">
        <v>249</v>
      </c>
      <c r="T41" s="9">
        <f>J41*J$1*R41</f>
        <v>-14655.6</v>
      </c>
      <c r="U41" s="9"/>
      <c r="V41" s="55">
        <v>319306</v>
      </c>
      <c r="W41" s="1" t="s">
        <v>250</v>
      </c>
      <c r="X41" s="36"/>
      <c r="Y41" s="36"/>
    </row>
    <row r="42" spans="2:25" s="61" customFormat="1" x14ac:dyDescent="0.2">
      <c r="B42" s="1" t="s">
        <v>155</v>
      </c>
      <c r="C42" s="3" t="s">
        <v>67</v>
      </c>
      <c r="D42" s="3" t="s">
        <v>73</v>
      </c>
      <c r="E42" s="4">
        <v>36465</v>
      </c>
      <c r="F42" s="4">
        <v>36830</v>
      </c>
      <c r="G42" s="1" t="s">
        <v>75</v>
      </c>
      <c r="H42" s="1" t="s">
        <v>79</v>
      </c>
      <c r="I42" s="3" t="s">
        <v>76</v>
      </c>
      <c r="J42" s="8">
        <f>6.449/J$1</f>
        <v>0.21496666666666667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2">
        <v>2.1160000000000002E-2</v>
      </c>
      <c r="P42" s="5">
        <f t="shared" si="0"/>
        <v>0.23756666666666668</v>
      </c>
      <c r="Q42" s="24">
        <v>65026</v>
      </c>
      <c r="R42" s="3">
        <v>128</v>
      </c>
      <c r="S42" s="1" t="s">
        <v>89</v>
      </c>
      <c r="T42" s="9">
        <f t="shared" si="3"/>
        <v>825.47199999999998</v>
      </c>
      <c r="U42" s="9"/>
      <c r="V42" s="55">
        <v>162286</v>
      </c>
      <c r="W42" s="1"/>
      <c r="X42" s="36"/>
      <c r="Y42" s="36"/>
    </row>
    <row r="43" spans="2:25" s="61" customFormat="1" x14ac:dyDescent="0.2">
      <c r="B43" s="1" t="s">
        <v>155</v>
      </c>
      <c r="C43" s="3" t="s">
        <v>67</v>
      </c>
      <c r="D43" s="3" t="s">
        <v>90</v>
      </c>
      <c r="E43" s="4">
        <v>36465</v>
      </c>
      <c r="F43" s="4">
        <v>36830</v>
      </c>
      <c r="G43" s="1" t="s">
        <v>75</v>
      </c>
      <c r="H43" s="1" t="s">
        <v>91</v>
      </c>
      <c r="I43" s="3" t="s">
        <v>76</v>
      </c>
      <c r="J43" s="8">
        <f>6.449/J$1</f>
        <v>0.21496666666666667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2">
        <v>2.1160000000000002E-2</v>
      </c>
      <c r="P43" s="5">
        <f t="shared" si="0"/>
        <v>0.23756666666666668</v>
      </c>
      <c r="Q43" s="24">
        <v>65041</v>
      </c>
      <c r="R43" s="3">
        <v>9619</v>
      </c>
      <c r="S43" s="1" t="s">
        <v>92</v>
      </c>
      <c r="T43" s="9">
        <f t="shared" si="3"/>
        <v>62032.930999999997</v>
      </c>
      <c r="U43" s="9"/>
      <c r="V43" s="55">
        <v>162285</v>
      </c>
      <c r="W43" s="1"/>
      <c r="X43" s="36"/>
      <c r="Y43" s="36"/>
    </row>
    <row r="44" spans="2:25" s="61" customFormat="1" x14ac:dyDescent="0.2">
      <c r="B44" s="1" t="s">
        <v>155</v>
      </c>
      <c r="C44" s="3" t="s">
        <v>67</v>
      </c>
      <c r="D44" s="3" t="s">
        <v>90</v>
      </c>
      <c r="E44" s="4">
        <v>36465</v>
      </c>
      <c r="F44" s="4">
        <v>36830</v>
      </c>
      <c r="G44" s="1" t="s">
        <v>75</v>
      </c>
      <c r="H44" s="1" t="s">
        <v>94</v>
      </c>
      <c r="I44" s="3" t="s">
        <v>76</v>
      </c>
      <c r="J44" s="8">
        <f>6.449/J$1</f>
        <v>0.21496666666666667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2">
        <v>2.1160000000000002E-2</v>
      </c>
      <c r="P44" s="5">
        <f t="shared" si="0"/>
        <v>0.23756666666666668</v>
      </c>
      <c r="Q44" s="24">
        <v>65042</v>
      </c>
      <c r="R44" s="3">
        <v>4427</v>
      </c>
      <c r="S44" s="1" t="s">
        <v>93</v>
      </c>
      <c r="T44" s="9">
        <f t="shared" si="3"/>
        <v>28549.722999999998</v>
      </c>
      <c r="U44" s="9"/>
      <c r="V44" s="55">
        <v>162287</v>
      </c>
      <c r="W44" s="1"/>
      <c r="X44" s="36"/>
      <c r="Y44" s="36"/>
    </row>
    <row r="45" spans="2:25" s="61" customFormat="1" x14ac:dyDescent="0.2">
      <c r="B45" s="1" t="s">
        <v>155</v>
      </c>
      <c r="C45" s="3" t="s">
        <v>67</v>
      </c>
      <c r="D45" s="3" t="s">
        <v>95</v>
      </c>
      <c r="E45" s="4">
        <v>36465</v>
      </c>
      <c r="F45" s="4">
        <v>37011</v>
      </c>
      <c r="G45" s="1" t="s">
        <v>75</v>
      </c>
      <c r="H45" s="1" t="s">
        <v>96</v>
      </c>
      <c r="I45" s="3" t="s">
        <v>76</v>
      </c>
      <c r="J45" s="8">
        <f>6.449/J$1</f>
        <v>0.21496666666666667</v>
      </c>
      <c r="K45" s="5">
        <v>1.32E-2</v>
      </c>
      <c r="L45" s="5">
        <v>2.2000000000000001E-3</v>
      </c>
      <c r="M45" s="5">
        <v>7.1999999999999998E-3</v>
      </c>
      <c r="N45" s="5">
        <v>0</v>
      </c>
      <c r="O45" s="42">
        <v>2.1160000000000002E-2</v>
      </c>
      <c r="P45" s="5">
        <f>SUM(J45:N45)</f>
        <v>0.23756666666666668</v>
      </c>
      <c r="Q45" s="24">
        <v>65108</v>
      </c>
      <c r="R45" s="3">
        <v>5000</v>
      </c>
      <c r="S45" s="1" t="s">
        <v>175</v>
      </c>
      <c r="T45" s="9">
        <f>J45*J$1*R45</f>
        <v>32245</v>
      </c>
      <c r="U45" s="9"/>
      <c r="V45" s="55">
        <v>163001</v>
      </c>
      <c r="W45" s="1"/>
      <c r="X45" s="36"/>
      <c r="Y45" s="36"/>
    </row>
    <row r="46" spans="2:25" s="61" customFormat="1" x14ac:dyDescent="0.2">
      <c r="B46" s="1" t="s">
        <v>155</v>
      </c>
      <c r="C46" s="3" t="s">
        <v>67</v>
      </c>
      <c r="D46" s="3"/>
      <c r="E46" s="4">
        <v>36557</v>
      </c>
      <c r="F46" s="4">
        <v>36830</v>
      </c>
      <c r="G46" s="1" t="s">
        <v>108</v>
      </c>
      <c r="H46" s="1" t="s">
        <v>103</v>
      </c>
      <c r="I46" s="3" t="s">
        <v>76</v>
      </c>
      <c r="J46" s="8">
        <f>4.563/J$1</f>
        <v>0.15209999999999999</v>
      </c>
      <c r="K46" s="5">
        <v>1.32E-2</v>
      </c>
      <c r="L46" s="5">
        <v>2.2000000000000001E-3</v>
      </c>
      <c r="M46" s="5">
        <v>7.1999999999999998E-3</v>
      </c>
      <c r="N46" s="5">
        <v>0</v>
      </c>
      <c r="O46" s="42">
        <v>2.1160000000000002E-2</v>
      </c>
      <c r="P46" s="5">
        <f t="shared" si="0"/>
        <v>0.17469999999999999</v>
      </c>
      <c r="Q46" s="24">
        <v>65418</v>
      </c>
      <c r="R46" s="3">
        <v>500</v>
      </c>
      <c r="S46" s="1" t="s">
        <v>109</v>
      </c>
      <c r="T46" s="9">
        <f t="shared" si="3"/>
        <v>2281.5</v>
      </c>
      <c r="U46" s="9"/>
      <c r="V46" s="55">
        <v>156599</v>
      </c>
      <c r="W46" s="1"/>
      <c r="X46" s="36"/>
      <c r="Y46" s="36"/>
    </row>
    <row r="47" spans="2:25" s="61" customFormat="1" x14ac:dyDescent="0.2">
      <c r="B47" s="1" t="s">
        <v>155</v>
      </c>
      <c r="C47" s="3" t="s">
        <v>67</v>
      </c>
      <c r="D47" s="3" t="s">
        <v>73</v>
      </c>
      <c r="E47" s="4">
        <v>36557</v>
      </c>
      <c r="F47" s="4">
        <v>36860</v>
      </c>
      <c r="G47" s="1" t="s">
        <v>75</v>
      </c>
      <c r="H47" s="1" t="s">
        <v>79</v>
      </c>
      <c r="I47" s="3" t="s">
        <v>76</v>
      </c>
      <c r="J47" s="8">
        <f>6.449/J$1</f>
        <v>0.21496666666666667</v>
      </c>
      <c r="K47" s="5">
        <v>1.32E-2</v>
      </c>
      <c r="L47" s="5">
        <v>2.2000000000000001E-3</v>
      </c>
      <c r="M47" s="5">
        <v>7.1999999999999998E-3</v>
      </c>
      <c r="N47" s="5">
        <v>0</v>
      </c>
      <c r="O47" s="42">
        <v>2.1160000000000002E-2</v>
      </c>
      <c r="P47" s="5">
        <f t="shared" si="0"/>
        <v>0.23756666666666668</v>
      </c>
      <c r="Q47" s="24">
        <v>65556</v>
      </c>
      <c r="R47" s="3">
        <v>3</v>
      </c>
      <c r="S47" s="1" t="s">
        <v>97</v>
      </c>
      <c r="T47" s="9">
        <f t="shared" si="3"/>
        <v>19.347000000000001</v>
      </c>
      <c r="U47" s="9"/>
      <c r="V47" s="55">
        <v>156602</v>
      </c>
      <c r="W47" s="1"/>
      <c r="X47" s="36"/>
      <c r="Y47" s="36"/>
    </row>
    <row r="48" spans="2:25" s="61" customFormat="1" x14ac:dyDescent="0.2">
      <c r="B48" s="1" t="s">
        <v>155</v>
      </c>
      <c r="C48" s="3" t="s">
        <v>67</v>
      </c>
      <c r="D48" s="3" t="s">
        <v>69</v>
      </c>
      <c r="E48" s="4">
        <v>36557</v>
      </c>
      <c r="F48" s="4">
        <v>36922</v>
      </c>
      <c r="G48" s="1" t="s">
        <v>157</v>
      </c>
      <c r="H48" s="1" t="s">
        <v>158</v>
      </c>
      <c r="I48" s="3" t="s">
        <v>76</v>
      </c>
      <c r="J48" s="8">
        <f>6.449/J$1</f>
        <v>0.21496666666666667</v>
      </c>
      <c r="K48" s="5"/>
      <c r="L48" s="5"/>
      <c r="M48" s="5"/>
      <c r="N48" s="5"/>
      <c r="O48" s="42"/>
      <c r="P48" s="5"/>
      <c r="Q48" s="24">
        <v>66280</v>
      </c>
      <c r="R48" s="3">
        <v>1</v>
      </c>
      <c r="S48" s="1" t="s">
        <v>160</v>
      </c>
      <c r="T48" s="9">
        <f t="shared" si="3"/>
        <v>6.4489999999999998</v>
      </c>
      <c r="U48" s="9"/>
      <c r="V48" s="55">
        <v>156606</v>
      </c>
      <c r="W48" s="1"/>
      <c r="X48" s="36"/>
      <c r="Y48" s="36"/>
    </row>
    <row r="49" spans="2:25" s="61" customFormat="1" x14ac:dyDescent="0.2">
      <c r="B49" s="1" t="s">
        <v>155</v>
      </c>
      <c r="C49" s="3" t="s">
        <v>67</v>
      </c>
      <c r="D49" s="3" t="s">
        <v>69</v>
      </c>
      <c r="E49" s="4">
        <v>36557</v>
      </c>
      <c r="F49" s="4">
        <v>36922</v>
      </c>
      <c r="G49" s="1" t="s">
        <v>157</v>
      </c>
      <c r="H49" s="1" t="s">
        <v>159</v>
      </c>
      <c r="I49" s="3" t="s">
        <v>76</v>
      </c>
      <c r="J49" s="8">
        <f>6.449/J$1</f>
        <v>0.21496666666666667</v>
      </c>
      <c r="K49" s="5"/>
      <c r="L49" s="5"/>
      <c r="M49" s="5"/>
      <c r="N49" s="5"/>
      <c r="O49" s="42"/>
      <c r="P49" s="5"/>
      <c r="Q49" s="24">
        <v>66280</v>
      </c>
      <c r="R49" s="3">
        <v>4</v>
      </c>
      <c r="S49" s="1" t="s">
        <v>160</v>
      </c>
      <c r="T49" s="9">
        <f t="shared" si="3"/>
        <v>25.795999999999999</v>
      </c>
      <c r="U49" s="9"/>
      <c r="V49" s="55">
        <v>156606</v>
      </c>
      <c r="W49" s="1"/>
      <c r="X49" s="36"/>
      <c r="Y49" s="36"/>
    </row>
    <row r="50" spans="2:25" s="61" customFormat="1" x14ac:dyDescent="0.2">
      <c r="B50" s="1" t="s">
        <v>155</v>
      </c>
      <c r="C50" s="3" t="s">
        <v>67</v>
      </c>
      <c r="D50" s="3" t="s">
        <v>69</v>
      </c>
      <c r="E50" s="4">
        <v>36656</v>
      </c>
      <c r="F50" s="4">
        <v>36950</v>
      </c>
      <c r="G50" s="1" t="s">
        <v>157</v>
      </c>
      <c r="H50" s="29" t="s">
        <v>158</v>
      </c>
      <c r="I50" s="3" t="s">
        <v>76</v>
      </c>
      <c r="J50" s="8">
        <v>6.4489999999999998</v>
      </c>
      <c r="K50" s="5"/>
      <c r="L50" s="5"/>
      <c r="M50" s="5"/>
      <c r="N50" s="5"/>
      <c r="O50" s="42"/>
      <c r="P50" s="5"/>
      <c r="Q50" s="24">
        <v>68308</v>
      </c>
      <c r="R50" s="3">
        <v>5</v>
      </c>
      <c r="S50" s="1" t="s">
        <v>226</v>
      </c>
      <c r="T50" s="9">
        <f>+R50*J50</f>
        <v>32.244999999999997</v>
      </c>
      <c r="U50" s="9"/>
      <c r="V50" s="55">
        <v>262094</v>
      </c>
      <c r="W50" s="1"/>
      <c r="X50" s="36"/>
      <c r="Y50" s="36"/>
    </row>
    <row r="51" spans="2:25" s="61" customFormat="1" x14ac:dyDescent="0.2">
      <c r="B51" s="1" t="s">
        <v>155</v>
      </c>
      <c r="C51" s="3" t="s">
        <v>67</v>
      </c>
      <c r="D51" s="3" t="s">
        <v>69</v>
      </c>
      <c r="E51" s="4">
        <v>36656</v>
      </c>
      <c r="F51" s="4">
        <v>36950</v>
      </c>
      <c r="G51" s="1" t="s">
        <v>157</v>
      </c>
      <c r="H51" s="29" t="s">
        <v>159</v>
      </c>
      <c r="I51" s="3" t="s">
        <v>76</v>
      </c>
      <c r="J51" s="8">
        <v>6.4489999999999998</v>
      </c>
      <c r="K51" s="5"/>
      <c r="L51" s="5"/>
      <c r="M51" s="5"/>
      <c r="N51" s="5"/>
      <c r="O51" s="42"/>
      <c r="P51" s="5"/>
      <c r="Q51" s="24">
        <v>68308</v>
      </c>
      <c r="R51" s="3">
        <v>4</v>
      </c>
      <c r="S51" s="1" t="s">
        <v>226</v>
      </c>
      <c r="T51" s="9">
        <f>+R51*J51</f>
        <v>25.795999999999999</v>
      </c>
      <c r="U51" s="9"/>
      <c r="V51" s="55">
        <v>262094</v>
      </c>
      <c r="W51" s="1"/>
      <c r="X51" s="36"/>
      <c r="Y51" s="36"/>
    </row>
    <row r="52" spans="2:25" s="61" customFormat="1" x14ac:dyDescent="0.2">
      <c r="B52" s="1" t="s">
        <v>155</v>
      </c>
      <c r="C52" s="3" t="s">
        <v>67</v>
      </c>
      <c r="D52" s="3" t="s">
        <v>69</v>
      </c>
      <c r="E52" s="4">
        <v>36708</v>
      </c>
      <c r="F52" s="4">
        <v>37072</v>
      </c>
      <c r="G52" s="1" t="s">
        <v>60</v>
      </c>
      <c r="H52" s="1" t="s">
        <v>54</v>
      </c>
      <c r="I52" s="3" t="s">
        <v>115</v>
      </c>
      <c r="J52" s="8">
        <f>3.145/J$1</f>
        <v>0.10483333333333333</v>
      </c>
      <c r="K52" s="5">
        <v>1.32E-2</v>
      </c>
      <c r="L52" s="5">
        <v>2.2000000000000001E-3</v>
      </c>
      <c r="M52" s="5">
        <v>0</v>
      </c>
      <c r="N52" s="5">
        <v>0</v>
      </c>
      <c r="O52" s="42">
        <v>2.1160000000000002E-2</v>
      </c>
      <c r="P52" s="5">
        <f>SUM(J52:N52)</f>
        <v>0.12023333333333333</v>
      </c>
      <c r="Q52" s="24">
        <v>68635</v>
      </c>
      <c r="R52" s="3">
        <v>1</v>
      </c>
      <c r="S52" s="1" t="s">
        <v>245</v>
      </c>
      <c r="T52" s="9">
        <f>J52*J$1*R52</f>
        <v>3.145</v>
      </c>
      <c r="U52" s="9"/>
      <c r="V52" s="55">
        <v>312333</v>
      </c>
      <c r="W52" s="1"/>
      <c r="X52" s="36"/>
      <c r="Y52" s="36"/>
    </row>
    <row r="53" spans="2:25" s="61" customFormat="1" x14ac:dyDescent="0.2">
      <c r="B53" s="1" t="s">
        <v>155</v>
      </c>
      <c r="C53" s="3" t="s">
        <v>67</v>
      </c>
      <c r="D53" s="3" t="s">
        <v>196</v>
      </c>
      <c r="E53" s="4">
        <v>36617</v>
      </c>
      <c r="F53" s="4" t="s">
        <v>197</v>
      </c>
      <c r="G53" s="1" t="s">
        <v>198</v>
      </c>
      <c r="H53" s="1"/>
      <c r="I53" s="3" t="s">
        <v>199</v>
      </c>
      <c r="J53" s="8"/>
      <c r="K53" s="5"/>
      <c r="L53" s="5"/>
      <c r="M53" s="5"/>
      <c r="N53" s="5"/>
      <c r="O53" s="42"/>
      <c r="P53" s="5"/>
      <c r="Q53" s="24">
        <v>66917</v>
      </c>
      <c r="R53" s="3"/>
      <c r="S53" s="1"/>
      <c r="T53" s="9"/>
      <c r="U53" s="9"/>
      <c r="V53" s="55">
        <v>228085</v>
      </c>
      <c r="W53" s="1"/>
      <c r="X53" s="36"/>
      <c r="Y53" s="36"/>
    </row>
    <row r="54" spans="2:25" s="61" customFormat="1" x14ac:dyDescent="0.2">
      <c r="B54" s="1" t="s">
        <v>155</v>
      </c>
      <c r="C54" s="3" t="s">
        <v>67</v>
      </c>
      <c r="D54" s="3" t="s">
        <v>69</v>
      </c>
      <c r="E54" s="4">
        <v>36617</v>
      </c>
      <c r="F54" s="4">
        <v>36981</v>
      </c>
      <c r="G54" s="1" t="s">
        <v>157</v>
      </c>
      <c r="H54" s="1" t="s">
        <v>158</v>
      </c>
      <c r="I54" s="3" t="s">
        <v>76</v>
      </c>
      <c r="J54" s="8">
        <v>6.4009999999999998</v>
      </c>
      <c r="K54" s="5"/>
      <c r="L54" s="5"/>
      <c r="M54" s="5"/>
      <c r="N54" s="5"/>
      <c r="O54" s="42"/>
      <c r="P54" s="5"/>
      <c r="Q54" s="24">
        <v>66939</v>
      </c>
      <c r="R54" s="3">
        <v>5</v>
      </c>
      <c r="S54" s="1" t="s">
        <v>31</v>
      </c>
      <c r="T54" s="9">
        <f t="shared" ref="T54:T65" si="4">+R54*J54</f>
        <v>32.004999999999995</v>
      </c>
      <c r="U54" s="9"/>
      <c r="V54" s="55"/>
      <c r="W54" s="1"/>
      <c r="X54" s="36"/>
      <c r="Y54" s="36"/>
    </row>
    <row r="55" spans="2:25" s="61" customFormat="1" x14ac:dyDescent="0.2">
      <c r="B55" s="1" t="s">
        <v>155</v>
      </c>
      <c r="C55" s="3" t="s">
        <v>67</v>
      </c>
      <c r="D55" s="3" t="s">
        <v>69</v>
      </c>
      <c r="E55" s="4">
        <v>36617</v>
      </c>
      <c r="F55" s="4">
        <v>36981</v>
      </c>
      <c r="G55" s="1" t="s">
        <v>157</v>
      </c>
      <c r="H55" s="1" t="s">
        <v>159</v>
      </c>
      <c r="I55" s="3" t="s">
        <v>76</v>
      </c>
      <c r="J55" s="8">
        <v>6.4009999999999998</v>
      </c>
      <c r="K55" s="5"/>
      <c r="L55" s="5"/>
      <c r="M55" s="5"/>
      <c r="N55" s="5"/>
      <c r="O55" s="42"/>
      <c r="P55" s="5"/>
      <c r="Q55" s="24">
        <v>66939</v>
      </c>
      <c r="R55" s="3">
        <v>27</v>
      </c>
      <c r="S55" s="1" t="s">
        <v>31</v>
      </c>
      <c r="T55" s="9">
        <f t="shared" si="4"/>
        <v>172.827</v>
      </c>
      <c r="U55" s="9"/>
      <c r="V55" s="55"/>
      <c r="W55" s="1"/>
      <c r="X55" s="36"/>
      <c r="Y55" s="36"/>
    </row>
    <row r="56" spans="2:25" s="61" customFormat="1" x14ac:dyDescent="0.2">
      <c r="B56" s="1" t="s">
        <v>155</v>
      </c>
      <c r="C56" s="3" t="s">
        <v>67</v>
      </c>
      <c r="D56" s="3" t="s">
        <v>69</v>
      </c>
      <c r="E56" s="4">
        <v>36617</v>
      </c>
      <c r="F56" s="4">
        <v>36981</v>
      </c>
      <c r="G56" s="1" t="s">
        <v>157</v>
      </c>
      <c r="H56" s="1" t="s">
        <v>203</v>
      </c>
      <c r="I56" s="3" t="s">
        <v>76</v>
      </c>
      <c r="J56" s="8">
        <v>6.4009999999999998</v>
      </c>
      <c r="K56" s="5"/>
      <c r="L56" s="5"/>
      <c r="M56" s="5"/>
      <c r="N56" s="5"/>
      <c r="O56" s="42"/>
      <c r="P56" s="5"/>
      <c r="Q56" s="24">
        <v>66939</v>
      </c>
      <c r="R56" s="3">
        <v>3</v>
      </c>
      <c r="S56" s="1" t="s">
        <v>31</v>
      </c>
      <c r="T56" s="9">
        <f t="shared" si="4"/>
        <v>19.202999999999999</v>
      </c>
      <c r="U56" s="9"/>
      <c r="V56" s="55"/>
      <c r="W56" s="1"/>
      <c r="X56" s="36"/>
      <c r="Y56" s="36"/>
    </row>
    <row r="57" spans="2:25" s="61" customFormat="1" x14ac:dyDescent="0.2">
      <c r="B57" s="1" t="s">
        <v>155</v>
      </c>
      <c r="C57" s="3" t="s">
        <v>67</v>
      </c>
      <c r="D57" s="3" t="s">
        <v>69</v>
      </c>
      <c r="E57" s="4">
        <v>36617</v>
      </c>
      <c r="F57" s="4">
        <v>36981</v>
      </c>
      <c r="G57" s="1" t="s">
        <v>157</v>
      </c>
      <c r="H57" s="1" t="s">
        <v>204</v>
      </c>
      <c r="I57" s="3" t="s">
        <v>76</v>
      </c>
      <c r="J57" s="8">
        <v>6.4009999999999998</v>
      </c>
      <c r="K57" s="5"/>
      <c r="L57" s="5"/>
      <c r="M57" s="5"/>
      <c r="N57" s="5"/>
      <c r="O57" s="42"/>
      <c r="P57" s="5"/>
      <c r="Q57" s="24">
        <v>66939</v>
      </c>
      <c r="R57" s="3">
        <v>17</v>
      </c>
      <c r="S57" s="1" t="s">
        <v>31</v>
      </c>
      <c r="T57" s="9">
        <f t="shared" si="4"/>
        <v>108.81699999999999</v>
      </c>
      <c r="U57" s="9"/>
      <c r="V57" s="55"/>
      <c r="W57" s="1"/>
      <c r="X57" s="36"/>
      <c r="Y57" s="36"/>
    </row>
    <row r="58" spans="2:25" s="61" customFormat="1" x14ac:dyDescent="0.2">
      <c r="B58" s="1" t="s">
        <v>155</v>
      </c>
      <c r="C58" s="3" t="s">
        <v>67</v>
      </c>
      <c r="D58" s="3" t="s">
        <v>68</v>
      </c>
      <c r="E58" s="4">
        <v>36617</v>
      </c>
      <c r="F58" s="4">
        <v>36981</v>
      </c>
      <c r="G58" s="1" t="s">
        <v>157</v>
      </c>
      <c r="H58" s="1" t="s">
        <v>205</v>
      </c>
      <c r="I58" s="3" t="s">
        <v>76</v>
      </c>
      <c r="J58" s="8">
        <v>6.4009999999999998</v>
      </c>
      <c r="K58" s="5"/>
      <c r="L58" s="5"/>
      <c r="M58" s="5"/>
      <c r="N58" s="5"/>
      <c r="O58" s="42"/>
      <c r="P58" s="5"/>
      <c r="Q58" s="24">
        <v>66940</v>
      </c>
      <c r="R58" s="3">
        <v>1</v>
      </c>
      <c r="S58" s="29" t="s">
        <v>200</v>
      </c>
      <c r="T58" s="9">
        <f t="shared" si="4"/>
        <v>6.4009999999999998</v>
      </c>
      <c r="U58" s="9"/>
      <c r="V58" s="55">
        <v>228134</v>
      </c>
      <c r="W58" s="1"/>
      <c r="X58" s="36"/>
      <c r="Y58" s="36"/>
    </row>
    <row r="59" spans="2:25" s="61" customFormat="1" x14ac:dyDescent="0.2">
      <c r="B59" s="1" t="s">
        <v>155</v>
      </c>
      <c r="C59" s="3" t="s">
        <v>67</v>
      </c>
      <c r="D59" s="3" t="s">
        <v>68</v>
      </c>
      <c r="E59" s="4">
        <v>36617</v>
      </c>
      <c r="F59" s="4">
        <v>36981</v>
      </c>
      <c r="G59" s="1" t="s">
        <v>157</v>
      </c>
      <c r="H59" s="1" t="s">
        <v>206</v>
      </c>
      <c r="I59" s="3" t="s">
        <v>76</v>
      </c>
      <c r="J59" s="8">
        <v>6.4009999999999998</v>
      </c>
      <c r="K59" s="5"/>
      <c r="L59" s="5"/>
      <c r="M59" s="5"/>
      <c r="N59" s="5"/>
      <c r="O59" s="42"/>
      <c r="P59" s="5"/>
      <c r="Q59" s="24">
        <v>66940</v>
      </c>
      <c r="R59" s="3">
        <v>1</v>
      </c>
      <c r="S59" s="29" t="s">
        <v>200</v>
      </c>
      <c r="T59" s="9">
        <f t="shared" si="4"/>
        <v>6.4009999999999998</v>
      </c>
      <c r="U59" s="9"/>
      <c r="V59" s="55">
        <v>228134</v>
      </c>
      <c r="W59" s="1"/>
      <c r="X59" s="36"/>
      <c r="Y59" s="36"/>
    </row>
    <row r="60" spans="2:25" s="61" customFormat="1" x14ac:dyDescent="0.2">
      <c r="B60" s="1" t="s">
        <v>155</v>
      </c>
      <c r="C60" s="3" t="s">
        <v>67</v>
      </c>
      <c r="D60" s="3" t="s">
        <v>68</v>
      </c>
      <c r="E60" s="4">
        <v>36647</v>
      </c>
      <c r="F60" s="4">
        <v>37011</v>
      </c>
      <c r="G60" s="1" t="s">
        <v>215</v>
      </c>
      <c r="H60" s="1" t="s">
        <v>216</v>
      </c>
      <c r="I60" s="3" t="s">
        <v>76</v>
      </c>
      <c r="J60" s="8">
        <f>6.401/J1</f>
        <v>0.21336666666666665</v>
      </c>
      <c r="K60" s="5"/>
      <c r="L60" s="5"/>
      <c r="M60" s="5"/>
      <c r="N60" s="5"/>
      <c r="O60" s="42"/>
      <c r="P60" s="5"/>
      <c r="Q60" s="24">
        <v>68188</v>
      </c>
      <c r="R60" s="3">
        <v>1</v>
      </c>
      <c r="S60" s="1" t="s">
        <v>217</v>
      </c>
      <c r="T60" s="9">
        <f>+J60*R60*13</f>
        <v>2.7737666666666665</v>
      </c>
      <c r="U60" s="9"/>
      <c r="V60" s="55">
        <v>253195</v>
      </c>
      <c r="W60" s="1"/>
      <c r="X60" s="36"/>
      <c r="Y60" s="36"/>
    </row>
    <row r="61" spans="2:25" s="94" customFormat="1" x14ac:dyDescent="0.2">
      <c r="B61" s="57" t="s">
        <v>155</v>
      </c>
      <c r="C61" s="40" t="s">
        <v>67</v>
      </c>
      <c r="D61" s="40" t="s">
        <v>152</v>
      </c>
      <c r="E61" s="91">
        <v>36312</v>
      </c>
      <c r="F61" s="91">
        <v>37011</v>
      </c>
      <c r="G61" s="59" t="s">
        <v>75</v>
      </c>
      <c r="H61" s="59" t="s">
        <v>227</v>
      </c>
      <c r="I61" s="40" t="s">
        <v>76</v>
      </c>
      <c r="J61" s="92"/>
      <c r="K61" s="23"/>
      <c r="L61" s="23"/>
      <c r="M61" s="23"/>
      <c r="N61" s="23"/>
      <c r="O61" s="93"/>
      <c r="P61" s="23"/>
      <c r="Q61" s="48">
        <v>65403</v>
      </c>
      <c r="R61" s="40"/>
      <c r="S61" s="57" t="s">
        <v>255</v>
      </c>
      <c r="T61" s="28"/>
      <c r="U61" s="28"/>
      <c r="V61" s="51"/>
      <c r="W61" s="57" t="s">
        <v>254</v>
      </c>
      <c r="X61" s="35"/>
      <c r="Y61" s="35"/>
    </row>
    <row r="62" spans="2:25" s="94" customFormat="1" x14ac:dyDescent="0.2">
      <c r="B62" s="57" t="s">
        <v>155</v>
      </c>
      <c r="C62" s="40" t="s">
        <v>67</v>
      </c>
      <c r="D62" s="40" t="s">
        <v>116</v>
      </c>
      <c r="E62" s="91">
        <v>36739</v>
      </c>
      <c r="F62" s="91">
        <v>37103</v>
      </c>
      <c r="G62" s="57" t="s">
        <v>157</v>
      </c>
      <c r="H62" s="57" t="s">
        <v>256</v>
      </c>
      <c r="I62" s="40" t="s">
        <v>76</v>
      </c>
      <c r="J62" s="92">
        <v>6.4009999999999998</v>
      </c>
      <c r="K62" s="23"/>
      <c r="L62" s="23"/>
      <c r="M62" s="23"/>
      <c r="N62" s="23"/>
      <c r="O62" s="93"/>
      <c r="P62" s="23"/>
      <c r="Q62" s="48">
        <v>68928</v>
      </c>
      <c r="R62" s="40">
        <v>47</v>
      </c>
      <c r="S62" s="57" t="s">
        <v>3</v>
      </c>
      <c r="T62" s="28">
        <f>+J62*R62</f>
        <v>300.84699999999998</v>
      </c>
      <c r="U62" s="28"/>
      <c r="V62" s="51">
        <v>351966</v>
      </c>
      <c r="W62" s="57"/>
      <c r="X62" s="35"/>
      <c r="Y62" s="35"/>
    </row>
    <row r="63" spans="2:25" s="94" customFormat="1" x14ac:dyDescent="0.2">
      <c r="B63" s="57" t="s">
        <v>155</v>
      </c>
      <c r="C63" s="40" t="s">
        <v>67</v>
      </c>
      <c r="D63" s="40" t="s">
        <v>69</v>
      </c>
      <c r="E63" s="91">
        <v>36770</v>
      </c>
      <c r="F63" s="91">
        <v>37134</v>
      </c>
      <c r="G63" s="57" t="s">
        <v>157</v>
      </c>
      <c r="H63" s="57" t="s">
        <v>266</v>
      </c>
      <c r="I63" s="40" t="s">
        <v>76</v>
      </c>
      <c r="J63" s="92">
        <v>6.4009999999999998</v>
      </c>
      <c r="K63" s="23"/>
      <c r="L63" s="23"/>
      <c r="M63" s="23"/>
      <c r="N63" s="23"/>
      <c r="O63" s="93"/>
      <c r="P63" s="23"/>
      <c r="Q63" s="48">
        <v>69144</v>
      </c>
      <c r="R63" s="40">
        <v>62</v>
      </c>
      <c r="S63" s="57" t="s">
        <v>267</v>
      </c>
      <c r="T63" s="28">
        <f>+J63*R63</f>
        <v>396.86199999999997</v>
      </c>
      <c r="U63" s="28"/>
      <c r="V63" s="51"/>
      <c r="W63" s="57"/>
      <c r="X63" s="35"/>
      <c r="Y63" s="35"/>
    </row>
    <row r="64" spans="2:25" s="94" customFormat="1" x14ac:dyDescent="0.2">
      <c r="B64" s="57" t="s">
        <v>155</v>
      </c>
      <c r="C64" s="40" t="s">
        <v>67</v>
      </c>
      <c r="D64" s="40" t="s">
        <v>116</v>
      </c>
      <c r="E64" s="91">
        <v>36647</v>
      </c>
      <c r="F64" s="91">
        <v>37011</v>
      </c>
      <c r="G64" s="57" t="s">
        <v>157</v>
      </c>
      <c r="H64" s="57" t="s">
        <v>221</v>
      </c>
      <c r="I64" s="40" t="s">
        <v>76</v>
      </c>
      <c r="J64" s="92">
        <v>6.4009999999999998</v>
      </c>
      <c r="K64" s="23"/>
      <c r="L64" s="23"/>
      <c r="M64" s="23"/>
      <c r="N64" s="23"/>
      <c r="O64" s="93"/>
      <c r="P64" s="23"/>
      <c r="Q64" s="48">
        <v>68257</v>
      </c>
      <c r="R64" s="40">
        <v>21</v>
      </c>
      <c r="S64" s="57" t="s">
        <v>222</v>
      </c>
      <c r="T64" s="28">
        <f t="shared" si="4"/>
        <v>134.42099999999999</v>
      </c>
      <c r="U64" s="28"/>
      <c r="V64" s="51">
        <v>254718</v>
      </c>
      <c r="W64" s="57"/>
      <c r="X64" s="35"/>
      <c r="Y64" s="35"/>
    </row>
    <row r="65" spans="2:25" x14ac:dyDescent="0.2">
      <c r="T65" s="9">
        <f t="shared" si="4"/>
        <v>0</v>
      </c>
    </row>
    <row r="66" spans="2:25" x14ac:dyDescent="0.2">
      <c r="B66" s="10" t="s">
        <v>34</v>
      </c>
      <c r="C66" s="11" t="s">
        <v>34</v>
      </c>
      <c r="D66" s="11" t="s">
        <v>34</v>
      </c>
      <c r="E66" s="13" t="s">
        <v>34</v>
      </c>
      <c r="F66" s="13" t="s">
        <v>34</v>
      </c>
      <c r="G66" s="10" t="s">
        <v>34</v>
      </c>
      <c r="H66" s="30" t="s">
        <v>34</v>
      </c>
      <c r="I66" s="11" t="s">
        <v>34</v>
      </c>
      <c r="J66" s="14"/>
      <c r="K66" s="15"/>
      <c r="L66" s="15"/>
      <c r="M66" s="15"/>
      <c r="N66" s="15"/>
      <c r="O66" s="44"/>
      <c r="P66" s="15"/>
      <c r="Q66" s="26" t="s">
        <v>34</v>
      </c>
      <c r="R66" s="11">
        <f>SUM(R31:R64)</f>
        <v>21362</v>
      </c>
      <c r="S66" s="10" t="s">
        <v>34</v>
      </c>
      <c r="T66" s="22">
        <f>SUM(T19:T64)</f>
        <v>881580.21086666652</v>
      </c>
      <c r="U66" s="22" t="e">
        <f>SUM(#REF!)</f>
        <v>#REF!</v>
      </c>
      <c r="V66" s="54"/>
      <c r="W66" s="30"/>
      <c r="X66" s="36"/>
      <c r="Y66" s="36"/>
    </row>
    <row r="67" spans="2:25" x14ac:dyDescent="0.2">
      <c r="B67" s="16" t="s">
        <v>35</v>
      </c>
      <c r="C67" s="17" t="s">
        <v>36</v>
      </c>
      <c r="D67" s="17" t="s">
        <v>37</v>
      </c>
      <c r="E67" s="18" t="s">
        <v>38</v>
      </c>
      <c r="F67" s="18"/>
      <c r="G67" s="16" t="s">
        <v>39</v>
      </c>
      <c r="H67" s="16" t="s">
        <v>40</v>
      </c>
      <c r="I67" s="17" t="s">
        <v>72</v>
      </c>
      <c r="J67" s="19" t="s">
        <v>41</v>
      </c>
      <c r="K67" s="17" t="s">
        <v>42</v>
      </c>
      <c r="L67" s="17" t="s">
        <v>43</v>
      </c>
      <c r="M67" s="17" t="s">
        <v>44</v>
      </c>
      <c r="N67" s="17" t="s">
        <v>45</v>
      </c>
      <c r="O67" s="43" t="s">
        <v>46</v>
      </c>
      <c r="P67" s="17" t="s">
        <v>47</v>
      </c>
      <c r="Q67" s="20" t="s">
        <v>153</v>
      </c>
      <c r="R67" s="17" t="s">
        <v>48</v>
      </c>
      <c r="S67" s="16" t="s">
        <v>49</v>
      </c>
      <c r="T67" s="21" t="s">
        <v>71</v>
      </c>
      <c r="U67" s="21" t="s">
        <v>70</v>
      </c>
      <c r="V67" s="53" t="s">
        <v>154</v>
      </c>
      <c r="W67" s="58">
        <f>+W37</f>
        <v>0</v>
      </c>
      <c r="X67" s="36"/>
      <c r="Y67" s="36"/>
    </row>
    <row r="68" spans="2:25" s="110" customFormat="1" ht="12" customHeight="1" x14ac:dyDescent="0.2">
      <c r="B68" s="99" t="s">
        <v>155</v>
      </c>
      <c r="C68" s="100" t="s">
        <v>172</v>
      </c>
      <c r="D68" s="100" t="s">
        <v>225</v>
      </c>
      <c r="E68" s="101">
        <v>35612</v>
      </c>
      <c r="F68" s="101">
        <v>37437</v>
      </c>
      <c r="G68" s="102" t="s">
        <v>173</v>
      </c>
      <c r="H68" s="99" t="s">
        <v>174</v>
      </c>
      <c r="I68" s="100" t="s">
        <v>76</v>
      </c>
      <c r="J68" s="103">
        <v>0</v>
      </c>
      <c r="K68" s="104">
        <v>0</v>
      </c>
      <c r="L68" s="104">
        <v>2.2000000000000001E-3</v>
      </c>
      <c r="M68" s="104">
        <v>7.1999999999999998E-3</v>
      </c>
      <c r="N68" s="104">
        <v>0</v>
      </c>
      <c r="O68" s="105">
        <v>0</v>
      </c>
      <c r="P68" s="104">
        <f>SUM(J68:N68)</f>
        <v>9.4000000000000004E-3</v>
      </c>
      <c r="Q68" s="106">
        <v>270</v>
      </c>
      <c r="R68" s="100">
        <v>1000</v>
      </c>
      <c r="S68" s="99" t="s">
        <v>282</v>
      </c>
      <c r="T68" s="107">
        <f>J68*J$1*R68</f>
        <v>0</v>
      </c>
      <c r="U68" s="107"/>
      <c r="V68" s="108">
        <v>348630</v>
      </c>
      <c r="W68" s="99"/>
      <c r="X68" s="109"/>
      <c r="Y68" s="109"/>
    </row>
    <row r="69" spans="2:25" s="61" customFormat="1" ht="12" customHeight="1" x14ac:dyDescent="0.2">
      <c r="B69" s="1"/>
      <c r="C69" s="3"/>
      <c r="D69" s="3"/>
      <c r="E69" s="4"/>
      <c r="F69" s="4"/>
      <c r="G69" s="29"/>
      <c r="H69" s="29"/>
      <c r="I69" s="3"/>
      <c r="J69" s="8"/>
      <c r="K69" s="5"/>
      <c r="L69" s="5"/>
      <c r="M69" s="5"/>
      <c r="N69" s="5"/>
      <c r="O69" s="42"/>
      <c r="P69" s="5"/>
      <c r="Q69" s="24"/>
      <c r="R69" s="3"/>
      <c r="S69" s="1"/>
      <c r="T69" s="9">
        <f>SUM(T68)</f>
        <v>0</v>
      </c>
      <c r="U69" s="9"/>
      <c r="V69" s="55"/>
      <c r="W69" s="1"/>
      <c r="X69" s="36"/>
      <c r="Y69" s="36"/>
    </row>
    <row r="70" spans="2:25" x14ac:dyDescent="0.2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2"/>
      <c r="P70" s="5"/>
      <c r="Q70" s="48"/>
      <c r="R70" s="49"/>
      <c r="S70" s="28"/>
      <c r="T70" s="28"/>
      <c r="U70" s="28"/>
      <c r="V70" s="51"/>
      <c r="W70" s="57"/>
      <c r="X70" s="35"/>
      <c r="Y70" s="35"/>
    </row>
    <row r="71" spans="2:25" x14ac:dyDescent="0.2">
      <c r="B71" s="27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2"/>
      <c r="P71" s="5"/>
      <c r="Q71" s="48"/>
      <c r="R71" s="49"/>
      <c r="S71" s="28"/>
      <c r="T71" s="28"/>
      <c r="U71" s="28"/>
      <c r="V71" s="51"/>
      <c r="W71" s="57"/>
      <c r="X71" s="35"/>
      <c r="Y71" s="35"/>
    </row>
    <row r="72" spans="2:25" ht="13.5" thickBot="1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2"/>
      <c r="P72" s="5"/>
      <c r="Q72" s="48"/>
      <c r="R72" s="49"/>
      <c r="S72" s="28"/>
      <c r="T72" s="159">
        <f>SUM(T69,T66,T17,)</f>
        <v>882040.03916666657</v>
      </c>
      <c r="U72" s="28"/>
      <c r="V72" s="51"/>
      <c r="W72" s="57"/>
      <c r="X72" s="35"/>
      <c r="Y72" s="35"/>
    </row>
    <row r="73" spans="2:25" ht="13.5" thickTop="1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2"/>
      <c r="P73" s="5"/>
      <c r="Q73" s="48"/>
      <c r="R73" s="49"/>
      <c r="S73" s="28"/>
      <c r="T73" s="28"/>
      <c r="U73" s="57"/>
      <c r="V73" s="51"/>
      <c r="W73" s="57"/>
      <c r="X73" s="40"/>
      <c r="Y73" s="35"/>
    </row>
    <row r="74" spans="2:25" x14ac:dyDescent="0.2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2"/>
      <c r="P74" s="5"/>
      <c r="Q74" s="48"/>
      <c r="R74" s="49"/>
      <c r="S74" s="28"/>
      <c r="T74" s="28">
        <v>10000</v>
      </c>
      <c r="U74" s="28" t="s">
        <v>301</v>
      </c>
      <c r="V74" s="51"/>
      <c r="W74" s="57"/>
      <c r="X74" s="35"/>
      <c r="Y74" s="35"/>
    </row>
    <row r="75" spans="2:25" ht="13.5" thickBot="1" x14ac:dyDescent="0.25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2"/>
      <c r="P75" s="5"/>
      <c r="Q75" s="48"/>
      <c r="R75" s="49"/>
      <c r="S75" s="28"/>
      <c r="T75" s="159">
        <f>+T74+T72</f>
        <v>892040.03916666657</v>
      </c>
      <c r="U75" s="160" t="s">
        <v>286</v>
      </c>
      <c r="V75" s="51"/>
      <c r="W75" s="57"/>
      <c r="X75" s="35"/>
      <c r="Y75" s="35"/>
    </row>
    <row r="76" spans="2:25" ht="13.5" thickTop="1" x14ac:dyDescent="0.2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2"/>
      <c r="P76" s="5"/>
      <c r="Q76" s="48"/>
      <c r="R76" s="49"/>
      <c r="S76" s="40"/>
      <c r="T76" s="28"/>
      <c r="U76" s="28"/>
      <c r="V76" s="51"/>
      <c r="W76" s="57"/>
      <c r="X76" s="35"/>
      <c r="Y76" s="35"/>
    </row>
    <row r="77" spans="2:25" x14ac:dyDescent="0.2">
      <c r="B77" s="27"/>
      <c r="C77" s="3"/>
      <c r="D77" s="3"/>
      <c r="E77" s="4"/>
      <c r="F77" s="4"/>
      <c r="G77" s="1"/>
      <c r="H77" s="1"/>
      <c r="I77" s="3"/>
      <c r="J77" s="8"/>
      <c r="K77" s="5"/>
      <c r="L77" s="5"/>
      <c r="M77" s="5"/>
      <c r="N77" s="5"/>
      <c r="O77" s="42"/>
      <c r="P77" s="5"/>
      <c r="Q77" s="48"/>
      <c r="R77" s="49"/>
      <c r="S77" s="40"/>
      <c r="T77" s="28"/>
      <c r="U77" s="28"/>
      <c r="V77" s="51"/>
      <c r="W77" s="57"/>
      <c r="X77" s="35"/>
      <c r="Y77" s="35"/>
    </row>
    <row r="78" spans="2:25" x14ac:dyDescent="0.2">
      <c r="Q78" s="34"/>
      <c r="R78" s="34"/>
      <c r="S78" s="34"/>
      <c r="T78" s="34"/>
      <c r="U78" s="34"/>
      <c r="V78" s="50"/>
      <c r="W78" s="60"/>
      <c r="X78" s="50"/>
    </row>
    <row r="79" spans="2:25" x14ac:dyDescent="0.2">
      <c r="Q79" s="34"/>
      <c r="R79" s="34"/>
      <c r="S79" s="34"/>
      <c r="T79" s="34"/>
      <c r="U79" s="34"/>
      <c r="V79" s="50"/>
      <c r="W79" s="60"/>
      <c r="X79" s="50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C1" sqref="A1:IV1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81"/>
      <c r="C2" s="81" t="s">
        <v>4</v>
      </c>
      <c r="D2" s="81">
        <v>37147</v>
      </c>
      <c r="E2" s="81" t="s">
        <v>5</v>
      </c>
      <c r="F2" s="81" t="s">
        <v>6</v>
      </c>
      <c r="G2" s="81" t="s">
        <v>6</v>
      </c>
      <c r="H2" s="82">
        <v>35582</v>
      </c>
      <c r="I2" s="81" t="s">
        <v>6</v>
      </c>
      <c r="J2" s="81" t="s">
        <v>6</v>
      </c>
      <c r="K2" s="81">
        <v>0</v>
      </c>
      <c r="L2" s="81">
        <v>0</v>
      </c>
      <c r="M2" s="81">
        <v>0</v>
      </c>
      <c r="N2" s="81">
        <v>0</v>
      </c>
      <c r="O2" s="81">
        <v>0</v>
      </c>
      <c r="P2" s="81">
        <v>0</v>
      </c>
      <c r="Q2" s="81" t="s">
        <v>6</v>
      </c>
    </row>
    <row r="3" spans="2:17" x14ac:dyDescent="0.2">
      <c r="B3" s="83"/>
      <c r="C3" s="83" t="s">
        <v>4</v>
      </c>
      <c r="D3" s="83">
        <v>39149</v>
      </c>
      <c r="E3" s="83" t="s">
        <v>199</v>
      </c>
      <c r="F3" s="83" t="s">
        <v>6</v>
      </c>
      <c r="G3" s="83" t="s">
        <v>6</v>
      </c>
      <c r="H3" s="84">
        <v>35582</v>
      </c>
      <c r="I3" s="83" t="s">
        <v>6</v>
      </c>
      <c r="J3" s="83" t="s">
        <v>6</v>
      </c>
      <c r="K3" s="85">
        <v>500000</v>
      </c>
      <c r="L3" s="83">
        <v>0</v>
      </c>
      <c r="M3" s="85">
        <v>500000</v>
      </c>
      <c r="N3" s="83">
        <v>0</v>
      </c>
      <c r="O3" s="83">
        <v>0</v>
      </c>
      <c r="P3" s="83">
        <v>0</v>
      </c>
      <c r="Q3" s="83" t="s">
        <v>6</v>
      </c>
    </row>
    <row r="4" spans="2:17" x14ac:dyDescent="0.2">
      <c r="B4" s="81"/>
      <c r="C4" s="81" t="s">
        <v>4</v>
      </c>
      <c r="D4" s="81">
        <v>39607</v>
      </c>
      <c r="E4" s="81" t="s">
        <v>7</v>
      </c>
      <c r="F4" s="81" t="s">
        <v>6</v>
      </c>
      <c r="G4" s="81" t="s">
        <v>6</v>
      </c>
      <c r="H4" s="82">
        <v>35582</v>
      </c>
      <c r="I4" s="81" t="s">
        <v>6</v>
      </c>
      <c r="J4" s="81" t="s">
        <v>6</v>
      </c>
      <c r="K4" s="86">
        <v>10000000</v>
      </c>
      <c r="L4" s="81">
        <v>0</v>
      </c>
      <c r="M4" s="86">
        <v>10000000</v>
      </c>
      <c r="N4" s="81">
        <v>0</v>
      </c>
      <c r="O4" s="81">
        <v>0</v>
      </c>
      <c r="P4" s="81">
        <v>0</v>
      </c>
      <c r="Q4" s="81" t="s">
        <v>6</v>
      </c>
    </row>
    <row r="5" spans="2:17" x14ac:dyDescent="0.2">
      <c r="B5" s="83"/>
      <c r="C5" s="83" t="s">
        <v>4</v>
      </c>
      <c r="D5" s="83">
        <v>39764</v>
      </c>
      <c r="E5" s="83" t="s">
        <v>8</v>
      </c>
      <c r="F5" s="83" t="s">
        <v>6</v>
      </c>
      <c r="G5" s="83" t="s">
        <v>6</v>
      </c>
      <c r="H5" s="84">
        <v>35582</v>
      </c>
      <c r="I5" s="83" t="s">
        <v>6</v>
      </c>
      <c r="J5" s="83" t="s">
        <v>6</v>
      </c>
      <c r="K5" s="85">
        <v>60000</v>
      </c>
      <c r="L5" s="83">
        <v>0</v>
      </c>
      <c r="M5" s="85">
        <v>60000</v>
      </c>
      <c r="N5" s="83">
        <v>0</v>
      </c>
      <c r="O5" s="83">
        <v>0</v>
      </c>
      <c r="P5" s="83">
        <v>0</v>
      </c>
      <c r="Q5" s="83" t="s">
        <v>6</v>
      </c>
    </row>
    <row r="6" spans="2:17" x14ac:dyDescent="0.2">
      <c r="B6" s="81"/>
      <c r="C6" s="81" t="s">
        <v>4</v>
      </c>
      <c r="D6" s="81">
        <v>40998</v>
      </c>
      <c r="E6" s="81" t="s">
        <v>9</v>
      </c>
      <c r="F6" s="81" t="s">
        <v>6</v>
      </c>
      <c r="G6" s="81" t="s">
        <v>6</v>
      </c>
      <c r="H6" s="82">
        <v>34393</v>
      </c>
      <c r="I6" s="81" t="s">
        <v>6</v>
      </c>
      <c r="J6" s="81" t="s">
        <v>6</v>
      </c>
      <c r="K6" s="86">
        <v>250000</v>
      </c>
      <c r="L6" s="81">
        <v>0</v>
      </c>
      <c r="M6" s="86">
        <v>250000</v>
      </c>
      <c r="N6" s="81">
        <v>0</v>
      </c>
      <c r="O6" s="81">
        <v>0</v>
      </c>
      <c r="P6" s="81">
        <v>0</v>
      </c>
      <c r="Q6" s="81" t="s">
        <v>6</v>
      </c>
    </row>
    <row r="7" spans="2:17" x14ac:dyDescent="0.2">
      <c r="B7" s="83"/>
      <c r="C7" s="83" t="s">
        <v>4</v>
      </c>
      <c r="D7" s="83">
        <v>60094</v>
      </c>
      <c r="E7" s="83" t="s">
        <v>10</v>
      </c>
      <c r="F7" s="83" t="s">
        <v>6</v>
      </c>
      <c r="G7" s="83" t="s">
        <v>6</v>
      </c>
      <c r="H7" s="84">
        <v>35916</v>
      </c>
      <c r="I7" s="83" t="s">
        <v>6</v>
      </c>
      <c r="J7" s="83" t="s">
        <v>6</v>
      </c>
      <c r="K7" s="83">
        <v>0</v>
      </c>
      <c r="L7" s="83">
        <v>0</v>
      </c>
      <c r="M7" s="83">
        <v>0</v>
      </c>
      <c r="N7" s="83">
        <v>0</v>
      </c>
      <c r="O7" s="83">
        <v>0</v>
      </c>
      <c r="P7" s="83">
        <v>0</v>
      </c>
      <c r="Q7" s="83" t="s">
        <v>6</v>
      </c>
    </row>
    <row r="8" spans="2:17" x14ac:dyDescent="0.2">
      <c r="B8" s="81"/>
      <c r="C8" s="81" t="s">
        <v>4</v>
      </c>
      <c r="D8" s="81">
        <v>61822</v>
      </c>
      <c r="E8" s="81" t="s">
        <v>76</v>
      </c>
      <c r="F8" s="81" t="s">
        <v>6</v>
      </c>
      <c r="G8" s="81" t="s">
        <v>6</v>
      </c>
      <c r="H8" s="82">
        <v>36557</v>
      </c>
      <c r="I8" s="81" t="s">
        <v>6</v>
      </c>
      <c r="J8" s="81">
        <v>22429</v>
      </c>
      <c r="K8" s="86">
        <v>4000</v>
      </c>
      <c r="L8" s="81">
        <v>0</v>
      </c>
      <c r="M8" s="86">
        <v>4000</v>
      </c>
      <c r="N8" s="81">
        <v>0</v>
      </c>
      <c r="O8" s="81">
        <v>0</v>
      </c>
      <c r="P8" s="81">
        <v>0</v>
      </c>
      <c r="Q8" s="81" t="s">
        <v>6</v>
      </c>
    </row>
    <row r="9" spans="2:17" x14ac:dyDescent="0.2">
      <c r="B9" s="83"/>
      <c r="C9" s="83" t="s">
        <v>4</v>
      </c>
      <c r="D9" s="83">
        <v>61825</v>
      </c>
      <c r="E9" s="83" t="s">
        <v>76</v>
      </c>
      <c r="F9" s="83" t="s">
        <v>6</v>
      </c>
      <c r="G9" s="83" t="s">
        <v>6</v>
      </c>
      <c r="H9" s="84">
        <v>36557</v>
      </c>
      <c r="I9" s="84">
        <v>36830</v>
      </c>
      <c r="J9" s="83">
        <v>22428</v>
      </c>
      <c r="K9" s="85">
        <v>8000</v>
      </c>
      <c r="L9" s="83">
        <v>0</v>
      </c>
      <c r="M9" s="85">
        <v>8000</v>
      </c>
      <c r="N9" s="83">
        <v>0</v>
      </c>
      <c r="O9" s="83">
        <v>0</v>
      </c>
      <c r="P9" s="83">
        <v>0</v>
      </c>
      <c r="Q9" s="83" t="s">
        <v>6</v>
      </c>
    </row>
    <row r="10" spans="2:17" x14ac:dyDescent="0.2">
      <c r="B10" s="81"/>
      <c r="C10" s="81" t="s">
        <v>4</v>
      </c>
      <c r="D10" s="81">
        <v>61838</v>
      </c>
      <c r="E10" s="81" t="s">
        <v>76</v>
      </c>
      <c r="F10" s="81" t="s">
        <v>6</v>
      </c>
      <c r="G10" s="81" t="s">
        <v>6</v>
      </c>
      <c r="H10" s="82">
        <v>36557</v>
      </c>
      <c r="I10" s="81" t="s">
        <v>6</v>
      </c>
      <c r="J10" s="81">
        <v>22422</v>
      </c>
      <c r="K10" s="86">
        <v>1000</v>
      </c>
      <c r="L10" s="81">
        <v>0</v>
      </c>
      <c r="M10" s="86">
        <v>1000</v>
      </c>
      <c r="N10" s="81">
        <v>0</v>
      </c>
      <c r="O10" s="81">
        <v>0</v>
      </c>
      <c r="P10" s="81">
        <v>0</v>
      </c>
      <c r="Q10" s="81" t="s">
        <v>6</v>
      </c>
    </row>
    <row r="11" spans="2:17" x14ac:dyDescent="0.2">
      <c r="B11" s="83"/>
      <c r="C11" s="83" t="s">
        <v>4</v>
      </c>
      <c r="D11" s="83">
        <v>61990</v>
      </c>
      <c r="E11" s="83" t="s">
        <v>76</v>
      </c>
      <c r="F11" s="83" t="s">
        <v>6</v>
      </c>
      <c r="G11" s="83" t="s">
        <v>6</v>
      </c>
      <c r="H11" s="84">
        <v>36557</v>
      </c>
      <c r="I11" s="83" t="s">
        <v>6</v>
      </c>
      <c r="J11" s="83">
        <v>22747</v>
      </c>
      <c r="K11" s="85">
        <v>2000</v>
      </c>
      <c r="L11" s="83">
        <v>0</v>
      </c>
      <c r="M11" s="85">
        <v>2000</v>
      </c>
      <c r="N11" s="83">
        <v>0</v>
      </c>
      <c r="O11" s="83">
        <v>0</v>
      </c>
      <c r="P11" s="83">
        <v>0</v>
      </c>
      <c r="Q11" s="83" t="s">
        <v>6</v>
      </c>
    </row>
    <row r="12" spans="2:17" x14ac:dyDescent="0.2">
      <c r="B12" s="81"/>
      <c r="C12" s="81" t="s">
        <v>4</v>
      </c>
      <c r="D12" s="81">
        <v>62164</v>
      </c>
      <c r="E12" s="81" t="s">
        <v>76</v>
      </c>
      <c r="F12" s="81" t="s">
        <v>6</v>
      </c>
      <c r="G12" s="81" t="s">
        <v>6</v>
      </c>
      <c r="H12" s="82">
        <v>36557</v>
      </c>
      <c r="I12" s="82">
        <v>36891</v>
      </c>
      <c r="J12" s="81">
        <v>23652</v>
      </c>
      <c r="K12" s="86">
        <v>2000</v>
      </c>
      <c r="L12" s="81">
        <v>0</v>
      </c>
      <c r="M12" s="86">
        <v>2000</v>
      </c>
      <c r="N12" s="81">
        <v>0</v>
      </c>
      <c r="O12" s="81">
        <v>0</v>
      </c>
      <c r="P12" s="81">
        <v>0</v>
      </c>
      <c r="Q12" s="81" t="s">
        <v>6</v>
      </c>
    </row>
    <row r="13" spans="2:17" x14ac:dyDescent="0.2">
      <c r="B13" s="83"/>
      <c r="C13" s="83" t="s">
        <v>4</v>
      </c>
      <c r="D13" s="83">
        <v>64034</v>
      </c>
      <c r="E13" s="83" t="s">
        <v>76</v>
      </c>
      <c r="F13" s="83" t="s">
        <v>6</v>
      </c>
      <c r="G13" s="83" t="s">
        <v>6</v>
      </c>
      <c r="H13" s="84">
        <v>36557</v>
      </c>
      <c r="I13" s="84">
        <v>36707</v>
      </c>
      <c r="J13" s="83">
        <v>25699</v>
      </c>
      <c r="K13" s="83">
        <v>911</v>
      </c>
      <c r="L13" s="83">
        <v>0</v>
      </c>
      <c r="M13" s="83">
        <v>911</v>
      </c>
      <c r="N13" s="83">
        <v>0</v>
      </c>
      <c r="O13" s="83">
        <v>0</v>
      </c>
      <c r="P13" s="83">
        <v>0</v>
      </c>
      <c r="Q13" s="83" t="s">
        <v>6</v>
      </c>
    </row>
    <row r="14" spans="2:17" x14ac:dyDescent="0.2">
      <c r="B14" s="81"/>
      <c r="C14" s="81" t="s">
        <v>4</v>
      </c>
      <c r="D14" s="81">
        <v>64036</v>
      </c>
      <c r="E14" s="81" t="s">
        <v>76</v>
      </c>
      <c r="F14" s="81" t="s">
        <v>6</v>
      </c>
      <c r="G14" s="81" t="s">
        <v>6</v>
      </c>
      <c r="H14" s="82">
        <v>36557</v>
      </c>
      <c r="I14" s="82">
        <v>36707</v>
      </c>
      <c r="J14" s="81">
        <v>25712</v>
      </c>
      <c r="K14" s="81">
        <v>1</v>
      </c>
      <c r="L14" s="81">
        <v>0</v>
      </c>
      <c r="M14" s="81">
        <v>1</v>
      </c>
      <c r="N14" s="81">
        <v>0</v>
      </c>
      <c r="O14" s="81">
        <v>0</v>
      </c>
      <c r="P14" s="81">
        <v>0</v>
      </c>
      <c r="Q14" s="81" t="s">
        <v>6</v>
      </c>
    </row>
    <row r="15" spans="2:17" x14ac:dyDescent="0.2">
      <c r="B15" s="83"/>
      <c r="C15" s="83" t="s">
        <v>4</v>
      </c>
      <c r="D15" s="83">
        <v>64328</v>
      </c>
      <c r="E15" s="83" t="s">
        <v>76</v>
      </c>
      <c r="F15" s="83" t="s">
        <v>6</v>
      </c>
      <c r="G15" s="83" t="s">
        <v>6</v>
      </c>
      <c r="H15" s="84">
        <v>36557</v>
      </c>
      <c r="I15" s="84">
        <v>36738</v>
      </c>
      <c r="J15" s="83">
        <v>25955</v>
      </c>
      <c r="K15" s="83">
        <v>51</v>
      </c>
      <c r="L15" s="83">
        <v>0</v>
      </c>
      <c r="M15" s="83">
        <v>51</v>
      </c>
      <c r="N15" s="83">
        <v>0</v>
      </c>
      <c r="O15" s="83">
        <v>0</v>
      </c>
      <c r="P15" s="83">
        <v>0</v>
      </c>
      <c r="Q15" s="83" t="s">
        <v>6</v>
      </c>
    </row>
    <row r="16" spans="2:17" x14ac:dyDescent="0.2">
      <c r="B16" s="81"/>
      <c r="C16" s="81" t="s">
        <v>4</v>
      </c>
      <c r="D16" s="81">
        <v>64329</v>
      </c>
      <c r="E16" s="81" t="s">
        <v>76</v>
      </c>
      <c r="F16" s="81" t="s">
        <v>6</v>
      </c>
      <c r="G16" s="81" t="s">
        <v>6</v>
      </c>
      <c r="H16" s="82">
        <v>36557</v>
      </c>
      <c r="I16" s="82">
        <v>36738</v>
      </c>
      <c r="J16" s="81">
        <v>25965</v>
      </c>
      <c r="K16" s="81">
        <v>12</v>
      </c>
      <c r="L16" s="81">
        <v>0</v>
      </c>
      <c r="M16" s="81">
        <v>12</v>
      </c>
      <c r="N16" s="81">
        <v>0</v>
      </c>
      <c r="O16" s="81">
        <v>0</v>
      </c>
      <c r="P16" s="81">
        <v>0</v>
      </c>
      <c r="Q16" s="81" t="s">
        <v>6</v>
      </c>
    </row>
    <row r="17" spans="2:17" x14ac:dyDescent="0.2">
      <c r="B17" s="83"/>
      <c r="C17" s="83" t="s">
        <v>4</v>
      </c>
      <c r="D17" s="83">
        <v>64356</v>
      </c>
      <c r="E17" s="83" t="s">
        <v>11</v>
      </c>
      <c r="F17" s="83" t="s">
        <v>12</v>
      </c>
      <c r="G17" s="83" t="s">
        <v>6</v>
      </c>
      <c r="H17" s="84">
        <v>36526</v>
      </c>
      <c r="I17" s="84">
        <v>36707</v>
      </c>
      <c r="J17" s="83" t="s">
        <v>6</v>
      </c>
      <c r="K17" s="85">
        <v>310000</v>
      </c>
      <c r="L17" s="83">
        <v>0</v>
      </c>
      <c r="M17" s="85">
        <v>310000</v>
      </c>
      <c r="N17" s="83">
        <v>0</v>
      </c>
      <c r="O17" s="83">
        <v>0</v>
      </c>
      <c r="P17" s="83">
        <v>0</v>
      </c>
      <c r="Q17" s="83"/>
    </row>
    <row r="18" spans="2:17" x14ac:dyDescent="0.2">
      <c r="B18" s="81"/>
      <c r="C18" s="81" t="s">
        <v>4</v>
      </c>
      <c r="D18" s="81">
        <v>64651</v>
      </c>
      <c r="E18" s="81" t="s">
        <v>76</v>
      </c>
      <c r="F18" s="81" t="s">
        <v>6</v>
      </c>
      <c r="G18" s="81" t="s">
        <v>6</v>
      </c>
      <c r="H18" s="82">
        <v>36557</v>
      </c>
      <c r="I18" s="82">
        <v>36769</v>
      </c>
      <c r="J18" s="81">
        <v>26150</v>
      </c>
      <c r="K18" s="81">
        <v>64</v>
      </c>
      <c r="L18" s="81">
        <v>0</v>
      </c>
      <c r="M18" s="81">
        <v>64</v>
      </c>
      <c r="N18" s="81">
        <v>0</v>
      </c>
      <c r="O18" s="81">
        <v>0</v>
      </c>
      <c r="P18" s="81">
        <v>0</v>
      </c>
      <c r="Q18" s="81" t="s">
        <v>6</v>
      </c>
    </row>
    <row r="19" spans="2:17" x14ac:dyDescent="0.2">
      <c r="B19" s="83"/>
      <c r="C19" s="83" t="s">
        <v>4</v>
      </c>
      <c r="D19" s="83">
        <v>64862</v>
      </c>
      <c r="E19" s="83" t="s">
        <v>76</v>
      </c>
      <c r="F19" s="83" t="s">
        <v>6</v>
      </c>
      <c r="G19" s="83" t="s">
        <v>6</v>
      </c>
      <c r="H19" s="84">
        <v>36557</v>
      </c>
      <c r="I19" s="84">
        <v>36799</v>
      </c>
      <c r="J19" s="83">
        <v>26503</v>
      </c>
      <c r="K19" s="83">
        <v>13</v>
      </c>
      <c r="L19" s="83">
        <v>0</v>
      </c>
      <c r="M19" s="83">
        <v>13</v>
      </c>
      <c r="N19" s="83">
        <v>0</v>
      </c>
      <c r="O19" s="83">
        <v>0</v>
      </c>
      <c r="P19" s="83">
        <v>0</v>
      </c>
      <c r="Q19" s="83" t="s">
        <v>6</v>
      </c>
    </row>
    <row r="20" spans="2:17" x14ac:dyDescent="0.2">
      <c r="B20" s="81"/>
      <c r="C20" s="81" t="s">
        <v>4</v>
      </c>
      <c r="D20" s="81">
        <v>64939</v>
      </c>
      <c r="E20" s="81" t="s">
        <v>76</v>
      </c>
      <c r="F20" s="81" t="s">
        <v>6</v>
      </c>
      <c r="G20" s="81" t="s">
        <v>6</v>
      </c>
      <c r="H20" s="82">
        <v>36557</v>
      </c>
      <c r="I20" s="82">
        <v>36799</v>
      </c>
      <c r="J20" s="81">
        <v>26577</v>
      </c>
      <c r="K20" s="86">
        <v>2300</v>
      </c>
      <c r="L20" s="81">
        <v>0</v>
      </c>
      <c r="M20" s="86">
        <v>2300</v>
      </c>
      <c r="N20" s="81">
        <v>0</v>
      </c>
      <c r="O20" s="81">
        <v>0</v>
      </c>
      <c r="P20" s="81">
        <v>0</v>
      </c>
      <c r="Q20" s="81" t="s">
        <v>6</v>
      </c>
    </row>
    <row r="21" spans="2:17" x14ac:dyDescent="0.2">
      <c r="B21" s="83"/>
      <c r="C21" s="83" t="s">
        <v>4</v>
      </c>
      <c r="D21" s="83">
        <v>65026</v>
      </c>
      <c r="E21" s="83" t="s">
        <v>76</v>
      </c>
      <c r="F21" s="83" t="s">
        <v>6</v>
      </c>
      <c r="G21" s="83" t="s">
        <v>6</v>
      </c>
      <c r="H21" s="84">
        <v>36557</v>
      </c>
      <c r="I21" s="84">
        <v>36830</v>
      </c>
      <c r="J21" s="83">
        <v>26726</v>
      </c>
      <c r="K21" s="83">
        <v>128</v>
      </c>
      <c r="L21" s="83">
        <v>0</v>
      </c>
      <c r="M21" s="83">
        <v>128</v>
      </c>
      <c r="N21" s="83">
        <v>0</v>
      </c>
      <c r="O21" s="83">
        <v>0</v>
      </c>
      <c r="P21" s="83">
        <v>0</v>
      </c>
      <c r="Q21" s="83" t="s">
        <v>6</v>
      </c>
    </row>
    <row r="22" spans="2:17" x14ac:dyDescent="0.2">
      <c r="B22" s="81"/>
      <c r="C22" s="81" t="s">
        <v>4</v>
      </c>
      <c r="D22" s="81">
        <v>65041</v>
      </c>
      <c r="E22" s="81" t="s">
        <v>76</v>
      </c>
      <c r="F22" s="81" t="s">
        <v>6</v>
      </c>
      <c r="G22" s="81" t="s">
        <v>6</v>
      </c>
      <c r="H22" s="82">
        <v>36557</v>
      </c>
      <c r="I22" s="82">
        <v>36830</v>
      </c>
      <c r="J22" s="81">
        <v>26754</v>
      </c>
      <c r="K22" s="86">
        <v>9619</v>
      </c>
      <c r="L22" s="81">
        <v>0</v>
      </c>
      <c r="M22" s="86">
        <v>9619</v>
      </c>
      <c r="N22" s="81">
        <v>0</v>
      </c>
      <c r="O22" s="81">
        <v>0</v>
      </c>
      <c r="P22" s="81">
        <v>0</v>
      </c>
      <c r="Q22" s="81" t="s">
        <v>6</v>
      </c>
    </row>
    <row r="23" spans="2:17" x14ac:dyDescent="0.2">
      <c r="B23" s="83"/>
      <c r="C23" s="83" t="s">
        <v>4</v>
      </c>
      <c r="D23" s="83">
        <v>65042</v>
      </c>
      <c r="E23" s="83" t="s">
        <v>76</v>
      </c>
      <c r="F23" s="83" t="s">
        <v>6</v>
      </c>
      <c r="G23" s="83" t="s">
        <v>6</v>
      </c>
      <c r="H23" s="84">
        <v>36557</v>
      </c>
      <c r="I23" s="84">
        <v>36830</v>
      </c>
      <c r="J23" s="83">
        <v>26753</v>
      </c>
      <c r="K23" s="85">
        <v>4427</v>
      </c>
      <c r="L23" s="83">
        <v>0</v>
      </c>
      <c r="M23" s="85">
        <v>4427</v>
      </c>
      <c r="N23" s="83">
        <v>0</v>
      </c>
      <c r="O23" s="83">
        <v>0</v>
      </c>
      <c r="P23" s="83">
        <v>0</v>
      </c>
      <c r="Q23" s="83" t="s">
        <v>6</v>
      </c>
    </row>
    <row r="24" spans="2:17" x14ac:dyDescent="0.2">
      <c r="B24" s="81"/>
      <c r="C24" s="81" t="s">
        <v>4</v>
      </c>
      <c r="D24" s="81">
        <v>65071</v>
      </c>
      <c r="E24" s="81" t="s">
        <v>76</v>
      </c>
      <c r="F24" s="81" t="s">
        <v>6</v>
      </c>
      <c r="G24" s="81" t="s">
        <v>6</v>
      </c>
      <c r="H24" s="82">
        <v>36557</v>
      </c>
      <c r="I24" s="82">
        <v>36830</v>
      </c>
      <c r="J24" s="81">
        <v>26782</v>
      </c>
      <c r="K24" s="86">
        <v>7429</v>
      </c>
      <c r="L24" s="81">
        <v>0</v>
      </c>
      <c r="M24" s="86">
        <v>7035</v>
      </c>
      <c r="N24" s="81">
        <v>394</v>
      </c>
      <c r="O24" s="81">
        <v>0</v>
      </c>
      <c r="P24" s="81">
        <v>0</v>
      </c>
      <c r="Q24" s="81" t="s">
        <v>6</v>
      </c>
    </row>
    <row r="25" spans="2:17" x14ac:dyDescent="0.2">
      <c r="B25" s="83"/>
      <c r="C25" s="83" t="s">
        <v>4</v>
      </c>
      <c r="D25" s="83">
        <v>65108</v>
      </c>
      <c r="E25" s="83" t="s">
        <v>76</v>
      </c>
      <c r="F25" s="83" t="s">
        <v>6</v>
      </c>
      <c r="G25" s="83" t="s">
        <v>6</v>
      </c>
      <c r="H25" s="84">
        <v>36557</v>
      </c>
      <c r="I25" s="84">
        <v>37011</v>
      </c>
      <c r="J25" s="83" t="s">
        <v>6</v>
      </c>
      <c r="K25" s="85">
        <v>5000</v>
      </c>
      <c r="L25" s="83">
        <v>0</v>
      </c>
      <c r="M25" s="85">
        <v>5000</v>
      </c>
      <c r="N25" s="83">
        <v>0</v>
      </c>
      <c r="O25" s="83">
        <v>0</v>
      </c>
      <c r="P25" s="83">
        <v>0</v>
      </c>
      <c r="Q25" s="83" t="s">
        <v>6</v>
      </c>
    </row>
    <row r="26" spans="2:17" x14ac:dyDescent="0.2">
      <c r="B26" s="81"/>
      <c r="C26" s="81" t="s">
        <v>4</v>
      </c>
      <c r="D26" s="81">
        <v>65402</v>
      </c>
      <c r="E26" s="81" t="s">
        <v>76</v>
      </c>
      <c r="F26" s="81" t="s">
        <v>6</v>
      </c>
      <c r="G26" s="81" t="s">
        <v>6</v>
      </c>
      <c r="H26" s="82">
        <v>36557</v>
      </c>
      <c r="I26" s="82">
        <v>36830</v>
      </c>
      <c r="J26" s="81">
        <v>26694</v>
      </c>
      <c r="K26" s="86">
        <v>20000</v>
      </c>
      <c r="L26" s="81">
        <v>0</v>
      </c>
      <c r="M26" s="81">
        <v>0</v>
      </c>
      <c r="N26" s="86">
        <v>20000</v>
      </c>
      <c r="O26" s="81">
        <v>0</v>
      </c>
      <c r="P26" s="81">
        <v>0</v>
      </c>
      <c r="Q26" s="81" t="s">
        <v>6</v>
      </c>
    </row>
    <row r="27" spans="2:17" x14ac:dyDescent="0.2">
      <c r="B27" s="83"/>
      <c r="C27" s="83" t="s">
        <v>4</v>
      </c>
      <c r="D27" s="83">
        <v>65403</v>
      </c>
      <c r="E27" s="83" t="s">
        <v>76</v>
      </c>
      <c r="F27" s="83" t="s">
        <v>6</v>
      </c>
      <c r="G27" s="83" t="s">
        <v>6</v>
      </c>
      <c r="H27" s="84">
        <v>36557</v>
      </c>
      <c r="I27" s="84">
        <v>37011</v>
      </c>
      <c r="J27" s="83">
        <v>26714</v>
      </c>
      <c r="K27" s="85">
        <v>19293</v>
      </c>
      <c r="L27" s="83">
        <v>0</v>
      </c>
      <c r="M27" s="85">
        <v>19293</v>
      </c>
      <c r="N27" s="83">
        <v>0</v>
      </c>
      <c r="O27" s="83">
        <v>0</v>
      </c>
      <c r="P27" s="83">
        <v>0</v>
      </c>
      <c r="Q27" s="83" t="s">
        <v>6</v>
      </c>
    </row>
    <row r="28" spans="2:17" x14ac:dyDescent="0.2">
      <c r="B28" s="81"/>
      <c r="C28" s="81" t="s">
        <v>4</v>
      </c>
      <c r="D28" s="81">
        <v>65418</v>
      </c>
      <c r="E28" s="81" t="s">
        <v>76</v>
      </c>
      <c r="F28" s="81" t="s">
        <v>6</v>
      </c>
      <c r="G28" s="81" t="s">
        <v>6</v>
      </c>
      <c r="H28" s="82">
        <v>36557</v>
      </c>
      <c r="I28" s="81" t="s">
        <v>6</v>
      </c>
      <c r="J28" s="81">
        <v>26722</v>
      </c>
      <c r="K28" s="81">
        <v>500</v>
      </c>
      <c r="L28" s="81">
        <v>0</v>
      </c>
      <c r="M28" s="81">
        <v>500</v>
      </c>
      <c r="N28" s="81">
        <v>0</v>
      </c>
      <c r="O28" s="81">
        <v>0</v>
      </c>
      <c r="P28" s="81">
        <v>0</v>
      </c>
      <c r="Q28" s="81" t="s">
        <v>6</v>
      </c>
    </row>
    <row r="29" spans="2:17" x14ac:dyDescent="0.2">
      <c r="B29" s="83"/>
      <c r="C29" s="83" t="s">
        <v>4</v>
      </c>
      <c r="D29" s="83">
        <v>65556</v>
      </c>
      <c r="E29" s="83" t="s">
        <v>76</v>
      </c>
      <c r="F29" s="83" t="s">
        <v>6</v>
      </c>
      <c r="G29" s="83" t="s">
        <v>6</v>
      </c>
      <c r="H29" s="84">
        <v>36557</v>
      </c>
      <c r="I29" s="84">
        <v>36860</v>
      </c>
      <c r="J29" s="83">
        <v>27127</v>
      </c>
      <c r="K29" s="83">
        <v>3</v>
      </c>
      <c r="L29" s="83">
        <v>0</v>
      </c>
      <c r="M29" s="83">
        <v>3</v>
      </c>
      <c r="N29" s="83">
        <v>0</v>
      </c>
      <c r="O29" s="83">
        <v>0</v>
      </c>
      <c r="P29" s="83">
        <v>0</v>
      </c>
      <c r="Q29" s="83" t="s">
        <v>6</v>
      </c>
    </row>
    <row r="30" spans="2:17" x14ac:dyDescent="0.2">
      <c r="B30" s="81"/>
      <c r="C30" s="81" t="s">
        <v>4</v>
      </c>
      <c r="D30" s="81">
        <v>66280</v>
      </c>
      <c r="E30" s="81" t="s">
        <v>76</v>
      </c>
      <c r="F30" s="81" t="s">
        <v>6</v>
      </c>
      <c r="G30" s="81" t="s">
        <v>6</v>
      </c>
      <c r="H30" s="82">
        <v>36557</v>
      </c>
      <c r="I30" s="82">
        <v>36922</v>
      </c>
      <c r="J30" s="81">
        <v>27772</v>
      </c>
      <c r="K30" s="81">
        <v>5</v>
      </c>
      <c r="L30" s="81">
        <v>0</v>
      </c>
      <c r="M30" s="81">
        <v>5</v>
      </c>
      <c r="N30" s="81">
        <v>0</v>
      </c>
      <c r="O30" s="81">
        <v>0</v>
      </c>
      <c r="P30" s="81">
        <v>0</v>
      </c>
      <c r="Q30" s="81" t="s">
        <v>6</v>
      </c>
    </row>
    <row r="31" spans="2:17" x14ac:dyDescent="0.2">
      <c r="B31" s="83"/>
      <c r="C31" s="83" t="s">
        <v>4</v>
      </c>
      <c r="D31" s="83">
        <v>66917</v>
      </c>
      <c r="E31" s="83" t="s">
        <v>199</v>
      </c>
      <c r="F31" s="83" t="s">
        <v>6</v>
      </c>
      <c r="G31" s="83" t="s">
        <v>6</v>
      </c>
      <c r="H31" s="84">
        <v>36617</v>
      </c>
      <c r="I31" s="83" t="s">
        <v>6</v>
      </c>
      <c r="J31" s="83" t="s">
        <v>6</v>
      </c>
      <c r="K31" s="85">
        <v>50000</v>
      </c>
      <c r="L31" s="83">
        <v>0</v>
      </c>
      <c r="M31" s="85">
        <v>50000</v>
      </c>
      <c r="N31" s="83">
        <v>0</v>
      </c>
      <c r="O31" s="83">
        <v>0</v>
      </c>
      <c r="P31" s="83">
        <v>0</v>
      </c>
      <c r="Q31" s="83" t="s">
        <v>6</v>
      </c>
    </row>
    <row r="32" spans="2:17" x14ac:dyDescent="0.2">
      <c r="B32" s="81"/>
      <c r="C32" s="81" t="s">
        <v>4</v>
      </c>
      <c r="D32" s="81">
        <v>66930</v>
      </c>
      <c r="E32" s="81" t="s">
        <v>76</v>
      </c>
      <c r="F32" s="81" t="s">
        <v>6</v>
      </c>
      <c r="G32" s="81" t="s">
        <v>6</v>
      </c>
      <c r="H32" s="82">
        <v>36617</v>
      </c>
      <c r="I32" s="82">
        <v>36981</v>
      </c>
      <c r="J32" s="81">
        <v>28188</v>
      </c>
      <c r="K32" s="86">
        <v>4000</v>
      </c>
      <c r="L32" s="81">
        <v>0</v>
      </c>
      <c r="M32" s="86">
        <v>4000</v>
      </c>
      <c r="N32" s="81">
        <v>0</v>
      </c>
      <c r="O32" s="81">
        <v>0</v>
      </c>
      <c r="P32" s="81">
        <v>0</v>
      </c>
      <c r="Q32" s="81" t="s">
        <v>6</v>
      </c>
    </row>
    <row r="33" spans="2:17" x14ac:dyDescent="0.2">
      <c r="B33" s="83"/>
      <c r="C33" s="83" t="s">
        <v>4</v>
      </c>
      <c r="D33" s="83">
        <v>66931</v>
      </c>
      <c r="E33" s="83" t="s">
        <v>76</v>
      </c>
      <c r="F33" s="83" t="s">
        <v>6</v>
      </c>
      <c r="G33" s="83" t="s">
        <v>6</v>
      </c>
      <c r="H33" s="84">
        <v>36617</v>
      </c>
      <c r="I33" s="84">
        <v>36981</v>
      </c>
      <c r="J33" s="83">
        <v>28189</v>
      </c>
      <c r="K33" s="85">
        <v>4000</v>
      </c>
      <c r="L33" s="83">
        <v>0</v>
      </c>
      <c r="M33" s="85">
        <v>4000</v>
      </c>
      <c r="N33" s="83">
        <v>0</v>
      </c>
      <c r="O33" s="83">
        <v>0</v>
      </c>
      <c r="P33" s="83">
        <v>0</v>
      </c>
      <c r="Q33" s="83" t="s">
        <v>6</v>
      </c>
    </row>
    <row r="34" spans="2:17" x14ac:dyDescent="0.2">
      <c r="B34" s="81"/>
      <c r="C34" s="81" t="s">
        <v>4</v>
      </c>
      <c r="D34" s="81">
        <v>66932</v>
      </c>
      <c r="E34" s="81" t="s">
        <v>76</v>
      </c>
      <c r="F34" s="81" t="s">
        <v>6</v>
      </c>
      <c r="G34" s="81" t="s">
        <v>6</v>
      </c>
      <c r="H34" s="82">
        <v>36617</v>
      </c>
      <c r="I34" s="82">
        <v>36981</v>
      </c>
      <c r="J34" s="81">
        <v>28176</v>
      </c>
      <c r="K34" s="86">
        <v>4000</v>
      </c>
      <c r="L34" s="81">
        <v>0</v>
      </c>
      <c r="M34" s="86">
        <v>4000</v>
      </c>
      <c r="N34" s="81">
        <v>0</v>
      </c>
      <c r="O34" s="81">
        <v>0</v>
      </c>
      <c r="P34" s="81">
        <v>0</v>
      </c>
      <c r="Q34" s="81" t="s">
        <v>6</v>
      </c>
    </row>
    <row r="35" spans="2:17" x14ac:dyDescent="0.2">
      <c r="B35" s="83"/>
      <c r="C35" s="83" t="s">
        <v>4</v>
      </c>
      <c r="D35" s="83">
        <v>66939</v>
      </c>
      <c r="E35" s="83" t="s">
        <v>76</v>
      </c>
      <c r="F35" s="83" t="s">
        <v>6</v>
      </c>
      <c r="G35" s="83" t="s">
        <v>6</v>
      </c>
      <c r="H35" s="84">
        <v>36617</v>
      </c>
      <c r="I35" s="84">
        <v>36981</v>
      </c>
      <c r="J35" s="83">
        <v>28332</v>
      </c>
      <c r="K35" s="83">
        <v>52</v>
      </c>
      <c r="L35" s="83">
        <v>0</v>
      </c>
      <c r="M35" s="83">
        <v>52</v>
      </c>
      <c r="N35" s="83">
        <v>0</v>
      </c>
      <c r="O35" s="83">
        <v>0</v>
      </c>
      <c r="P35" s="83">
        <v>0</v>
      </c>
      <c r="Q35" s="83" t="s">
        <v>6</v>
      </c>
    </row>
    <row r="36" spans="2:17" x14ac:dyDescent="0.2">
      <c r="B36" s="81"/>
      <c r="C36" s="81" t="s">
        <v>4</v>
      </c>
      <c r="D36" s="81">
        <v>66940</v>
      </c>
      <c r="E36" s="81" t="s">
        <v>76</v>
      </c>
      <c r="F36" s="81" t="s">
        <v>6</v>
      </c>
      <c r="G36" s="81" t="s">
        <v>6</v>
      </c>
      <c r="H36" s="82">
        <v>36617</v>
      </c>
      <c r="I36" s="82">
        <v>36981</v>
      </c>
      <c r="J36" s="81">
        <v>28331</v>
      </c>
      <c r="K36" s="81">
        <v>2</v>
      </c>
      <c r="L36" s="81">
        <v>0</v>
      </c>
      <c r="M36" s="81">
        <v>2</v>
      </c>
      <c r="N36" s="81">
        <v>0</v>
      </c>
      <c r="O36" s="81">
        <v>0</v>
      </c>
      <c r="P36" s="81">
        <v>0</v>
      </c>
      <c r="Q36" s="81" t="s">
        <v>6</v>
      </c>
    </row>
    <row r="37" spans="2:17" x14ac:dyDescent="0.2">
      <c r="B37" s="83"/>
      <c r="C37" s="83" t="s">
        <v>4</v>
      </c>
      <c r="D37" s="83">
        <v>66965</v>
      </c>
      <c r="E37" s="83" t="s">
        <v>98</v>
      </c>
      <c r="F37" s="83" t="s">
        <v>6</v>
      </c>
      <c r="G37" s="83" t="s">
        <v>6</v>
      </c>
      <c r="H37" s="84">
        <v>36617</v>
      </c>
      <c r="I37" s="84">
        <v>36830</v>
      </c>
      <c r="J37" s="83">
        <v>28226</v>
      </c>
      <c r="K37" s="85">
        <v>20000</v>
      </c>
      <c r="L37" s="83">
        <v>0</v>
      </c>
      <c r="M37" s="85">
        <v>20000</v>
      </c>
      <c r="N37" s="83">
        <v>0</v>
      </c>
      <c r="O37" s="83">
        <v>0</v>
      </c>
      <c r="P37" s="83">
        <v>0</v>
      </c>
      <c r="Q37" s="83" t="s">
        <v>6</v>
      </c>
    </row>
    <row r="38" spans="2:17" x14ac:dyDescent="0.2">
      <c r="B38" s="81"/>
      <c r="C38" s="81" t="s">
        <v>4</v>
      </c>
      <c r="D38" s="81">
        <v>67693</v>
      </c>
      <c r="E38" s="81" t="s">
        <v>98</v>
      </c>
      <c r="F38" s="81" t="s">
        <v>6</v>
      </c>
      <c r="G38" s="81" t="s">
        <v>6</v>
      </c>
      <c r="H38" s="82">
        <v>36617</v>
      </c>
      <c r="I38" s="82">
        <v>36799</v>
      </c>
      <c r="J38" s="81">
        <v>28390</v>
      </c>
      <c r="K38" s="86">
        <v>54327</v>
      </c>
      <c r="L38" s="81">
        <v>0</v>
      </c>
      <c r="M38" s="86">
        <v>29827</v>
      </c>
      <c r="N38" s="86">
        <v>24500</v>
      </c>
      <c r="O38" s="81">
        <v>0</v>
      </c>
      <c r="P38" s="81">
        <v>0</v>
      </c>
      <c r="Q38" s="81" t="s">
        <v>6</v>
      </c>
    </row>
    <row r="39" spans="2:17" x14ac:dyDescent="0.2">
      <c r="B39" s="83"/>
      <c r="C39" s="83" t="s">
        <v>4</v>
      </c>
      <c r="D39" s="83">
        <v>67712</v>
      </c>
      <c r="E39" s="83" t="s">
        <v>82</v>
      </c>
      <c r="F39" s="83" t="s">
        <v>6</v>
      </c>
      <c r="G39" s="83" t="s">
        <v>6</v>
      </c>
      <c r="H39" s="84">
        <v>36617</v>
      </c>
      <c r="I39" s="84">
        <v>36981</v>
      </c>
      <c r="J39" s="83">
        <v>28389</v>
      </c>
      <c r="K39" s="85">
        <v>108648</v>
      </c>
      <c r="L39" s="85">
        <v>6050607</v>
      </c>
      <c r="M39" s="85">
        <v>108648</v>
      </c>
      <c r="N39" s="83">
        <v>0</v>
      </c>
      <c r="O39" s="83">
        <v>0</v>
      </c>
      <c r="P39" s="83">
        <v>0</v>
      </c>
      <c r="Q39" s="83">
        <v>67713</v>
      </c>
    </row>
    <row r="40" spans="2:17" x14ac:dyDescent="0.2">
      <c r="B40" s="81"/>
      <c r="C40" s="81" t="s">
        <v>4</v>
      </c>
      <c r="D40" s="81">
        <v>67713</v>
      </c>
      <c r="E40" s="81" t="s">
        <v>82</v>
      </c>
      <c r="F40" s="81" t="s">
        <v>6</v>
      </c>
      <c r="G40" s="81" t="s">
        <v>6</v>
      </c>
      <c r="H40" s="82">
        <v>36617</v>
      </c>
      <c r="I40" s="82">
        <v>36981</v>
      </c>
      <c r="J40" s="81">
        <v>28389</v>
      </c>
      <c r="K40" s="86">
        <v>108648</v>
      </c>
      <c r="L40" s="86">
        <v>6050607</v>
      </c>
      <c r="M40" s="86">
        <v>108648</v>
      </c>
      <c r="N40" s="81">
        <v>0</v>
      </c>
      <c r="O40" s="81">
        <v>0</v>
      </c>
      <c r="P40" s="81">
        <v>0</v>
      </c>
      <c r="Q40" s="81">
        <v>67713</v>
      </c>
    </row>
    <row r="41" spans="2:17" x14ac:dyDescent="0.2">
      <c r="B41" s="83"/>
      <c r="C41" s="83" t="s">
        <v>4</v>
      </c>
      <c r="D41" s="83">
        <v>68188</v>
      </c>
      <c r="E41" s="83" t="s">
        <v>76</v>
      </c>
      <c r="F41" s="83" t="s">
        <v>6</v>
      </c>
      <c r="G41" s="83" t="s">
        <v>6</v>
      </c>
      <c r="H41" s="84">
        <v>36647</v>
      </c>
      <c r="I41" s="84">
        <v>37011</v>
      </c>
      <c r="J41" s="83">
        <v>28742</v>
      </c>
      <c r="K41" s="83">
        <v>1</v>
      </c>
      <c r="L41" s="83">
        <v>0</v>
      </c>
      <c r="M41" s="83">
        <v>1</v>
      </c>
      <c r="N41" s="83">
        <v>0</v>
      </c>
      <c r="O41" s="83">
        <v>0</v>
      </c>
      <c r="P41" s="83">
        <v>0</v>
      </c>
      <c r="Q41" s="83" t="s">
        <v>6</v>
      </c>
    </row>
    <row r="42" spans="2:17" x14ac:dyDescent="0.2">
      <c r="B42" s="81"/>
      <c r="C42" s="81" t="s">
        <v>4</v>
      </c>
      <c r="D42" s="81">
        <v>68257</v>
      </c>
      <c r="E42" s="81" t="s">
        <v>76</v>
      </c>
      <c r="F42" s="81" t="s">
        <v>6</v>
      </c>
      <c r="G42" s="81" t="s">
        <v>6</v>
      </c>
      <c r="H42" s="82">
        <v>36647</v>
      </c>
      <c r="I42" s="82">
        <v>37011</v>
      </c>
      <c r="J42" s="81">
        <v>28631</v>
      </c>
      <c r="K42" s="81">
        <v>21</v>
      </c>
      <c r="L42" s="81">
        <v>0</v>
      </c>
      <c r="M42" s="81">
        <v>21</v>
      </c>
      <c r="N42" s="81">
        <v>0</v>
      </c>
      <c r="O42" s="81">
        <v>0</v>
      </c>
      <c r="P42" s="81">
        <v>0</v>
      </c>
      <c r="Q42" s="81"/>
    </row>
    <row r="43" spans="2:17" x14ac:dyDescent="0.2">
      <c r="B43" s="83"/>
      <c r="C43" s="83" t="s">
        <v>4</v>
      </c>
      <c r="D43" s="83">
        <v>68308</v>
      </c>
      <c r="E43" s="83" t="s">
        <v>76</v>
      </c>
      <c r="F43" s="83" t="s">
        <v>6</v>
      </c>
      <c r="G43" s="83" t="s">
        <v>6</v>
      </c>
      <c r="H43" s="84">
        <v>36656</v>
      </c>
      <c r="I43" s="84">
        <v>36950</v>
      </c>
      <c r="J43" s="83">
        <v>28864</v>
      </c>
      <c r="K43" s="83">
        <v>9</v>
      </c>
      <c r="L43" s="83">
        <v>0</v>
      </c>
      <c r="M43" s="83">
        <v>9</v>
      </c>
      <c r="N43" s="83">
        <v>0</v>
      </c>
      <c r="O43" s="83">
        <v>0</v>
      </c>
      <c r="P43" s="83">
        <v>0</v>
      </c>
      <c r="Q43" s="83" t="s">
        <v>6</v>
      </c>
    </row>
    <row r="44" spans="2:17" x14ac:dyDescent="0.2">
      <c r="B44" s="81"/>
      <c r="C44" s="81" t="s">
        <v>4</v>
      </c>
      <c r="D44" s="81">
        <v>68359</v>
      </c>
      <c r="E44" s="81" t="s">
        <v>76</v>
      </c>
      <c r="F44" s="81" t="s">
        <v>6</v>
      </c>
      <c r="G44" s="81" t="s">
        <v>6</v>
      </c>
      <c r="H44" s="82">
        <v>36678</v>
      </c>
      <c r="I44" s="82">
        <v>37042</v>
      </c>
      <c r="J44" s="81">
        <v>28933</v>
      </c>
      <c r="K44" s="81">
        <v>285</v>
      </c>
      <c r="L44" s="81">
        <v>0</v>
      </c>
      <c r="M44" s="81">
        <v>285</v>
      </c>
      <c r="N44" s="81">
        <v>0</v>
      </c>
      <c r="O44" s="81">
        <v>0</v>
      </c>
      <c r="P44" s="81">
        <v>0</v>
      </c>
      <c r="Q44" s="81" t="s">
        <v>6</v>
      </c>
    </row>
    <row r="45" spans="2:17" x14ac:dyDescent="0.2">
      <c r="B45" s="83"/>
      <c r="C45" s="83" t="s">
        <v>4</v>
      </c>
      <c r="D45" s="83">
        <v>68384</v>
      </c>
      <c r="E45" s="83" t="s">
        <v>76</v>
      </c>
      <c r="F45" s="83" t="s">
        <v>6</v>
      </c>
      <c r="G45" s="83" t="s">
        <v>6</v>
      </c>
      <c r="H45" s="84">
        <v>36678</v>
      </c>
      <c r="I45" s="84">
        <v>37042</v>
      </c>
      <c r="J45" s="83">
        <v>28962</v>
      </c>
      <c r="K45" s="83">
        <v>218</v>
      </c>
      <c r="L45" s="83">
        <v>0</v>
      </c>
      <c r="M45" s="83">
        <v>218</v>
      </c>
      <c r="N45" s="83">
        <v>0</v>
      </c>
      <c r="O45" s="83">
        <v>0</v>
      </c>
      <c r="P45" s="83">
        <v>0</v>
      </c>
      <c r="Q45" s="83" t="s">
        <v>6</v>
      </c>
    </row>
    <row r="46" spans="2:17" x14ac:dyDescent="0.2">
      <c r="B46" s="81"/>
      <c r="C46" s="81" t="s">
        <v>4</v>
      </c>
      <c r="D46" s="81">
        <v>68443</v>
      </c>
      <c r="E46" s="81" t="s">
        <v>98</v>
      </c>
      <c r="F46" s="81" t="s">
        <v>6</v>
      </c>
      <c r="G46" s="81" t="s">
        <v>6</v>
      </c>
      <c r="H46" s="82">
        <v>36678</v>
      </c>
      <c r="I46" s="82">
        <v>36707</v>
      </c>
      <c r="J46" s="81">
        <v>29005</v>
      </c>
      <c r="K46" s="86">
        <v>10000</v>
      </c>
      <c r="L46" s="81">
        <v>0</v>
      </c>
      <c r="M46" s="86">
        <v>10000</v>
      </c>
      <c r="N46" s="81">
        <v>0</v>
      </c>
      <c r="O46" s="81">
        <v>0</v>
      </c>
      <c r="P46" s="81">
        <v>0</v>
      </c>
      <c r="Q46" s="81" t="s">
        <v>6</v>
      </c>
    </row>
    <row r="47" spans="2:17" x14ac:dyDescent="0.2">
      <c r="B47" s="83"/>
      <c r="C47" s="83" t="s">
        <v>4</v>
      </c>
      <c r="D47" s="83">
        <v>68447</v>
      </c>
      <c r="E47" s="83" t="s">
        <v>76</v>
      </c>
      <c r="F47" s="83" t="s">
        <v>6</v>
      </c>
      <c r="G47" s="83" t="s">
        <v>6</v>
      </c>
      <c r="H47" s="84">
        <v>36678</v>
      </c>
      <c r="I47" s="84">
        <v>36707</v>
      </c>
      <c r="J47" s="83">
        <v>29095</v>
      </c>
      <c r="K47" s="85">
        <v>7500</v>
      </c>
      <c r="L47" s="83">
        <v>0</v>
      </c>
      <c r="M47" s="85">
        <v>7500</v>
      </c>
      <c r="N47" s="83">
        <v>0</v>
      </c>
      <c r="O47" s="83">
        <v>0</v>
      </c>
      <c r="P47" s="83">
        <v>0</v>
      </c>
      <c r="Q47" s="83" t="s">
        <v>6</v>
      </c>
    </row>
    <row r="48" spans="2:17" ht="38.25" x14ac:dyDescent="0.2">
      <c r="B48" s="81"/>
      <c r="C48" s="81" t="s">
        <v>13</v>
      </c>
      <c r="D48" s="81">
        <v>37393</v>
      </c>
      <c r="E48" s="81" t="s">
        <v>14</v>
      </c>
      <c r="F48" s="81" t="s">
        <v>6</v>
      </c>
      <c r="G48" s="81" t="s">
        <v>6</v>
      </c>
      <c r="H48" s="82">
        <v>34274</v>
      </c>
      <c r="I48" s="81" t="s">
        <v>6</v>
      </c>
      <c r="J48" s="81" t="s">
        <v>6</v>
      </c>
      <c r="K48" s="86">
        <v>20000</v>
      </c>
      <c r="L48" s="81">
        <v>0</v>
      </c>
      <c r="M48" s="86">
        <v>20000</v>
      </c>
      <c r="N48" s="81">
        <v>0</v>
      </c>
      <c r="O48" s="81">
        <v>0</v>
      </c>
      <c r="P48" s="81">
        <v>0</v>
      </c>
      <c r="Q48" s="81" t="s">
        <v>6</v>
      </c>
    </row>
    <row r="49" spans="2:17" ht="38.25" x14ac:dyDescent="0.2">
      <c r="B49" s="83"/>
      <c r="C49" s="83" t="s">
        <v>13</v>
      </c>
      <c r="D49" s="83">
        <v>37556</v>
      </c>
      <c r="E49" s="83" t="s">
        <v>15</v>
      </c>
      <c r="F49" s="83" t="s">
        <v>6</v>
      </c>
      <c r="G49" s="83" t="s">
        <v>6</v>
      </c>
      <c r="H49" s="84">
        <v>34274</v>
      </c>
      <c r="I49" s="83" t="s">
        <v>6</v>
      </c>
      <c r="J49" s="83" t="s">
        <v>6</v>
      </c>
      <c r="K49" s="85">
        <v>300000</v>
      </c>
      <c r="L49" s="83">
        <v>0</v>
      </c>
      <c r="M49" s="85">
        <v>300000</v>
      </c>
      <c r="N49" s="83">
        <v>0</v>
      </c>
      <c r="O49" s="83">
        <v>0</v>
      </c>
      <c r="P49" s="83">
        <v>0</v>
      </c>
      <c r="Q49" s="83" t="s">
        <v>6</v>
      </c>
    </row>
    <row r="50" spans="2:17" ht="38.25" x14ac:dyDescent="0.2">
      <c r="B50" s="81"/>
      <c r="C50" s="81" t="s">
        <v>13</v>
      </c>
      <c r="D50" s="81">
        <v>37861</v>
      </c>
      <c r="E50" s="81" t="s">
        <v>16</v>
      </c>
      <c r="F50" s="81" t="s">
        <v>6</v>
      </c>
      <c r="G50" s="81" t="s">
        <v>6</v>
      </c>
      <c r="H50" s="82">
        <v>35582</v>
      </c>
      <c r="I50" s="81" t="s">
        <v>6</v>
      </c>
      <c r="J50" s="81" t="s">
        <v>6</v>
      </c>
      <c r="K50" s="86">
        <v>15000</v>
      </c>
      <c r="L50" s="81">
        <v>0</v>
      </c>
      <c r="M50" s="86">
        <v>15000</v>
      </c>
      <c r="N50" s="81">
        <v>0</v>
      </c>
      <c r="O50" s="81">
        <v>0</v>
      </c>
      <c r="P50" s="81">
        <v>0</v>
      </c>
      <c r="Q50" s="81" t="s">
        <v>6</v>
      </c>
    </row>
    <row r="51" spans="2:17" ht="38.25" x14ac:dyDescent="0.2">
      <c r="B51" s="83"/>
      <c r="C51" s="83" t="s">
        <v>13</v>
      </c>
      <c r="D51" s="83">
        <v>38641</v>
      </c>
      <c r="E51" s="83" t="s">
        <v>17</v>
      </c>
      <c r="F51" s="83" t="s">
        <v>6</v>
      </c>
      <c r="G51" s="83" t="s">
        <v>6</v>
      </c>
      <c r="H51" s="84">
        <v>34274</v>
      </c>
      <c r="I51" s="83" t="s">
        <v>6</v>
      </c>
      <c r="J51" s="83" t="s">
        <v>6</v>
      </c>
      <c r="K51" s="85">
        <v>450000</v>
      </c>
      <c r="L51" s="83">
        <v>0</v>
      </c>
      <c r="M51" s="85">
        <v>450000</v>
      </c>
      <c r="N51" s="83">
        <v>0</v>
      </c>
      <c r="O51" s="83">
        <v>0</v>
      </c>
      <c r="P51" s="83">
        <v>0</v>
      </c>
      <c r="Q51" s="83" t="s">
        <v>6</v>
      </c>
    </row>
    <row r="52" spans="2:17" ht="38.25" x14ac:dyDescent="0.2">
      <c r="B52" s="81"/>
      <c r="C52" s="81" t="s">
        <v>13</v>
      </c>
      <c r="D52" s="81">
        <v>39229</v>
      </c>
      <c r="E52" s="81" t="s">
        <v>5</v>
      </c>
      <c r="F52" s="81" t="s">
        <v>6</v>
      </c>
      <c r="G52" s="81" t="s">
        <v>6</v>
      </c>
      <c r="H52" s="82">
        <v>34274</v>
      </c>
      <c r="I52" s="81" t="s">
        <v>6</v>
      </c>
      <c r="J52" s="81" t="s">
        <v>6</v>
      </c>
      <c r="K52" s="81">
        <v>0</v>
      </c>
      <c r="L52" s="81">
        <v>0</v>
      </c>
      <c r="M52" s="81">
        <v>0</v>
      </c>
      <c r="N52" s="81">
        <v>0</v>
      </c>
      <c r="O52" s="81">
        <v>0</v>
      </c>
      <c r="P52" s="81">
        <v>0</v>
      </c>
      <c r="Q52" s="81" t="s">
        <v>6</v>
      </c>
    </row>
    <row r="53" spans="2:17" ht="38.25" x14ac:dyDescent="0.2">
      <c r="B53" s="83"/>
      <c r="C53" s="83" t="s">
        <v>13</v>
      </c>
      <c r="D53" s="83">
        <v>39266</v>
      </c>
      <c r="E53" s="83" t="s">
        <v>199</v>
      </c>
      <c r="F53" s="83" t="s">
        <v>6</v>
      </c>
      <c r="G53" s="83" t="s">
        <v>6</v>
      </c>
      <c r="H53" s="84">
        <v>34274</v>
      </c>
      <c r="I53" s="83" t="s">
        <v>6</v>
      </c>
      <c r="J53" s="83" t="s">
        <v>6</v>
      </c>
      <c r="K53" s="85">
        <v>300000</v>
      </c>
      <c r="L53" s="83">
        <v>0</v>
      </c>
      <c r="M53" s="85">
        <v>300000</v>
      </c>
      <c r="N53" s="83">
        <v>0</v>
      </c>
      <c r="O53" s="83">
        <v>0</v>
      </c>
      <c r="P53" s="83">
        <v>0</v>
      </c>
      <c r="Q53" s="83" t="s">
        <v>6</v>
      </c>
    </row>
    <row r="54" spans="2:17" ht="38.25" x14ac:dyDescent="0.2">
      <c r="B54" s="81"/>
      <c r="C54" s="81" t="s">
        <v>13</v>
      </c>
      <c r="D54" s="81">
        <v>42789</v>
      </c>
      <c r="E54" s="81" t="s">
        <v>14</v>
      </c>
      <c r="F54" s="81" t="s">
        <v>6</v>
      </c>
      <c r="G54" s="81" t="s">
        <v>6</v>
      </c>
      <c r="H54" s="82">
        <v>36557</v>
      </c>
      <c r="I54" s="81" t="s">
        <v>6</v>
      </c>
      <c r="J54" s="81" t="s">
        <v>6</v>
      </c>
      <c r="K54" s="86">
        <v>30000</v>
      </c>
      <c r="L54" s="81">
        <v>0</v>
      </c>
      <c r="M54" s="86">
        <v>30000</v>
      </c>
      <c r="N54" s="81">
        <v>0</v>
      </c>
      <c r="O54" s="81">
        <v>0</v>
      </c>
      <c r="P54" s="81">
        <v>0</v>
      </c>
      <c r="Q54" s="81" t="s">
        <v>6</v>
      </c>
    </row>
    <row r="55" spans="2:17" ht="38.25" x14ac:dyDescent="0.2">
      <c r="B55" s="83"/>
      <c r="C55" s="83" t="s">
        <v>13</v>
      </c>
      <c r="D55" s="83">
        <v>50250</v>
      </c>
      <c r="E55" s="83" t="s">
        <v>14</v>
      </c>
      <c r="F55" s="83" t="s">
        <v>6</v>
      </c>
      <c r="G55" s="83" t="s">
        <v>6</v>
      </c>
      <c r="H55" s="84">
        <v>36557</v>
      </c>
      <c r="I55" s="83" t="s">
        <v>6</v>
      </c>
      <c r="J55" s="83" t="s">
        <v>6</v>
      </c>
      <c r="K55" s="85">
        <v>20000</v>
      </c>
      <c r="L55" s="83">
        <v>0</v>
      </c>
      <c r="M55" s="85">
        <v>20000</v>
      </c>
      <c r="N55" s="83">
        <v>0</v>
      </c>
      <c r="O55" s="83">
        <v>0</v>
      </c>
      <c r="P55" s="83">
        <v>0</v>
      </c>
      <c r="Q55" s="83" t="s">
        <v>6</v>
      </c>
    </row>
    <row r="56" spans="2:17" ht="38.25" x14ac:dyDescent="0.2">
      <c r="B56" s="81"/>
      <c r="C56" s="81" t="s">
        <v>13</v>
      </c>
      <c r="D56" s="81">
        <v>58654</v>
      </c>
      <c r="E56" s="81" t="s">
        <v>16</v>
      </c>
      <c r="F56" s="81" t="s">
        <v>6</v>
      </c>
      <c r="G56" s="81" t="s">
        <v>6</v>
      </c>
      <c r="H56" s="82">
        <v>36557</v>
      </c>
      <c r="I56" s="81" t="s">
        <v>6</v>
      </c>
      <c r="J56" s="81" t="s">
        <v>6</v>
      </c>
      <c r="K56" s="86">
        <v>15000</v>
      </c>
      <c r="L56" s="81">
        <v>0</v>
      </c>
      <c r="M56" s="86">
        <v>15000</v>
      </c>
      <c r="N56" s="81">
        <v>0</v>
      </c>
      <c r="O56" s="81">
        <v>0</v>
      </c>
      <c r="P56" s="81">
        <v>0</v>
      </c>
      <c r="Q56" s="81" t="s">
        <v>6</v>
      </c>
    </row>
    <row r="57" spans="2:17" ht="38.25" x14ac:dyDescent="0.2">
      <c r="B57" s="83"/>
      <c r="C57" s="83" t="s">
        <v>13</v>
      </c>
      <c r="D57" s="83">
        <v>62408</v>
      </c>
      <c r="E57" s="83" t="s">
        <v>14</v>
      </c>
      <c r="F57" s="83" t="s">
        <v>6</v>
      </c>
      <c r="G57" s="83" t="s">
        <v>6</v>
      </c>
      <c r="H57" s="84">
        <v>36557</v>
      </c>
      <c r="I57" s="83" t="s">
        <v>6</v>
      </c>
      <c r="J57" s="83" t="s">
        <v>6</v>
      </c>
      <c r="K57" s="85">
        <v>40000</v>
      </c>
      <c r="L57" s="83">
        <v>0</v>
      </c>
      <c r="M57" s="85">
        <v>40000</v>
      </c>
      <c r="N57" s="83">
        <v>0</v>
      </c>
      <c r="O57" s="83">
        <v>0</v>
      </c>
      <c r="P57" s="83">
        <v>0</v>
      </c>
      <c r="Q57" s="83" t="s">
        <v>6</v>
      </c>
    </row>
    <row r="58" spans="2:17" ht="38.25" x14ac:dyDescent="0.2">
      <c r="B58" s="81"/>
      <c r="C58" s="81" t="s">
        <v>13</v>
      </c>
      <c r="D58" s="81">
        <v>63115</v>
      </c>
      <c r="E58" s="81" t="s">
        <v>16</v>
      </c>
      <c r="F58" s="81" t="s">
        <v>6</v>
      </c>
      <c r="G58" s="81" t="s">
        <v>6</v>
      </c>
      <c r="H58" s="82">
        <v>36557</v>
      </c>
      <c r="I58" s="82">
        <v>37346</v>
      </c>
      <c r="J58" s="81">
        <v>24770</v>
      </c>
      <c r="K58" s="86">
        <v>30000</v>
      </c>
      <c r="L58" s="81">
        <v>0</v>
      </c>
      <c r="M58" s="86">
        <v>30000</v>
      </c>
      <c r="N58" s="81">
        <v>0</v>
      </c>
      <c r="O58" s="81">
        <v>0</v>
      </c>
      <c r="P58" s="81">
        <v>0</v>
      </c>
      <c r="Q58" s="81" t="s">
        <v>6</v>
      </c>
    </row>
    <row r="59" spans="2:17" ht="38.25" x14ac:dyDescent="0.2">
      <c r="B59" s="83"/>
      <c r="C59" s="83" t="s">
        <v>13</v>
      </c>
      <c r="D59" s="83">
        <v>63922</v>
      </c>
      <c r="E59" s="83" t="s">
        <v>14</v>
      </c>
      <c r="F59" s="83" t="s">
        <v>6</v>
      </c>
      <c r="G59" s="83" t="s">
        <v>6</v>
      </c>
      <c r="H59" s="84">
        <v>36557</v>
      </c>
      <c r="I59" s="84">
        <v>38291</v>
      </c>
      <c r="J59" s="83">
        <v>25471</v>
      </c>
      <c r="K59" s="85">
        <v>25654</v>
      </c>
      <c r="L59" s="83">
        <v>0</v>
      </c>
      <c r="M59" s="85">
        <v>25654</v>
      </c>
      <c r="N59" s="83">
        <v>0</v>
      </c>
      <c r="O59" s="83">
        <v>0</v>
      </c>
      <c r="P59" s="83">
        <v>0</v>
      </c>
      <c r="Q59" s="83" t="s">
        <v>6</v>
      </c>
    </row>
    <row r="60" spans="2:17" ht="38.25" x14ac:dyDescent="0.2">
      <c r="B60" s="81"/>
      <c r="C60" s="81" t="s">
        <v>13</v>
      </c>
      <c r="D60" s="81">
        <v>64033</v>
      </c>
      <c r="E60" s="81" t="s">
        <v>16</v>
      </c>
      <c r="F60" s="81" t="s">
        <v>6</v>
      </c>
      <c r="G60" s="81" t="s">
        <v>6</v>
      </c>
      <c r="H60" s="82">
        <v>36557</v>
      </c>
      <c r="I60" s="82">
        <v>36707</v>
      </c>
      <c r="J60" s="81">
        <v>25713</v>
      </c>
      <c r="K60" s="81">
        <v>1</v>
      </c>
      <c r="L60" s="81">
        <v>0</v>
      </c>
      <c r="M60" s="81">
        <v>1</v>
      </c>
      <c r="N60" s="81">
        <v>0</v>
      </c>
      <c r="O60" s="81">
        <v>0</v>
      </c>
      <c r="P60" s="81">
        <v>0</v>
      </c>
      <c r="Q60" s="81" t="s">
        <v>6</v>
      </c>
    </row>
    <row r="61" spans="2:17" ht="38.25" x14ac:dyDescent="0.2">
      <c r="B61" s="83"/>
      <c r="C61" s="83" t="s">
        <v>13</v>
      </c>
      <c r="D61" s="83">
        <v>64035</v>
      </c>
      <c r="E61" s="83" t="s">
        <v>16</v>
      </c>
      <c r="F61" s="83" t="s">
        <v>6</v>
      </c>
      <c r="G61" s="83" t="s">
        <v>6</v>
      </c>
      <c r="H61" s="84">
        <v>36557</v>
      </c>
      <c r="I61" s="84">
        <v>36707</v>
      </c>
      <c r="J61" s="83">
        <v>25700</v>
      </c>
      <c r="K61" s="83">
        <v>931</v>
      </c>
      <c r="L61" s="83">
        <v>0</v>
      </c>
      <c r="M61" s="83">
        <v>931</v>
      </c>
      <c r="N61" s="83">
        <v>0</v>
      </c>
      <c r="O61" s="83">
        <v>0</v>
      </c>
      <c r="P61" s="83">
        <v>0</v>
      </c>
      <c r="Q61" s="83" t="s">
        <v>6</v>
      </c>
    </row>
    <row r="62" spans="2:17" ht="38.25" x14ac:dyDescent="0.2">
      <c r="B62" s="81"/>
      <c r="C62" s="81" t="s">
        <v>13</v>
      </c>
      <c r="D62" s="81">
        <v>64332</v>
      </c>
      <c r="E62" s="81" t="s">
        <v>16</v>
      </c>
      <c r="F62" s="81" t="s">
        <v>6</v>
      </c>
      <c r="G62" s="81" t="s">
        <v>6</v>
      </c>
      <c r="H62" s="82">
        <v>36557</v>
      </c>
      <c r="I62" s="82">
        <v>36738</v>
      </c>
      <c r="J62" s="81">
        <v>25966</v>
      </c>
      <c r="K62" s="81">
        <v>12</v>
      </c>
      <c r="L62" s="81">
        <v>0</v>
      </c>
      <c r="M62" s="81">
        <v>12</v>
      </c>
      <c r="N62" s="81">
        <v>0</v>
      </c>
      <c r="O62" s="81">
        <v>0</v>
      </c>
      <c r="P62" s="81">
        <v>0</v>
      </c>
      <c r="Q62" s="81" t="s">
        <v>6</v>
      </c>
    </row>
    <row r="63" spans="2:17" ht="38.25" x14ac:dyDescent="0.2">
      <c r="B63" s="83"/>
      <c r="C63" s="83" t="s">
        <v>13</v>
      </c>
      <c r="D63" s="83">
        <v>64334</v>
      </c>
      <c r="E63" s="83" t="s">
        <v>16</v>
      </c>
      <c r="F63" s="83" t="s">
        <v>6</v>
      </c>
      <c r="G63" s="83" t="s">
        <v>6</v>
      </c>
      <c r="H63" s="84">
        <v>36557</v>
      </c>
      <c r="I63" s="84">
        <v>36738</v>
      </c>
      <c r="J63" s="83">
        <v>25956</v>
      </c>
      <c r="K63" s="83">
        <v>52</v>
      </c>
      <c r="L63" s="83">
        <v>0</v>
      </c>
      <c r="M63" s="83">
        <v>52</v>
      </c>
      <c r="N63" s="83">
        <v>0</v>
      </c>
      <c r="O63" s="83">
        <v>0</v>
      </c>
      <c r="P63" s="83">
        <v>0</v>
      </c>
      <c r="Q63" s="83" t="s">
        <v>6</v>
      </c>
    </row>
    <row r="64" spans="2:17" ht="38.25" x14ac:dyDescent="0.2">
      <c r="B64" s="81"/>
      <c r="C64" s="81" t="s">
        <v>13</v>
      </c>
      <c r="D64" s="81">
        <v>64446</v>
      </c>
      <c r="E64" s="81" t="s">
        <v>16</v>
      </c>
      <c r="F64" s="81" t="s">
        <v>6</v>
      </c>
      <c r="G64" s="81" t="s">
        <v>6</v>
      </c>
      <c r="H64" s="82">
        <v>36557</v>
      </c>
      <c r="I64" s="82">
        <v>36738</v>
      </c>
      <c r="J64" s="81">
        <v>26081</v>
      </c>
      <c r="K64" s="81">
        <v>142</v>
      </c>
      <c r="L64" s="81">
        <v>0</v>
      </c>
      <c r="M64" s="81">
        <v>142</v>
      </c>
      <c r="N64" s="81">
        <v>0</v>
      </c>
      <c r="O64" s="81">
        <v>0</v>
      </c>
      <c r="P64" s="81">
        <v>0</v>
      </c>
      <c r="Q64" s="81" t="s">
        <v>6</v>
      </c>
    </row>
    <row r="65" spans="2:17" ht="38.25" x14ac:dyDescent="0.2">
      <c r="B65" s="83"/>
      <c r="C65" s="83" t="s">
        <v>13</v>
      </c>
      <c r="D65" s="83">
        <v>64502</v>
      </c>
      <c r="E65" s="83" t="s">
        <v>14</v>
      </c>
      <c r="F65" s="83" t="s">
        <v>6</v>
      </c>
      <c r="G65" s="83" t="s">
        <v>6</v>
      </c>
      <c r="H65" s="84">
        <v>36557</v>
      </c>
      <c r="I65" s="83" t="s">
        <v>6</v>
      </c>
      <c r="J65" s="83" t="s">
        <v>6</v>
      </c>
      <c r="K65" s="85">
        <v>29000</v>
      </c>
      <c r="L65" s="83">
        <v>0</v>
      </c>
      <c r="M65" s="85">
        <v>29000</v>
      </c>
      <c r="N65" s="83">
        <v>0</v>
      </c>
      <c r="O65" s="83">
        <v>0</v>
      </c>
      <c r="P65" s="83">
        <v>0</v>
      </c>
      <c r="Q65" s="83"/>
    </row>
    <row r="66" spans="2:17" ht="38.25" x14ac:dyDescent="0.2">
      <c r="B66" s="81"/>
      <c r="C66" s="81" t="s">
        <v>13</v>
      </c>
      <c r="D66" s="81">
        <v>64652</v>
      </c>
      <c r="E66" s="81" t="s">
        <v>16</v>
      </c>
      <c r="F66" s="81" t="s">
        <v>6</v>
      </c>
      <c r="G66" s="81" t="s">
        <v>6</v>
      </c>
      <c r="H66" s="82">
        <v>36557</v>
      </c>
      <c r="I66" s="82">
        <v>36769</v>
      </c>
      <c r="J66" s="81">
        <v>26151</v>
      </c>
      <c r="K66" s="81">
        <v>65</v>
      </c>
      <c r="L66" s="81">
        <v>0</v>
      </c>
      <c r="M66" s="81">
        <v>65</v>
      </c>
      <c r="N66" s="81">
        <v>0</v>
      </c>
      <c r="O66" s="81">
        <v>0</v>
      </c>
      <c r="P66" s="81">
        <v>0</v>
      </c>
      <c r="Q66" s="81" t="s">
        <v>6</v>
      </c>
    </row>
    <row r="67" spans="2:17" ht="38.25" x14ac:dyDescent="0.2">
      <c r="B67" s="83"/>
      <c r="C67" s="83" t="s">
        <v>13</v>
      </c>
      <c r="D67" s="83">
        <v>64863</v>
      </c>
      <c r="E67" s="83" t="s">
        <v>16</v>
      </c>
      <c r="F67" s="83" t="s">
        <v>6</v>
      </c>
      <c r="G67" s="83" t="s">
        <v>6</v>
      </c>
      <c r="H67" s="84">
        <v>36557</v>
      </c>
      <c r="I67" s="84">
        <v>36799</v>
      </c>
      <c r="J67" s="83">
        <v>26504</v>
      </c>
      <c r="K67" s="83">
        <v>13</v>
      </c>
      <c r="L67" s="83">
        <v>0</v>
      </c>
      <c r="M67" s="83">
        <v>13</v>
      </c>
      <c r="N67" s="83">
        <v>0</v>
      </c>
      <c r="O67" s="83">
        <v>0</v>
      </c>
      <c r="P67" s="83">
        <v>0</v>
      </c>
      <c r="Q67" s="83" t="s">
        <v>6</v>
      </c>
    </row>
    <row r="68" spans="2:17" ht="38.25" x14ac:dyDescent="0.2">
      <c r="B68" s="81"/>
      <c r="C68" s="81" t="s">
        <v>13</v>
      </c>
      <c r="D68" s="81">
        <v>64937</v>
      </c>
      <c r="E68" s="81" t="s">
        <v>14</v>
      </c>
      <c r="F68" s="81" t="s">
        <v>6</v>
      </c>
      <c r="G68" s="81" t="s">
        <v>6</v>
      </c>
      <c r="H68" s="82">
        <v>36434</v>
      </c>
      <c r="I68" s="81" t="s">
        <v>6</v>
      </c>
      <c r="J68" s="81" t="s">
        <v>6</v>
      </c>
      <c r="K68" s="86">
        <v>10000</v>
      </c>
      <c r="L68" s="81">
        <v>0</v>
      </c>
      <c r="M68" s="86">
        <v>10000</v>
      </c>
      <c r="N68" s="81">
        <v>0</v>
      </c>
      <c r="O68" s="81">
        <v>0</v>
      </c>
      <c r="P68" s="81">
        <v>0</v>
      </c>
      <c r="Q68" s="81" t="s">
        <v>6</v>
      </c>
    </row>
    <row r="69" spans="2:17" ht="38.25" x14ac:dyDescent="0.2">
      <c r="B69" s="83"/>
      <c r="C69" s="83" t="s">
        <v>13</v>
      </c>
      <c r="D69" s="83">
        <v>65027</v>
      </c>
      <c r="E69" s="83" t="s">
        <v>16</v>
      </c>
      <c r="F69" s="83" t="s">
        <v>6</v>
      </c>
      <c r="G69" s="83" t="s">
        <v>6</v>
      </c>
      <c r="H69" s="84">
        <v>36557</v>
      </c>
      <c r="I69" s="84">
        <v>36830</v>
      </c>
      <c r="J69" s="83">
        <v>26727</v>
      </c>
      <c r="K69" s="83">
        <v>131</v>
      </c>
      <c r="L69" s="83">
        <v>0</v>
      </c>
      <c r="M69" s="83">
        <v>131</v>
      </c>
      <c r="N69" s="83">
        <v>0</v>
      </c>
      <c r="O69" s="83">
        <v>0</v>
      </c>
      <c r="P69" s="83">
        <v>0</v>
      </c>
      <c r="Q69" s="83" t="s">
        <v>6</v>
      </c>
    </row>
    <row r="70" spans="2:17" ht="38.25" x14ac:dyDescent="0.2">
      <c r="B70" s="81"/>
      <c r="C70" s="81" t="s">
        <v>13</v>
      </c>
      <c r="D70" s="81">
        <v>65072</v>
      </c>
      <c r="E70" s="81" t="s">
        <v>16</v>
      </c>
      <c r="F70" s="81" t="s">
        <v>6</v>
      </c>
      <c r="G70" s="81" t="s">
        <v>6</v>
      </c>
      <c r="H70" s="82">
        <v>36617</v>
      </c>
      <c r="I70" s="82">
        <v>36830</v>
      </c>
      <c r="J70" s="81">
        <v>26785</v>
      </c>
      <c r="K70" s="86">
        <v>7391</v>
      </c>
      <c r="L70" s="81">
        <v>0</v>
      </c>
      <c r="M70" s="86">
        <v>6987</v>
      </c>
      <c r="N70" s="81">
        <v>404</v>
      </c>
      <c r="O70" s="81">
        <v>0</v>
      </c>
      <c r="P70" s="81">
        <v>0</v>
      </c>
      <c r="Q70" s="81" t="s">
        <v>6</v>
      </c>
    </row>
    <row r="71" spans="2:17" ht="38.25" x14ac:dyDescent="0.2">
      <c r="B71" s="83"/>
      <c r="C71" s="83" t="s">
        <v>13</v>
      </c>
      <c r="D71" s="83">
        <v>65557</v>
      </c>
      <c r="E71" s="83" t="s">
        <v>16</v>
      </c>
      <c r="F71" s="83" t="s">
        <v>6</v>
      </c>
      <c r="G71" s="83" t="s">
        <v>6</v>
      </c>
      <c r="H71" s="84">
        <v>36557</v>
      </c>
      <c r="I71" s="84">
        <v>36860</v>
      </c>
      <c r="J71" s="83">
        <v>27128</v>
      </c>
      <c r="K71" s="83">
        <v>3</v>
      </c>
      <c r="L71" s="83">
        <v>0</v>
      </c>
      <c r="M71" s="83">
        <v>3</v>
      </c>
      <c r="N71" s="83">
        <v>0</v>
      </c>
      <c r="O71" s="83">
        <v>0</v>
      </c>
      <c r="P71" s="83">
        <v>0</v>
      </c>
      <c r="Q71" s="83" t="s">
        <v>6</v>
      </c>
    </row>
    <row r="72" spans="2:17" ht="38.25" x14ac:dyDescent="0.2">
      <c r="B72" s="81"/>
      <c r="C72" s="81" t="s">
        <v>13</v>
      </c>
      <c r="D72" s="81">
        <v>66283</v>
      </c>
      <c r="E72" s="81" t="s">
        <v>16</v>
      </c>
      <c r="F72" s="81" t="s">
        <v>6</v>
      </c>
      <c r="G72" s="81" t="s">
        <v>6</v>
      </c>
      <c r="H72" s="82">
        <v>36557</v>
      </c>
      <c r="I72" s="82">
        <v>36922</v>
      </c>
      <c r="J72" s="81">
        <v>27775</v>
      </c>
      <c r="K72" s="81">
        <v>5</v>
      </c>
      <c r="L72" s="81">
        <v>0</v>
      </c>
      <c r="M72" s="81">
        <v>5</v>
      </c>
      <c r="N72" s="81">
        <v>0</v>
      </c>
      <c r="O72" s="81">
        <v>0</v>
      </c>
      <c r="P72" s="81">
        <v>0</v>
      </c>
      <c r="Q72" s="81" t="s">
        <v>6</v>
      </c>
    </row>
    <row r="73" spans="2:17" ht="38.25" x14ac:dyDescent="0.2">
      <c r="B73" s="83"/>
      <c r="C73" s="83" t="s">
        <v>13</v>
      </c>
      <c r="D73" s="83">
        <v>66941</v>
      </c>
      <c r="E73" s="83" t="s">
        <v>16</v>
      </c>
      <c r="F73" s="83" t="s">
        <v>6</v>
      </c>
      <c r="G73" s="83" t="s">
        <v>6</v>
      </c>
      <c r="H73" s="84">
        <v>36617</v>
      </c>
      <c r="I73" s="84">
        <v>36981</v>
      </c>
      <c r="J73" s="83">
        <v>28330</v>
      </c>
      <c r="K73" s="83">
        <v>53</v>
      </c>
      <c r="L73" s="83">
        <v>0</v>
      </c>
      <c r="M73" s="83">
        <v>53</v>
      </c>
      <c r="N73" s="83">
        <v>0</v>
      </c>
      <c r="O73" s="83">
        <v>0</v>
      </c>
      <c r="P73" s="83">
        <v>0</v>
      </c>
      <c r="Q73" s="83" t="s">
        <v>6</v>
      </c>
    </row>
    <row r="74" spans="2:17" ht="38.25" x14ac:dyDescent="0.2">
      <c r="B74" s="81"/>
      <c r="C74" s="81" t="s">
        <v>13</v>
      </c>
      <c r="D74" s="81">
        <v>66973</v>
      </c>
      <c r="E74" s="81" t="s">
        <v>14</v>
      </c>
      <c r="F74" s="81" t="s">
        <v>6</v>
      </c>
      <c r="G74" s="81" t="s">
        <v>6</v>
      </c>
      <c r="H74" s="82">
        <v>36678</v>
      </c>
      <c r="I74" s="82">
        <v>36981</v>
      </c>
      <c r="J74" s="81" t="s">
        <v>6</v>
      </c>
      <c r="K74" s="86">
        <v>10000</v>
      </c>
      <c r="L74" s="81">
        <v>0</v>
      </c>
      <c r="M74" s="86">
        <v>10000</v>
      </c>
      <c r="N74" s="81">
        <v>0</v>
      </c>
      <c r="O74" s="81">
        <v>0</v>
      </c>
      <c r="P74" s="81">
        <v>0</v>
      </c>
      <c r="Q74" s="81" t="s">
        <v>6</v>
      </c>
    </row>
    <row r="75" spans="2:17" ht="38.25" x14ac:dyDescent="0.2">
      <c r="B75" s="83"/>
      <c r="C75" s="83" t="s">
        <v>13</v>
      </c>
      <c r="D75" s="83">
        <v>68281</v>
      </c>
      <c r="E75" s="83" t="s">
        <v>16</v>
      </c>
      <c r="F75" s="83" t="s">
        <v>6</v>
      </c>
      <c r="G75" s="83" t="s">
        <v>6</v>
      </c>
      <c r="H75" s="84">
        <v>36647</v>
      </c>
      <c r="I75" s="84">
        <v>37011</v>
      </c>
      <c r="J75" s="83">
        <v>28632</v>
      </c>
      <c r="K75" s="83">
        <v>21</v>
      </c>
      <c r="L75" s="83">
        <v>0</v>
      </c>
      <c r="M75" s="83">
        <v>21</v>
      </c>
      <c r="N75" s="83">
        <v>0</v>
      </c>
      <c r="O75" s="83">
        <v>0</v>
      </c>
      <c r="P75" s="83">
        <v>0</v>
      </c>
      <c r="Q75" s="83"/>
    </row>
    <row r="76" spans="2:17" ht="38.25" x14ac:dyDescent="0.2">
      <c r="B76" s="81"/>
      <c r="C76" s="81" t="s">
        <v>13</v>
      </c>
      <c r="D76" s="81">
        <v>68309</v>
      </c>
      <c r="E76" s="81" t="s">
        <v>16</v>
      </c>
      <c r="F76" s="81" t="s">
        <v>6</v>
      </c>
      <c r="G76" s="81" t="s">
        <v>6</v>
      </c>
      <c r="H76" s="82">
        <v>36656</v>
      </c>
      <c r="I76" s="82">
        <v>36950</v>
      </c>
      <c r="J76" s="81">
        <v>28865</v>
      </c>
      <c r="K76" s="81">
        <v>9</v>
      </c>
      <c r="L76" s="81">
        <v>0</v>
      </c>
      <c r="M76" s="81">
        <v>9</v>
      </c>
      <c r="N76" s="81">
        <v>0</v>
      </c>
      <c r="O76" s="81">
        <v>0</v>
      </c>
      <c r="P76" s="81">
        <v>0</v>
      </c>
      <c r="Q76" s="81" t="s">
        <v>6</v>
      </c>
    </row>
    <row r="77" spans="2:17" ht="38.25" x14ac:dyDescent="0.2">
      <c r="B77" s="83"/>
      <c r="C77" s="83" t="s">
        <v>13</v>
      </c>
      <c r="D77" s="83">
        <v>68360</v>
      </c>
      <c r="E77" s="83" t="s">
        <v>16</v>
      </c>
      <c r="F77" s="83" t="s">
        <v>6</v>
      </c>
      <c r="G77" s="83" t="s">
        <v>6</v>
      </c>
      <c r="H77" s="84">
        <v>36678</v>
      </c>
      <c r="I77" s="84">
        <v>37042</v>
      </c>
      <c r="J77" s="83">
        <v>28934</v>
      </c>
      <c r="K77" s="83">
        <v>291</v>
      </c>
      <c r="L77" s="83">
        <v>0</v>
      </c>
      <c r="M77" s="83">
        <v>291</v>
      </c>
      <c r="N77" s="83">
        <v>0</v>
      </c>
      <c r="O77" s="83">
        <v>0</v>
      </c>
      <c r="P77" s="83">
        <v>0</v>
      </c>
      <c r="Q77" s="83" t="s">
        <v>6</v>
      </c>
    </row>
    <row r="78" spans="2:17" ht="38.25" x14ac:dyDescent="0.2">
      <c r="B78" s="81"/>
      <c r="C78" s="81" t="s">
        <v>13</v>
      </c>
      <c r="D78" s="81">
        <v>68385</v>
      </c>
      <c r="E78" s="81" t="s">
        <v>16</v>
      </c>
      <c r="F78" s="81" t="s">
        <v>6</v>
      </c>
      <c r="G78" s="81" t="s">
        <v>6</v>
      </c>
      <c r="H78" s="82">
        <v>36678</v>
      </c>
      <c r="I78" s="82">
        <v>37042</v>
      </c>
      <c r="J78" s="81">
        <v>28963</v>
      </c>
      <c r="K78" s="81">
        <v>223</v>
      </c>
      <c r="L78" s="81">
        <v>0</v>
      </c>
      <c r="M78" s="81">
        <v>223</v>
      </c>
      <c r="N78" s="81">
        <v>0</v>
      </c>
      <c r="O78" s="81">
        <v>0</v>
      </c>
      <c r="P78" s="81">
        <v>0</v>
      </c>
      <c r="Q78" s="81" t="s">
        <v>6</v>
      </c>
    </row>
  </sheetData>
  <pageMargins left="0.75" right="0.75" top="1" bottom="1" header="0.5" footer="0.5"/>
  <pageSetup scale="55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Pricing</vt:lpstr>
      <vt:lpstr>CES Retail East</vt:lpstr>
      <vt:lpstr>CES Retail Mrkt</vt:lpstr>
      <vt:lpstr>Sheet1</vt:lpstr>
      <vt:lpstr>Sheet2</vt:lpstr>
      <vt:lpstr>'CES Retail East'!Print_Area</vt:lpstr>
      <vt:lpstr>'CES Retail Mrkt'!Print_Area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2000-09-14T17:33:17Z</cp:lastPrinted>
  <dcterms:created xsi:type="dcterms:W3CDTF">1998-07-21T12:15:25Z</dcterms:created>
  <dcterms:modified xsi:type="dcterms:W3CDTF">2023-09-14T19:09:49Z</dcterms:modified>
</cp:coreProperties>
</file>