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CEB189-7A8B-45A9-9FE6-B4C41DEACE19}" xr6:coauthVersionLast="47" xr6:coauthVersionMax="47" xr10:uidLastSave="{00000000-0000-0000-0000-000000000000}"/>
  <bookViews>
    <workbookView xWindow="-120" yWindow="-120" windowWidth="38640" windowHeight="15720" tabRatio="602" activeTab="1"/>
  </bookViews>
  <sheets>
    <sheet name="Pricing" sheetId="21" r:id="rId1"/>
    <sheet name="CES Retail East" sheetId="25" r:id="rId2"/>
    <sheet name="CES Retail Mrkt" sheetId="19" r:id="rId3"/>
  </sheets>
  <definedNames>
    <definedName name="_xlnm.Print_Area" localSheetId="1">'CES Retail East'!$A$1:$AB$52</definedName>
    <definedName name="_xlnm.Print_Area" localSheetId="2">'CES Retail Mrkt'!$A$26:$V$32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V11" i="25" l="1"/>
  <c r="I12" i="25"/>
  <c r="O12" i="25"/>
  <c r="S12" i="25"/>
  <c r="Q15" i="25"/>
  <c r="S15" i="25"/>
  <c r="V16" i="25"/>
  <c r="I17" i="25"/>
  <c r="O17" i="25"/>
  <c r="S17" i="25"/>
  <c r="I18" i="25"/>
  <c r="O18" i="25"/>
  <c r="S18" i="25"/>
  <c r="I19" i="25"/>
  <c r="O19" i="25"/>
  <c r="S19" i="25"/>
  <c r="I20" i="25"/>
  <c r="O20" i="25"/>
  <c r="Q20" i="25"/>
  <c r="S20" i="25"/>
  <c r="I21" i="25"/>
  <c r="O21" i="25"/>
  <c r="S21" i="25"/>
  <c r="I22" i="25"/>
  <c r="S22" i="25"/>
  <c r="S24" i="25"/>
  <c r="V25" i="25"/>
  <c r="O26" i="25"/>
  <c r="S26" i="25"/>
  <c r="Q27" i="25"/>
  <c r="S27" i="25"/>
  <c r="V28" i="25"/>
  <c r="I29" i="25"/>
  <c r="O29" i="25"/>
  <c r="S29" i="25"/>
  <c r="I30" i="25"/>
  <c r="O30" i="25"/>
  <c r="S30" i="25"/>
  <c r="I33" i="25"/>
  <c r="O33" i="25"/>
  <c r="S33" i="25"/>
  <c r="I34" i="25"/>
  <c r="O34" i="25"/>
  <c r="P34" i="25"/>
  <c r="S34" i="25"/>
  <c r="I35" i="25"/>
  <c r="O35" i="25"/>
  <c r="P35" i="25"/>
  <c r="S35" i="25"/>
  <c r="O36" i="25"/>
  <c r="P36" i="25"/>
  <c r="S36" i="25"/>
  <c r="O37" i="25"/>
  <c r="P37" i="25"/>
  <c r="S37" i="25"/>
  <c r="O38" i="25"/>
  <c r="P38" i="25"/>
  <c r="S38" i="25"/>
  <c r="I39" i="25"/>
  <c r="O39" i="25"/>
  <c r="S39" i="25"/>
  <c r="O42" i="25"/>
  <c r="S42" i="25"/>
  <c r="O43" i="25"/>
  <c r="S43" i="25"/>
  <c r="O44" i="25"/>
  <c r="S44" i="25"/>
  <c r="O45" i="25"/>
  <c r="S45" i="25"/>
  <c r="O46" i="25"/>
  <c r="S46" i="25"/>
  <c r="O47" i="25"/>
  <c r="S47" i="25"/>
  <c r="S48" i="25"/>
  <c r="S51" i="25"/>
  <c r="I12" i="19"/>
  <c r="S12" i="19"/>
  <c r="I13" i="19"/>
  <c r="S13" i="19"/>
  <c r="I14" i="19"/>
  <c r="S14" i="19"/>
  <c r="I15" i="19"/>
  <c r="S15" i="19"/>
  <c r="I16" i="19"/>
  <c r="S16" i="19"/>
  <c r="I17" i="19"/>
  <c r="S17" i="19"/>
  <c r="I18" i="19"/>
  <c r="S18" i="19"/>
  <c r="S19" i="19"/>
  <c r="I20" i="19"/>
  <c r="S20" i="19"/>
  <c r="I21" i="19"/>
  <c r="S21" i="19"/>
  <c r="I22" i="19"/>
  <c r="S22" i="19"/>
  <c r="I23" i="19"/>
  <c r="S23" i="19"/>
  <c r="I24" i="19"/>
  <c r="S24" i="19"/>
  <c r="Q25" i="19"/>
  <c r="S25" i="19"/>
  <c r="V26" i="19"/>
  <c r="I27" i="19"/>
  <c r="O27" i="19"/>
  <c r="I28" i="19"/>
  <c r="O28" i="19"/>
  <c r="I29" i="19"/>
  <c r="O29" i="19"/>
  <c r="I30" i="19"/>
  <c r="O30" i="19"/>
  <c r="I31" i="19"/>
  <c r="O31" i="19"/>
  <c r="S32" i="19"/>
  <c r="Q33" i="19"/>
  <c r="S33" i="19"/>
  <c r="T33" i="19"/>
  <c r="S36" i="19"/>
  <c r="C10" i="21"/>
  <c r="E10" i="21"/>
  <c r="C11" i="21"/>
  <c r="E11" i="21"/>
  <c r="D15" i="21"/>
  <c r="E15" i="21"/>
  <c r="F15" i="21"/>
  <c r="G15" i="21"/>
  <c r="H15" i="21"/>
  <c r="D16" i="21"/>
  <c r="E16" i="21"/>
  <c r="F16" i="21"/>
  <c r="G16" i="21"/>
  <c r="H16" i="21"/>
  <c r="C17" i="21"/>
  <c r="D17" i="21"/>
  <c r="F17" i="21"/>
  <c r="H17" i="21"/>
  <c r="C23" i="21"/>
  <c r="E23" i="21"/>
  <c r="C24" i="21"/>
  <c r="E24" i="21"/>
  <c r="C28" i="21"/>
  <c r="E28" i="21"/>
  <c r="C29" i="21"/>
  <c r="E29" i="21"/>
  <c r="E32" i="21"/>
  <c r="E33" i="21"/>
  <c r="E34" i="21"/>
  <c r="E36" i="21"/>
  <c r="E37" i="21"/>
  <c r="E38" i="21"/>
  <c r="C56" i="21"/>
  <c r="C57" i="21"/>
  <c r="C69" i="21"/>
  <c r="C71" i="21"/>
  <c r="E82" i="21"/>
  <c r="C87" i="21"/>
  <c r="E87" i="21"/>
  <c r="C88" i="21"/>
  <c r="E88" i="21"/>
  <c r="C113" i="21"/>
  <c r="C114" i="21"/>
  <c r="C132" i="21"/>
  <c r="C133" i="21"/>
  <c r="C143" i="21"/>
  <c r="C144" i="21"/>
  <c r="C154" i="21"/>
  <c r="K154" i="21"/>
  <c r="C155" i="21"/>
  <c r="K155" i="21"/>
  <c r="C177" i="21"/>
  <c r="C178" i="21"/>
  <c r="C191" i="21"/>
  <c r="C192" i="21"/>
  <c r="C199" i="21"/>
  <c r="C201" i="21"/>
  <c r="C202" i="21"/>
</calcChain>
</file>

<file path=xl/comments1.xml><?xml version="1.0" encoding="utf-8"?>
<comments xmlns="http://schemas.openxmlformats.org/spreadsheetml/2006/main">
  <authors>
    <author>cgerman</author>
  </authors>
  <commentList>
    <comment ref="F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Weighted average Tenn commodity price.
</t>
        </r>
      </text>
    </comment>
  </commentList>
</comments>
</file>

<file path=xl/sharedStrings.xml><?xml version="1.0" encoding="utf-8"?>
<sst xmlns="http://schemas.openxmlformats.org/spreadsheetml/2006/main" count="641" uniqueCount="175">
  <si>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</si>
  <si>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</si>
  <si>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</si>
  <si>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</si>
  <si>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</si>
  <si>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</si>
  <si>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</si>
  <si>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</si>
  <si>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</si>
  <si>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</si>
  <si>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</si>
  <si>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</si>
  <si>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</si>
  <si>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</si>
  <si>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</si>
  <si>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</si>
  <si>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</si>
  <si>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</si>
  <si>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</si>
  <si>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</si>
  <si>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</si>
  <si>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</si>
  <si>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Leach</t>
  </si>
  <si>
    <t>St 30</t>
  </si>
  <si>
    <t>Items have been checked</t>
  </si>
  <si>
    <t>Need to verify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</si>
  <si>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</si>
  <si>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</si>
  <si>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</si>
  <si>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</si>
  <si>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</si>
  <si>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</si>
  <si>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Col Gas</t>
  </si>
  <si>
    <t>Act Demand</t>
  </si>
  <si>
    <t>Est Demand</t>
  </si>
  <si>
    <t>Type</t>
  </si>
  <si>
    <t>FTS</t>
  </si>
  <si>
    <t>STOW</t>
  </si>
  <si>
    <t>MSQ</t>
  </si>
  <si>
    <t>MDWQ</t>
  </si>
  <si>
    <t>Cust / LDC</t>
  </si>
  <si>
    <t>FT-A</t>
  </si>
  <si>
    <t>FTS-1</t>
  </si>
  <si>
    <t>Texas Gas</t>
  </si>
  <si>
    <t>St 45</t>
  </si>
  <si>
    <t>Z3</t>
  </si>
  <si>
    <t>St 65</t>
  </si>
  <si>
    <t>WSR Demand</t>
  </si>
  <si>
    <t>WSR Capacity</t>
  </si>
  <si>
    <t>ESR Capacity</t>
  </si>
  <si>
    <t>ESR Demand</t>
  </si>
  <si>
    <t>ESR</t>
  </si>
  <si>
    <t>Z1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</si>
  <si>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</si>
  <si>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</si>
  <si>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</si>
  <si>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</si>
  <si>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</si>
  <si>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</si>
  <si>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</si>
  <si>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</si>
  <si>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New K#</t>
  </si>
  <si>
    <t>New Sitara</t>
  </si>
  <si>
    <t>Pending Release</t>
  </si>
  <si>
    <t>Deal 211642</t>
  </si>
  <si>
    <t>100% Reimbursed from CES</t>
  </si>
  <si>
    <t>CES S-N Transport</t>
  </si>
  <si>
    <t>East Tennessee</t>
  </si>
  <si>
    <t>Tenn 1-1</t>
  </si>
  <si>
    <t xml:space="preserve">E Tenn </t>
  </si>
  <si>
    <t>LA</t>
  </si>
  <si>
    <t>Note:  Tenn 1-1 surcharge of $.0225 does not apply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</si>
  <si>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</si>
  <si>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</si>
  <si>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</si>
  <si>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</si>
  <si>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</si>
  <si>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</si>
  <si>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</si>
  <si>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</si>
  <si>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</si>
  <si>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</si>
  <si>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</si>
  <si>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</si>
  <si>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</si>
  <si>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206266</t>
  </si>
  <si>
    <t>Sonat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</si>
  <si>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</si>
  <si>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</si>
  <si>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</si>
  <si>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231742</t>
  </si>
  <si>
    <t>Deal 231741</t>
  </si>
  <si>
    <t>Deal 232619</t>
  </si>
  <si>
    <t>Deal 231743</t>
  </si>
  <si>
    <t>FT Z3-Z5</t>
  </si>
  <si>
    <t>Deal 232614</t>
  </si>
  <si>
    <t>SL</t>
  </si>
  <si>
    <t>La</t>
  </si>
  <si>
    <t>Deal 231744</t>
  </si>
  <si>
    <t>CGLF</t>
  </si>
  <si>
    <t>Volume</t>
  </si>
  <si>
    <t>VNG Desk Transportation Capacity forOctober, 2000</t>
  </si>
  <si>
    <t>Agency</t>
  </si>
  <si>
    <t>VNG</t>
  </si>
  <si>
    <t>Evergreen</t>
  </si>
  <si>
    <t>FTNN</t>
  </si>
  <si>
    <t>Tetco</t>
  </si>
  <si>
    <t>Access</t>
  </si>
  <si>
    <t>M2</t>
  </si>
  <si>
    <t>Only 10,555 dth exit from Access to M1</t>
  </si>
  <si>
    <t>????</t>
  </si>
  <si>
    <t>Quantico</t>
  </si>
  <si>
    <t>Vol = 15,225, Does not start until Nov 1,2000</t>
  </si>
  <si>
    <t>Loudoun</t>
  </si>
  <si>
    <t>Vol = 10,000, only flows Dec-Feb</t>
  </si>
  <si>
    <t>FT</t>
  </si>
  <si>
    <t>Stow</t>
  </si>
  <si>
    <t>GSS</t>
  </si>
  <si>
    <t>FTNNGSS</t>
  </si>
  <si>
    <t>Vol = 40,148 -  only flows Nov-Mar</t>
  </si>
  <si>
    <t>CNG Leidy</t>
  </si>
  <si>
    <t>Utos</t>
  </si>
  <si>
    <t>Z5 Emporia</t>
  </si>
  <si>
    <t>FS Gas</t>
  </si>
  <si>
    <t>St 165</t>
  </si>
  <si>
    <t>Emporia</t>
  </si>
  <si>
    <t>Note:  VNG is showing an MDQ of 518</t>
  </si>
  <si>
    <t>Currently ENA does not have access.</t>
  </si>
  <si>
    <t>Gss</t>
  </si>
  <si>
    <t>Capacity</t>
  </si>
  <si>
    <t>418417 / 419595 / 419601</t>
  </si>
  <si>
    <t>Z1 - Z3</t>
  </si>
  <si>
    <t>Z0 - Z3</t>
  </si>
  <si>
    <t>Tenn Pricing Volumes</t>
  </si>
  <si>
    <t>Z0</t>
  </si>
  <si>
    <t>Avg</t>
  </si>
  <si>
    <t>Tenn Comm</t>
  </si>
  <si>
    <t>Avg Comm</t>
  </si>
  <si>
    <t>Avg Index</t>
  </si>
  <si>
    <t>Weighted Avg Tenn Transport</t>
  </si>
  <si>
    <t>Total Commodity to Citygate</t>
  </si>
  <si>
    <t>Deal 418065</t>
  </si>
  <si>
    <t>Tenn Index</t>
  </si>
  <si>
    <t>Strg Inj</t>
  </si>
  <si>
    <t>CNG Transport</t>
  </si>
  <si>
    <t>CNG Storage Inj</t>
  </si>
  <si>
    <t>Total Commodity to FSS</t>
  </si>
  <si>
    <t>CNG Pricing</t>
  </si>
  <si>
    <t xml:space="preserve">CGAS </t>
  </si>
  <si>
    <t>416178 / 419815 / 419816</t>
  </si>
  <si>
    <t>Z3 Cobb</t>
  </si>
  <si>
    <t>Z3 Cornwell</t>
  </si>
  <si>
    <t>Z3 S Web</t>
  </si>
  <si>
    <t>420080 / 420084 / 420085</t>
  </si>
  <si>
    <t>22400 Virginia Natural</t>
  </si>
  <si>
    <t>40100  S Web</t>
  </si>
  <si>
    <t xml:space="preserve"> 420130 / 420131 </t>
  </si>
  <si>
    <t>40208 Oakford</t>
  </si>
  <si>
    <t>50004 Finnefrock</t>
  </si>
  <si>
    <t>60002 Bridgeport</t>
  </si>
  <si>
    <t>60003 Cornwell Agg</t>
  </si>
  <si>
    <t>60004 Finnefrock Agg</t>
  </si>
  <si>
    <t>B9 Broad Run</t>
  </si>
  <si>
    <t>30VN VNG-34</t>
  </si>
  <si>
    <t>C4 Lebanon</t>
  </si>
  <si>
    <t>801 Leach</t>
  </si>
  <si>
    <t>420132 / 420133 / 420134</t>
  </si>
  <si>
    <t>SST</t>
  </si>
  <si>
    <t>Agency/Sell</t>
  </si>
  <si>
    <t>Marq</t>
  </si>
  <si>
    <t>420685 / 420793 / 421518</t>
  </si>
  <si>
    <t>E13 Emporia</t>
  </si>
  <si>
    <t>421586 / 421595 / 421601</t>
  </si>
  <si>
    <t>421823 / 421832</t>
  </si>
  <si>
    <t>421839 / 421852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</si>
</sst>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2" borderId="2" xfId="0" applyNumberFormat="1" applyFont="1" applyFill="1" applyBorder="1" applyAlignment="1">
      <alignment horizontal="right"/>
    </xf>
    <xf numFmtId="10" fontId="7" fillId="0" borderId="0" xfId="3" applyNumberFormat="1" applyFont="1" applyFill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7" fillId="0" borderId="4" xfId="0" applyNumberFormat="1" applyFont="1" applyFill="1" applyBorder="1"/>
    <xf numFmtId="165" fontId="7" fillId="0" borderId="5" xfId="0" applyNumberFormat="1" applyFont="1" applyFill="1" applyBorder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quotePrefix="1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8" fontId="2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Alignment="1">
      <alignment horizontal="center"/>
    </xf>
    <xf numFmtId="0" fontId="0" fillId="5" borderId="0" xfId="0" applyFill="1"/>
    <xf numFmtId="0" fontId="2" fillId="4" borderId="0" xfId="0" applyNumberFormat="1" applyFont="1" applyFill="1" applyAlignment="1">
      <alignment horizontal="left"/>
    </xf>
    <xf numFmtId="14" fontId="2" fillId="6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0" xfId="0" quotePrefix="1" applyNumberFormat="1" applyFont="1" applyFill="1" applyAlignment="1">
      <alignment horizontal="right"/>
    </xf>
    <xf numFmtId="0" fontId="7" fillId="0" borderId="2" xfId="0" applyFont="1" applyFill="1" applyBorder="1"/>
    <xf numFmtId="167" fontId="0" fillId="0" borderId="0" xfId="2" applyNumberFormat="1" applyFont="1" applyFill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/>
      <protection locked="0"/>
    </xf>
    <xf numFmtId="167" fontId="0" fillId="3" borderId="2" xfId="2" applyNumberFormat="1" applyFont="1" applyFill="1" applyBorder="1" applyAlignment="1" applyProtection="1">
      <alignment vertical="top"/>
      <protection locked="0"/>
    </xf>
    <xf numFmtId="7" fontId="7" fillId="0" borderId="0" xfId="0" applyNumberFormat="1" applyFont="1" applyFill="1" applyAlignment="1">
      <alignment horizontal="right"/>
    </xf>
    <xf numFmtId="0" fontId="0" fillId="0" borderId="0" xfId="0" applyFill="1" applyAlignment="1" applyProtection="1">
      <alignment horizontal="right" vertical="top"/>
      <protection locked="0"/>
    </xf>
    <xf numFmtId="165" fontId="0" fillId="0" borderId="0" xfId="0" applyNumberFormat="1" applyFill="1" applyBorder="1" applyAlignment="1" applyProtection="1">
      <alignment vertical="top"/>
      <protection locked="0"/>
    </xf>
    <xf numFmtId="165" fontId="0" fillId="3" borderId="2" xfId="0" applyNumberFormat="1" applyFill="1" applyBorder="1" applyAlignment="1" applyProtection="1">
      <alignment vertical="top"/>
      <protection locked="0"/>
    </xf>
    <xf numFmtId="0" fontId="13" fillId="0" borderId="0" xfId="0" applyFont="1" applyFill="1" applyAlignment="1" applyProtection="1">
      <alignment vertical="top"/>
      <protection locked="0"/>
    </xf>
    <xf numFmtId="0" fontId="2" fillId="5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3"/>
  <sheetViews>
    <sheetView topLeftCell="A35" workbookViewId="0">
      <selection activeCell="A47" sqref="A47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11.5703125" style="62" customWidth="1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B1" s="62" t="s">
        <v>3</v>
      </c>
      <c r="F1" s="76"/>
      <c r="G1" s="76"/>
      <c r="H1" s="76"/>
      <c r="I1" s="76"/>
      <c r="J1" s="76"/>
      <c r="K1" s="76"/>
      <c r="L1" s="76"/>
      <c r="M1" s="76"/>
      <c r="N1" s="76"/>
    </row>
    <row r="2" spans="1:14" ht="15.75" x14ac:dyDescent="0.2">
      <c r="A2" s="140" t="s">
        <v>147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2.75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2.75" x14ac:dyDescent="0.2">
      <c r="A4" s="66" t="s">
        <v>2</v>
      </c>
      <c r="C4" s="66" t="s">
        <v>131</v>
      </c>
      <c r="E4" s="66" t="s">
        <v>132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2.75" x14ac:dyDescent="0.2">
      <c r="A5" s="62" t="s">
        <v>54</v>
      </c>
      <c r="B5" s="62" t="s">
        <v>52</v>
      </c>
      <c r="C5" s="64">
        <v>5.24</v>
      </c>
      <c r="E5" s="64">
        <v>5.21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2.75" x14ac:dyDescent="0.2">
      <c r="A6" s="62" t="s">
        <v>60</v>
      </c>
      <c r="C6" s="64">
        <v>5.0000000000000001E-3</v>
      </c>
      <c r="E6" s="64">
        <v>5.0000000000000001E-3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2.75" x14ac:dyDescent="0.2">
      <c r="A7" s="62" t="s">
        <v>55</v>
      </c>
      <c r="C7" s="64">
        <v>8.7400000000000005E-2</v>
      </c>
      <c r="E7" s="64">
        <v>9.7799999999999998E-2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2.75" x14ac:dyDescent="0.2">
      <c r="A8" s="62" t="s">
        <v>56</v>
      </c>
      <c r="C8" s="64">
        <v>2.2000000000000001E-3</v>
      </c>
      <c r="E8" s="64">
        <v>2.2000000000000001E-3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2.75" x14ac:dyDescent="0.2">
      <c r="A9" s="62" t="s">
        <v>57</v>
      </c>
      <c r="C9" s="86">
        <v>4.2900000000000001E-2</v>
      </c>
      <c r="E9" s="86">
        <v>5.04E-2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2.75" x14ac:dyDescent="0.2">
      <c r="A10" s="62" t="s">
        <v>58</v>
      </c>
      <c r="C10" s="87">
        <f>ROUND((+C5+C6)/(1-C9)-(C5+C6)+C7+C8,4)</f>
        <v>0.32469999999999999</v>
      </c>
      <c r="E10" s="87">
        <f>ROUND((+E5+E6)/(1-E9)-(E5+E6)+E7+E8,4)</f>
        <v>0.37680000000000002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5" thickBot="1" x14ac:dyDescent="0.25">
      <c r="C11" s="81">
        <f>SUM(C10,C5:C6)</f>
        <v>5.5697000000000001</v>
      </c>
      <c r="E11" s="81">
        <f>SUM(E10,E5:E6)</f>
        <v>5.5918000000000001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5" thickTop="1" x14ac:dyDescent="0.2"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2.75" x14ac:dyDescent="0.2"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2.75" x14ac:dyDescent="0.2">
      <c r="A14" s="62" t="s">
        <v>133</v>
      </c>
      <c r="C14" s="62" t="s">
        <v>100</v>
      </c>
      <c r="D14" s="82" t="s">
        <v>135</v>
      </c>
      <c r="E14" s="76" t="s">
        <v>55</v>
      </c>
      <c r="F14" s="76" t="s">
        <v>137</v>
      </c>
      <c r="G14" s="76" t="s">
        <v>54</v>
      </c>
      <c r="H14" s="76" t="s">
        <v>138</v>
      </c>
      <c r="I14" s="76"/>
      <c r="J14" s="76"/>
      <c r="K14" s="76"/>
      <c r="L14" s="76"/>
      <c r="M14" s="76"/>
      <c r="N14" s="76"/>
    </row>
    <row r="15" spans="1:14" ht="12.75" x14ac:dyDescent="0.2">
      <c r="B15" s="62" t="s">
        <v>52</v>
      </c>
      <c r="C15" s="62">
        <v>4250</v>
      </c>
      <c r="D15" s="86">
        <f>+C15/C17</f>
        <v>0.5</v>
      </c>
      <c r="E15" s="94">
        <f>+C10</f>
        <v>0.32469999999999999</v>
      </c>
      <c r="F15" s="76">
        <f>ROUND(+E15*D15,4)</f>
        <v>0.16239999999999999</v>
      </c>
      <c r="G15" s="94">
        <f>+C5</f>
        <v>5.24</v>
      </c>
      <c r="H15" s="133">
        <f>ROUND(+G15*D15,4)</f>
        <v>2.62</v>
      </c>
      <c r="I15" s="76"/>
      <c r="J15" s="76"/>
      <c r="K15" s="76"/>
      <c r="L15" s="76"/>
      <c r="M15" s="76"/>
      <c r="N15" s="76"/>
    </row>
    <row r="16" spans="1:14" ht="12.75" x14ac:dyDescent="0.2">
      <c r="B16" s="62" t="s">
        <v>134</v>
      </c>
      <c r="C16" s="62">
        <v>4250</v>
      </c>
      <c r="D16" s="86">
        <f>+C16/C17</f>
        <v>0.5</v>
      </c>
      <c r="E16" s="94">
        <f>+E10</f>
        <v>0.37680000000000002</v>
      </c>
      <c r="F16" s="76">
        <f>ROUND(+E16*D16,4)</f>
        <v>0.18840000000000001</v>
      </c>
      <c r="G16" s="94">
        <f>+E5</f>
        <v>5.21</v>
      </c>
      <c r="H16" s="133">
        <f>ROUND(+G16*D16,4)</f>
        <v>2.605</v>
      </c>
      <c r="I16" s="76"/>
      <c r="J16" s="76"/>
      <c r="K16" s="76"/>
      <c r="L16" s="76"/>
      <c r="M16" s="76"/>
      <c r="N16" s="76"/>
    </row>
    <row r="17" spans="1:14" ht="13.5" thickBot="1" x14ac:dyDescent="0.25">
      <c r="C17" s="132">
        <f>SUM(C15:C16)</f>
        <v>8500</v>
      </c>
      <c r="D17" s="86">
        <f>SUM(D15:D16)</f>
        <v>1</v>
      </c>
      <c r="E17" s="76"/>
      <c r="F17" s="134">
        <f>SUM(F15:F16)</f>
        <v>0.3508</v>
      </c>
      <c r="G17" s="76"/>
      <c r="H17" s="135">
        <f>SUM(H15:H16)</f>
        <v>5.2249999999999996</v>
      </c>
      <c r="I17" s="76"/>
      <c r="J17" s="76"/>
      <c r="K17" s="76"/>
      <c r="L17" s="76"/>
      <c r="M17" s="76"/>
      <c r="N17" s="76"/>
    </row>
    <row r="18" spans="1:14" ht="13.5" thickTop="1" x14ac:dyDescent="0.2">
      <c r="E18" s="76"/>
      <c r="F18" s="76"/>
      <c r="G18" s="76"/>
      <c r="H18" s="76"/>
      <c r="I18" s="76"/>
      <c r="J18" s="76"/>
      <c r="K18" s="76"/>
      <c r="L18" s="76"/>
      <c r="M18" s="76"/>
      <c r="N18" s="76"/>
    </row>
    <row r="19" spans="1:14" ht="12.75" x14ac:dyDescent="0.2"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4" ht="12.75" x14ac:dyDescent="0.2"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 ht="12.75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 ht="12.75" x14ac:dyDescent="0.2">
      <c r="A22" s="66" t="s">
        <v>21</v>
      </c>
      <c r="C22" s="62" t="s">
        <v>36</v>
      </c>
      <c r="D22" s="67"/>
      <c r="E22" s="67" t="s">
        <v>143</v>
      </c>
      <c r="F22" s="83"/>
      <c r="G22" s="83"/>
      <c r="H22" s="76"/>
      <c r="I22" s="76"/>
      <c r="J22" s="76"/>
      <c r="K22" s="76"/>
      <c r="L22" s="76"/>
      <c r="M22" s="76"/>
      <c r="N22" s="76"/>
    </row>
    <row r="23" spans="1:14" ht="12.75" x14ac:dyDescent="0.2">
      <c r="A23" s="62" t="s">
        <v>142</v>
      </c>
      <c r="B23" s="62" t="s">
        <v>2</v>
      </c>
      <c r="C23" s="64">
        <f>+H17+0.005</f>
        <v>5.2299999999999995</v>
      </c>
      <c r="D23" s="67"/>
      <c r="E23" s="64">
        <f>+C23</f>
        <v>5.2299999999999995</v>
      </c>
      <c r="F23" s="83"/>
      <c r="G23" s="83"/>
      <c r="H23" s="76"/>
      <c r="J23" s="76"/>
      <c r="K23" s="76"/>
      <c r="L23" s="76"/>
      <c r="M23" s="76"/>
      <c r="N23" s="76"/>
    </row>
    <row r="24" spans="1:14" ht="12.75" x14ac:dyDescent="0.2">
      <c r="A24" s="62" t="s">
        <v>136</v>
      </c>
      <c r="C24" s="64">
        <f>+F17</f>
        <v>0.3508</v>
      </c>
      <c r="D24" s="67"/>
      <c r="E24" s="64">
        <f>+C24</f>
        <v>0.3508</v>
      </c>
      <c r="F24" s="83"/>
      <c r="G24" s="83"/>
      <c r="H24" s="76"/>
      <c r="J24" s="76"/>
      <c r="K24" s="76"/>
      <c r="L24" s="76"/>
      <c r="M24" s="76"/>
      <c r="N24" s="76"/>
    </row>
    <row r="25" spans="1:14" ht="12.75" x14ac:dyDescent="0.2">
      <c r="A25" s="62" t="s">
        <v>55</v>
      </c>
      <c r="C25" s="64">
        <v>4.3999999999999997E-2</v>
      </c>
      <c r="D25" s="67"/>
      <c r="E25" s="64">
        <v>2.46E-2</v>
      </c>
      <c r="F25" s="83"/>
      <c r="G25" s="83"/>
      <c r="H25" s="76"/>
      <c r="J25" s="76"/>
      <c r="K25" s="76"/>
      <c r="L25" s="76"/>
      <c r="M25" s="76"/>
      <c r="N25" s="76"/>
    </row>
    <row r="26" spans="1:14" ht="12.75" x14ac:dyDescent="0.2">
      <c r="A26" s="62" t="s">
        <v>56</v>
      </c>
      <c r="C26" s="64">
        <v>2.2000000000000001E-3</v>
      </c>
      <c r="D26" s="67"/>
      <c r="E26" s="64">
        <v>0</v>
      </c>
      <c r="F26" s="83"/>
      <c r="G26" s="83"/>
      <c r="H26" s="76"/>
      <c r="J26" s="76"/>
      <c r="K26" s="76"/>
      <c r="L26" s="76"/>
      <c r="M26" s="76"/>
      <c r="N26" s="76"/>
    </row>
    <row r="27" spans="1:14" ht="12.75" x14ac:dyDescent="0.2">
      <c r="A27" s="62" t="s">
        <v>57</v>
      </c>
      <c r="C27" s="88">
        <v>2.2800000000000001E-2</v>
      </c>
      <c r="D27" s="67"/>
      <c r="E27" s="88">
        <v>2.7799999999999998E-2</v>
      </c>
      <c r="F27" s="83"/>
      <c r="G27" s="83"/>
      <c r="H27" s="76"/>
      <c r="J27" s="76"/>
      <c r="K27" s="76"/>
      <c r="L27" s="76"/>
      <c r="M27" s="76"/>
      <c r="N27" s="76"/>
    </row>
    <row r="28" spans="1:14" ht="12.75" x14ac:dyDescent="0.2">
      <c r="A28" s="62" t="s">
        <v>58</v>
      </c>
      <c r="C28" s="87">
        <f>ROUND((+C23+C24)/(1-C27)+(C25+C26),4)-C23-C24</f>
        <v>0.17640000000000056</v>
      </c>
      <c r="D28" s="67"/>
      <c r="E28" s="87">
        <f>ROUND((+E23+E24)/(1-E27)+(E25+E26),4)-E23-E24</f>
        <v>0.18420000000000014</v>
      </c>
      <c r="F28" s="83"/>
      <c r="G28" s="83"/>
      <c r="H28" s="76"/>
      <c r="J28" s="76"/>
      <c r="K28" s="76"/>
      <c r="L28" s="80"/>
      <c r="M28" s="76"/>
      <c r="N28" s="76"/>
    </row>
    <row r="29" spans="1:14" ht="13.5" thickBot="1" x14ac:dyDescent="0.25">
      <c r="C29" s="81">
        <f>SUM(C23,C24,C28)</f>
        <v>5.757200000000001</v>
      </c>
      <c r="D29" s="67"/>
      <c r="E29" s="81">
        <f>SUM(E23,E24,E28)</f>
        <v>5.7650000000000006</v>
      </c>
      <c r="F29" s="83"/>
      <c r="G29" s="83"/>
      <c r="H29" s="76"/>
      <c r="I29" s="68"/>
      <c r="J29" s="95"/>
      <c r="K29" s="76"/>
      <c r="L29" s="80"/>
      <c r="M29" s="76"/>
      <c r="N29" s="76"/>
    </row>
    <row r="30" spans="1:14" ht="13.5" thickTop="1" x14ac:dyDescent="0.2">
      <c r="D30" s="67"/>
      <c r="E30" s="68"/>
      <c r="F30" s="67"/>
      <c r="G30" s="67"/>
      <c r="H30" s="76"/>
      <c r="I30" s="94"/>
      <c r="J30" s="95"/>
      <c r="K30" s="76"/>
      <c r="L30" s="80"/>
      <c r="M30" s="76"/>
      <c r="N30" s="76"/>
    </row>
    <row r="31" spans="1:14" ht="12.75" x14ac:dyDescent="0.2">
      <c r="C31" s="77"/>
      <c r="E31" s="77"/>
      <c r="H31" s="76"/>
      <c r="I31" s="94"/>
      <c r="J31" s="95"/>
      <c r="K31" s="76"/>
      <c r="L31" s="80"/>
      <c r="M31" s="76"/>
      <c r="N31" s="76"/>
    </row>
    <row r="32" spans="1:14" ht="12.75" x14ac:dyDescent="0.2">
      <c r="C32" s="136" t="s">
        <v>139</v>
      </c>
      <c r="E32" s="64">
        <f>+F17</f>
        <v>0.3508</v>
      </c>
      <c r="H32" s="76"/>
      <c r="I32" s="76"/>
      <c r="J32" s="76"/>
      <c r="K32" s="76"/>
      <c r="L32" s="80"/>
      <c r="M32" s="76"/>
      <c r="N32" s="76"/>
    </row>
    <row r="33" spans="1:14" ht="12.75" x14ac:dyDescent="0.2">
      <c r="A33" s="76"/>
      <c r="B33" s="76"/>
      <c r="C33" s="137" t="s">
        <v>144</v>
      </c>
      <c r="D33" s="76"/>
      <c r="E33" s="94">
        <f>+C28</f>
        <v>0.17640000000000056</v>
      </c>
      <c r="F33" s="76"/>
      <c r="G33" s="76"/>
      <c r="H33" s="76"/>
      <c r="I33" s="76"/>
      <c r="J33" s="76"/>
      <c r="K33" s="76"/>
      <c r="L33" s="76"/>
      <c r="M33" s="76"/>
      <c r="N33" s="76"/>
    </row>
    <row r="34" spans="1:14" ht="13.5" thickBot="1" x14ac:dyDescent="0.25">
      <c r="A34" s="76"/>
      <c r="B34" s="76"/>
      <c r="C34" s="137" t="s">
        <v>140</v>
      </c>
      <c r="D34" s="76"/>
      <c r="E34" s="139">
        <f>SUM(E32:E33)</f>
        <v>0.52720000000000056</v>
      </c>
      <c r="F34" s="76" t="s">
        <v>141</v>
      </c>
      <c r="G34" s="76"/>
      <c r="H34" s="76"/>
      <c r="I34" s="76"/>
      <c r="J34" s="76"/>
      <c r="K34" s="76"/>
      <c r="L34" s="76"/>
      <c r="M34" s="76"/>
      <c r="N34" s="76"/>
    </row>
    <row r="35" spans="1:14" ht="13.5" thickTop="1" x14ac:dyDescent="0.2">
      <c r="A35" s="76"/>
      <c r="B35" s="76"/>
      <c r="C35" s="137"/>
      <c r="D35" s="76"/>
      <c r="E35" s="138"/>
      <c r="F35" s="76"/>
      <c r="G35" s="76"/>
      <c r="H35" s="76"/>
      <c r="I35" s="76"/>
      <c r="J35" s="76"/>
      <c r="K35" s="76"/>
      <c r="L35" s="76"/>
      <c r="M35" s="76"/>
      <c r="N35" s="76"/>
    </row>
    <row r="36" spans="1:14" ht="12.75" x14ac:dyDescent="0.2">
      <c r="C36" s="136" t="s">
        <v>139</v>
      </c>
      <c r="E36" s="64">
        <f>+F17</f>
        <v>0.3508</v>
      </c>
      <c r="H36" s="76"/>
      <c r="I36" s="76"/>
      <c r="J36" s="76"/>
      <c r="K36" s="76"/>
      <c r="L36" s="80"/>
      <c r="M36" s="76"/>
      <c r="N36" s="76"/>
    </row>
    <row r="37" spans="1:14" ht="12.75" x14ac:dyDescent="0.2">
      <c r="A37" s="76"/>
      <c r="B37" s="76"/>
      <c r="C37" s="137" t="s">
        <v>145</v>
      </c>
      <c r="D37" s="76"/>
      <c r="E37" s="94">
        <f>+E28</f>
        <v>0.18420000000000014</v>
      </c>
      <c r="F37" s="76"/>
      <c r="G37" s="76"/>
      <c r="H37" s="76"/>
      <c r="I37" s="76"/>
      <c r="J37" s="76"/>
      <c r="K37" s="76"/>
      <c r="L37" s="76"/>
      <c r="M37" s="76"/>
      <c r="N37" s="76"/>
    </row>
    <row r="38" spans="1:14" ht="13.5" thickBot="1" x14ac:dyDescent="0.25">
      <c r="A38" s="76"/>
      <c r="B38" s="76"/>
      <c r="C38" s="137" t="s">
        <v>146</v>
      </c>
      <c r="D38" s="76"/>
      <c r="E38" s="139">
        <f>SUM(E36:E37)</f>
        <v>0.53500000000000014</v>
      </c>
      <c r="F38" s="76"/>
      <c r="G38" s="76"/>
      <c r="H38" s="76"/>
      <c r="I38" s="76"/>
      <c r="J38" s="76"/>
      <c r="K38" s="76"/>
      <c r="L38" s="76"/>
      <c r="M38" s="76"/>
      <c r="N38" s="76"/>
    </row>
    <row r="39" spans="1:14" ht="13.5" thickTop="1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 ht="12.75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</row>
    <row r="41" spans="1:14" ht="12.75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</row>
    <row r="42" spans="1:14" ht="12.75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</row>
    <row r="43" spans="1:14" ht="12.75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</row>
    <row r="44" spans="1:14" ht="12.75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</row>
    <row r="45" spans="1:14" ht="12.75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</row>
    <row r="46" spans="1:14" ht="12.75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</row>
    <row r="47" spans="1:14" ht="12.75" x14ac:dyDescent="0.2">
      <c r="A47" s="76" t="s">
        <v>148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1:14" ht="12.75" x14ac:dyDescent="0.2">
      <c r="C48" s="72"/>
      <c r="E48" s="72"/>
      <c r="H48" s="76"/>
      <c r="I48" s="76"/>
      <c r="J48" s="76"/>
      <c r="K48" s="76"/>
      <c r="L48" s="80"/>
      <c r="M48" s="76"/>
      <c r="N48" s="76"/>
    </row>
    <row r="49" spans="1:14" ht="12.75" x14ac:dyDescent="0.2">
      <c r="C49" s="72"/>
      <c r="E49" s="72"/>
      <c r="H49" s="76"/>
      <c r="I49" s="76"/>
      <c r="J49" s="76"/>
      <c r="K49" s="76"/>
      <c r="L49" s="80"/>
      <c r="M49" s="76"/>
      <c r="N49" s="76"/>
    </row>
    <row r="50" spans="1:14" ht="12.75" x14ac:dyDescent="0.2">
      <c r="A50" s="66" t="s">
        <v>99</v>
      </c>
      <c r="C50" s="62" t="s">
        <v>20</v>
      </c>
      <c r="D50" s="67"/>
      <c r="E50" s="67"/>
      <c r="F50" s="83"/>
      <c r="G50" s="83"/>
      <c r="H50" s="83"/>
      <c r="I50" s="83"/>
      <c r="J50" s="76"/>
      <c r="K50" s="76"/>
      <c r="L50" s="76"/>
      <c r="M50" s="76"/>
      <c r="N50" s="76"/>
    </row>
    <row r="51" spans="1:14" ht="12.75" x14ac:dyDescent="0.2">
      <c r="A51" s="62" t="s">
        <v>54</v>
      </c>
      <c r="B51" s="62" t="s">
        <v>99</v>
      </c>
      <c r="C51" s="64">
        <v>4.34</v>
      </c>
      <c r="D51" s="63"/>
      <c r="E51" s="67"/>
      <c r="F51" s="83"/>
      <c r="G51" s="83"/>
      <c r="H51" s="83"/>
      <c r="I51" s="68"/>
      <c r="J51" s="76"/>
      <c r="K51" s="76"/>
      <c r="L51" s="76"/>
      <c r="M51" s="76"/>
      <c r="N51" s="76"/>
    </row>
    <row r="52" spans="1:14" ht="12.75" x14ac:dyDescent="0.2">
      <c r="A52" s="62" t="s">
        <v>60</v>
      </c>
      <c r="C52" s="64">
        <v>0.06</v>
      </c>
      <c r="D52" s="67"/>
      <c r="E52" s="68"/>
      <c r="F52" s="83"/>
      <c r="G52" s="83"/>
      <c r="H52" s="83"/>
      <c r="I52" s="68"/>
      <c r="J52" s="76"/>
      <c r="K52" s="76"/>
      <c r="L52" s="76"/>
      <c r="M52" s="76"/>
      <c r="N52" s="76"/>
    </row>
    <row r="53" spans="1:14" ht="12.75" x14ac:dyDescent="0.2">
      <c r="A53" s="62" t="s">
        <v>55</v>
      </c>
      <c r="C53" s="64">
        <v>1.7000000000000001E-2</v>
      </c>
      <c r="D53" s="67"/>
      <c r="E53" s="68"/>
      <c r="F53" s="83"/>
      <c r="G53" s="83"/>
      <c r="H53" s="83"/>
      <c r="I53" s="68"/>
      <c r="J53" s="76"/>
      <c r="K53" s="76"/>
      <c r="L53" s="76"/>
      <c r="M53" s="76"/>
      <c r="N53" s="76"/>
    </row>
    <row r="54" spans="1:14" ht="12.75" x14ac:dyDescent="0.2">
      <c r="A54" s="62" t="s">
        <v>56</v>
      </c>
      <c r="C54" s="64">
        <v>2.2000000000000001E-3</v>
      </c>
      <c r="D54" s="67"/>
      <c r="E54" s="68"/>
      <c r="F54" s="83"/>
      <c r="G54" s="83"/>
      <c r="H54" s="83"/>
      <c r="I54" s="84"/>
      <c r="J54" s="76"/>
      <c r="K54" s="76"/>
      <c r="L54" s="76"/>
      <c r="M54" s="76"/>
      <c r="N54" s="76"/>
    </row>
    <row r="55" spans="1:14" ht="12.75" x14ac:dyDescent="0.2">
      <c r="A55" s="62" t="s">
        <v>57</v>
      </c>
      <c r="C55" s="88">
        <v>2.8199999999999999E-2</v>
      </c>
      <c r="D55" s="67"/>
      <c r="E55" s="84"/>
      <c r="F55" s="83"/>
      <c r="G55" s="83"/>
      <c r="H55" s="83"/>
      <c r="I55" s="68"/>
      <c r="J55" s="76"/>
      <c r="K55" s="76"/>
      <c r="L55" s="76"/>
      <c r="M55" s="76"/>
      <c r="N55" s="76"/>
    </row>
    <row r="56" spans="1:14" ht="12.75" x14ac:dyDescent="0.2">
      <c r="A56" s="62" t="s">
        <v>58</v>
      </c>
      <c r="C56" s="87">
        <f>ROUND((+C51+C52)/(1-C55)+(C53+C54),4)-C51-C52</f>
        <v>0.14690000000000009</v>
      </c>
      <c r="D56" s="67"/>
      <c r="E56" s="68"/>
      <c r="F56" s="83"/>
      <c r="G56" s="83"/>
      <c r="H56" s="83"/>
      <c r="I56" s="68"/>
      <c r="J56" s="76"/>
      <c r="K56" s="76"/>
      <c r="L56" s="80"/>
      <c r="M56" s="76"/>
      <c r="N56" s="76"/>
    </row>
    <row r="57" spans="1:14" ht="13.5" thickBot="1" x14ac:dyDescent="0.25">
      <c r="C57" s="81">
        <f>SUM(C51,C52,C56)</f>
        <v>4.5468999999999999</v>
      </c>
      <c r="D57" s="67"/>
      <c r="E57" s="68"/>
      <c r="F57" s="83"/>
      <c r="G57" s="83"/>
      <c r="H57" s="83"/>
      <c r="I57" s="68"/>
      <c r="J57" s="76"/>
      <c r="K57" s="76"/>
      <c r="L57" s="80"/>
      <c r="M57" s="76"/>
      <c r="N57" s="76"/>
    </row>
    <row r="58" spans="1:14" ht="13.5" thickTop="1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</row>
    <row r="59" spans="1:14" ht="12.75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</row>
    <row r="60" spans="1:14" ht="12.75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2.75" x14ac:dyDescent="0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2.75" x14ac:dyDescent="0.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2.75" x14ac:dyDescent="0.2">
      <c r="A63" s="66" t="s">
        <v>21</v>
      </c>
      <c r="C63" s="62" t="s">
        <v>66</v>
      </c>
      <c r="E63" s="67"/>
      <c r="F63" s="67"/>
      <c r="G63" s="67"/>
      <c r="H63" s="83"/>
      <c r="I63" s="76"/>
      <c r="J63" s="76"/>
      <c r="K63" s="76"/>
      <c r="L63" s="76"/>
      <c r="M63" s="76"/>
      <c r="N63" s="76"/>
    </row>
    <row r="64" spans="1:14" ht="12.75" x14ac:dyDescent="0.2">
      <c r="A64" s="62" t="s">
        <v>54</v>
      </c>
      <c r="B64" s="62" t="s">
        <v>21</v>
      </c>
      <c r="C64" s="64">
        <v>4.5599999999999996</v>
      </c>
      <c r="E64" s="68"/>
      <c r="F64" s="67"/>
      <c r="G64" s="68"/>
      <c r="H64" s="83"/>
      <c r="I64" s="76"/>
      <c r="J64" s="76"/>
      <c r="K64" s="76"/>
      <c r="L64" s="76"/>
      <c r="M64" s="76"/>
      <c r="N64" s="76"/>
    </row>
    <row r="65" spans="1:14" ht="12.75" x14ac:dyDescent="0.2">
      <c r="A65" s="62" t="s">
        <v>60</v>
      </c>
      <c r="C65" s="64">
        <v>7.4999999999999997E-3</v>
      </c>
      <c r="E65" s="68"/>
      <c r="F65" s="67"/>
      <c r="G65" s="68"/>
      <c r="H65" s="83"/>
      <c r="I65" s="76"/>
      <c r="J65" s="76"/>
      <c r="K65" s="76"/>
      <c r="L65" s="76"/>
      <c r="M65" s="76"/>
      <c r="N65" s="76"/>
    </row>
    <row r="66" spans="1:14" ht="12.75" x14ac:dyDescent="0.2">
      <c r="A66" s="62" t="s">
        <v>55</v>
      </c>
      <c r="C66" s="64">
        <v>3.95E-2</v>
      </c>
      <c r="E66" s="68"/>
      <c r="F66" s="67"/>
      <c r="G66" s="68"/>
      <c r="H66" s="83"/>
      <c r="I66" s="76"/>
      <c r="J66" s="76"/>
      <c r="K66" s="76"/>
      <c r="L66" s="76"/>
      <c r="M66" s="76"/>
      <c r="N66" s="76"/>
    </row>
    <row r="67" spans="1:14" ht="12.75" x14ac:dyDescent="0.2">
      <c r="A67" s="62" t="s">
        <v>56</v>
      </c>
      <c r="C67" s="64">
        <v>2.2000000000000001E-3</v>
      </c>
      <c r="E67" s="68"/>
      <c r="F67" s="67"/>
      <c r="G67" s="68"/>
      <c r="H67" s="83"/>
      <c r="I67" s="76"/>
      <c r="J67" s="76"/>
      <c r="K67" s="76"/>
      <c r="L67" s="76"/>
      <c r="M67" s="76"/>
      <c r="N67" s="76"/>
    </row>
    <row r="68" spans="1:14" ht="12.75" x14ac:dyDescent="0.2">
      <c r="A68" s="62" t="s">
        <v>57</v>
      </c>
      <c r="C68" s="86">
        <v>2.2800000000000001E-2</v>
      </c>
      <c r="E68" s="69"/>
      <c r="F68" s="67"/>
      <c r="G68" s="69"/>
      <c r="H68" s="83"/>
      <c r="I68" s="76"/>
      <c r="J68" s="76"/>
      <c r="K68" s="76"/>
      <c r="L68" s="76"/>
      <c r="M68" s="76"/>
      <c r="N68" s="76"/>
    </row>
    <row r="69" spans="1:14" ht="12.75" x14ac:dyDescent="0.2">
      <c r="A69" s="62" t="s">
        <v>58</v>
      </c>
      <c r="C69" s="87">
        <f>ROUND(+C64/(1-C68)+(C66+C67),4)-C64</f>
        <v>0.14810000000000034</v>
      </c>
      <c r="E69" s="68"/>
      <c r="F69" s="67"/>
      <c r="G69" s="68"/>
      <c r="H69" s="83"/>
      <c r="I69" s="76"/>
      <c r="J69" s="76"/>
      <c r="K69" s="76"/>
      <c r="L69" s="76"/>
      <c r="M69" s="76"/>
      <c r="N69" s="76"/>
    </row>
    <row r="70" spans="1:14" ht="12.75" x14ac:dyDescent="0.2">
      <c r="A70" s="62" t="s">
        <v>0</v>
      </c>
      <c r="C70" s="87">
        <v>0</v>
      </c>
      <c r="E70" s="68"/>
      <c r="F70" s="67"/>
      <c r="G70" s="68"/>
      <c r="H70" s="83"/>
      <c r="I70" s="76"/>
      <c r="J70" s="76"/>
      <c r="K70" s="76"/>
      <c r="L70" s="76"/>
      <c r="M70" s="76"/>
      <c r="N70" s="76"/>
    </row>
    <row r="71" spans="1:14" ht="13.5" thickBot="1" x14ac:dyDescent="0.25">
      <c r="A71" s="62" t="s">
        <v>59</v>
      </c>
      <c r="C71" s="89">
        <f>SUM(C69,C64:C65,C70)</f>
        <v>4.7156000000000002</v>
      </c>
      <c r="E71" s="68"/>
      <c r="F71" s="67"/>
      <c r="G71" s="68"/>
      <c r="H71" s="83"/>
      <c r="I71" s="76"/>
      <c r="J71" s="76"/>
      <c r="K71" s="76"/>
      <c r="L71" s="76"/>
      <c r="M71" s="76"/>
      <c r="N71" s="76"/>
    </row>
    <row r="72" spans="1:14" ht="13.5" thickTop="1" x14ac:dyDescent="0.2">
      <c r="A72" s="62" t="s">
        <v>3</v>
      </c>
      <c r="B72" s="62" t="s">
        <v>3</v>
      </c>
      <c r="C72" s="78">
        <v>37170</v>
      </c>
      <c r="E72" s="78"/>
      <c r="F72" s="67"/>
      <c r="G72" s="78"/>
      <c r="H72" s="83"/>
      <c r="I72" s="76"/>
      <c r="J72" s="76"/>
      <c r="K72" s="76"/>
      <c r="L72" s="76"/>
      <c r="M72" s="76"/>
      <c r="N72" s="76"/>
    </row>
    <row r="73" spans="1:14" ht="12.75" x14ac:dyDescent="0.2">
      <c r="C73" s="68"/>
      <c r="H73" s="76"/>
      <c r="I73" s="76" t="s">
        <v>3</v>
      </c>
      <c r="J73" s="76"/>
      <c r="K73" s="76"/>
      <c r="L73" s="76"/>
      <c r="M73" s="76"/>
      <c r="N73" s="76"/>
    </row>
    <row r="74" spans="1:14" ht="12.75" x14ac:dyDescent="0.2">
      <c r="A74" s="62" t="s">
        <v>3</v>
      </c>
      <c r="C74" s="68"/>
      <c r="H74" s="76"/>
      <c r="I74" s="76"/>
      <c r="J74" s="76"/>
      <c r="K74" s="76"/>
      <c r="L74" s="76"/>
      <c r="M74" s="76"/>
      <c r="N74" s="76"/>
    </row>
    <row r="75" spans="1:14" ht="12.75" x14ac:dyDescent="0.2">
      <c r="A75" s="62" t="s">
        <v>3</v>
      </c>
      <c r="B75" s="62" t="s">
        <v>3</v>
      </c>
      <c r="C75" s="68"/>
      <c r="H75" s="76"/>
      <c r="I75" s="76"/>
      <c r="J75" s="76"/>
      <c r="K75" s="76"/>
      <c r="L75" s="76"/>
      <c r="M75" s="76"/>
      <c r="N75" s="76"/>
    </row>
    <row r="76" spans="1:14" ht="12.75" x14ac:dyDescent="0.2">
      <c r="A76" s="62" t="s">
        <v>3</v>
      </c>
      <c r="B76" s="62" t="s">
        <v>3</v>
      </c>
      <c r="C76" s="68"/>
      <c r="H76" s="76"/>
      <c r="I76" s="76"/>
      <c r="J76" s="76"/>
      <c r="K76" s="76"/>
      <c r="L76" s="76"/>
      <c r="M76" s="76"/>
      <c r="N76" s="76"/>
    </row>
    <row r="77" spans="1:14" ht="12.75" x14ac:dyDescent="0.2">
      <c r="C77" s="68"/>
      <c r="H77" s="76"/>
      <c r="I77" s="76"/>
      <c r="J77" s="76"/>
      <c r="K77" s="76"/>
      <c r="L77" s="76"/>
      <c r="M77" s="76"/>
      <c r="N77" s="76"/>
    </row>
    <row r="78" spans="1:14" ht="12.75" x14ac:dyDescent="0.2">
      <c r="C78" s="68"/>
      <c r="H78" s="76"/>
      <c r="I78" s="76"/>
      <c r="J78" s="76"/>
      <c r="K78" s="76"/>
      <c r="L78" s="76"/>
      <c r="M78" s="76"/>
      <c r="N78" s="76"/>
    </row>
    <row r="79" spans="1:14" ht="12.75" x14ac:dyDescent="0.2">
      <c r="C79" s="68"/>
      <c r="H79" s="76"/>
      <c r="I79" s="76"/>
      <c r="J79" s="76"/>
      <c r="K79" s="76"/>
      <c r="L79" s="76"/>
      <c r="M79" s="76"/>
      <c r="N79" s="76"/>
    </row>
    <row r="80" spans="1:14" ht="12.75" x14ac:dyDescent="0.2">
      <c r="C80" s="68"/>
      <c r="H80" s="76"/>
      <c r="I80" s="76"/>
      <c r="J80" s="76"/>
      <c r="K80" s="76"/>
      <c r="L80" s="76"/>
      <c r="M80" s="76"/>
      <c r="N80" s="76"/>
    </row>
    <row r="81" spans="1:14" ht="12.75" x14ac:dyDescent="0.2">
      <c r="A81" s="66" t="s">
        <v>67</v>
      </c>
      <c r="C81" s="82" t="s">
        <v>68</v>
      </c>
      <c r="E81" s="82" t="s">
        <v>69</v>
      </c>
      <c r="G81" s="76"/>
      <c r="H81" s="76"/>
      <c r="I81" s="76"/>
      <c r="J81" s="76"/>
      <c r="K81" s="76"/>
      <c r="L81" s="76"/>
      <c r="M81" s="76"/>
      <c r="N81" s="76"/>
    </row>
    <row r="82" spans="1:14" ht="12.75" x14ac:dyDescent="0.2">
      <c r="A82" s="62" t="s">
        <v>54</v>
      </c>
      <c r="B82" s="62" t="s">
        <v>70</v>
      </c>
      <c r="C82" s="64">
        <v>4.29</v>
      </c>
      <c r="E82" s="64">
        <f>+C88</f>
        <v>4.4634999999999998</v>
      </c>
      <c r="G82" s="76"/>
      <c r="H82" s="76"/>
      <c r="I82" s="76"/>
      <c r="J82" s="76"/>
      <c r="K82" s="76"/>
      <c r="L82" s="76"/>
      <c r="M82" s="76"/>
      <c r="N82" s="76"/>
    </row>
    <row r="83" spans="1:14" ht="12.75" x14ac:dyDescent="0.2">
      <c r="A83" s="62" t="s">
        <v>60</v>
      </c>
      <c r="C83" s="64">
        <v>0.01</v>
      </c>
      <c r="E83" s="64">
        <v>0</v>
      </c>
      <c r="G83" s="76"/>
      <c r="H83" s="76"/>
      <c r="I83" s="76"/>
      <c r="J83" s="76"/>
      <c r="K83" s="76"/>
      <c r="L83" s="76"/>
      <c r="M83" s="76"/>
      <c r="N83" s="76"/>
    </row>
    <row r="84" spans="1:14" ht="12.75" x14ac:dyDescent="0.2">
      <c r="A84" s="62" t="s">
        <v>55</v>
      </c>
      <c r="C84" s="64">
        <v>5.7200000000000001E-2</v>
      </c>
      <c r="E84" s="64">
        <v>1.1000000000000001E-3</v>
      </c>
      <c r="G84" s="76"/>
      <c r="H84" s="76"/>
      <c r="I84" s="76"/>
      <c r="J84" s="76"/>
      <c r="K84" s="76"/>
      <c r="L84" s="76"/>
      <c r="M84" s="76"/>
      <c r="N84" s="76"/>
    </row>
    <row r="85" spans="1:14" ht="12.75" x14ac:dyDescent="0.2">
      <c r="A85" s="62" t="s">
        <v>56</v>
      </c>
      <c r="C85" s="64">
        <v>3.1899999999999998E-2</v>
      </c>
      <c r="E85" s="64">
        <v>9.4000000000000004E-3</v>
      </c>
      <c r="F85" s="62" t="s">
        <v>71</v>
      </c>
      <c r="G85" s="76"/>
      <c r="H85" s="76"/>
      <c r="I85" s="76"/>
      <c r="J85" s="76"/>
      <c r="K85" s="76"/>
      <c r="L85" s="76"/>
      <c r="M85" s="76"/>
      <c r="N85" s="76"/>
    </row>
    <row r="86" spans="1:14" ht="12.75" x14ac:dyDescent="0.2">
      <c r="A86" s="62" t="s">
        <v>57</v>
      </c>
      <c r="C86" s="86">
        <v>1.7000000000000001E-2</v>
      </c>
      <c r="E86" s="86">
        <v>2.1999999999999999E-2</v>
      </c>
      <c r="G86" s="76"/>
      <c r="H86" s="76"/>
      <c r="I86" s="76"/>
      <c r="J86" s="76"/>
      <c r="K86" s="76"/>
      <c r="L86" s="76"/>
      <c r="M86" s="76"/>
      <c r="N86" s="76"/>
    </row>
    <row r="87" spans="1:14" ht="12.75" x14ac:dyDescent="0.2">
      <c r="A87" s="62" t="s">
        <v>58</v>
      </c>
      <c r="C87" s="87">
        <f>ROUND((+C82+C83)/(1-C86)-(C82+C83)+C84+C85,4)</f>
        <v>0.16350000000000001</v>
      </c>
      <c r="E87" s="87">
        <f>ROUND((+E82+E83)/(1-E86)-(E82+E83)+E84+E85,4)</f>
        <v>0.1109</v>
      </c>
      <c r="G87" s="76"/>
      <c r="H87" s="76"/>
      <c r="I87" s="76"/>
      <c r="J87" s="76"/>
      <c r="K87" s="76"/>
      <c r="L87" s="76"/>
      <c r="M87" s="76"/>
      <c r="N87" s="76"/>
    </row>
    <row r="88" spans="1:14" ht="13.5" thickBot="1" x14ac:dyDescent="0.25">
      <c r="A88" s="62" t="s">
        <v>59</v>
      </c>
      <c r="C88" s="81">
        <f>SUM(C87,C82:C83)</f>
        <v>4.4634999999999998</v>
      </c>
      <c r="E88" s="81">
        <f>SUM(E87,E82:E83)</f>
        <v>4.5743999999999998</v>
      </c>
      <c r="F88" s="62" t="s">
        <v>93</v>
      </c>
      <c r="G88" s="76"/>
      <c r="H88" s="76"/>
      <c r="I88" s="76"/>
      <c r="J88" s="76"/>
      <c r="K88" s="76"/>
      <c r="L88" s="76"/>
      <c r="M88" s="76"/>
      <c r="N88" s="76"/>
    </row>
    <row r="89" spans="1:14" ht="13.5" thickTop="1" x14ac:dyDescent="0.2">
      <c r="G89" s="76"/>
      <c r="H89" s="76"/>
      <c r="I89" s="76"/>
      <c r="J89" s="76"/>
      <c r="K89" s="76"/>
      <c r="L89" s="76"/>
      <c r="M89" s="76"/>
      <c r="N89" s="76"/>
    </row>
    <row r="90" spans="1:14" ht="12.75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2.75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2.75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2.75" x14ac:dyDescent="0.2"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2.75" x14ac:dyDescent="0.2"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2.75" x14ac:dyDescent="0.2">
      <c r="E95" s="76"/>
      <c r="F95" s="76"/>
      <c r="G95" s="76"/>
      <c r="H95" s="76"/>
      <c r="I95" s="76"/>
      <c r="J95" s="76"/>
      <c r="K95" s="76"/>
      <c r="L95" s="76"/>
      <c r="M95" s="76"/>
      <c r="N95" s="76"/>
    </row>
    <row r="96" spans="1:14" ht="12.75" x14ac:dyDescent="0.2">
      <c r="E96" s="76"/>
      <c r="F96" s="76"/>
      <c r="G96" s="76"/>
      <c r="H96" s="76"/>
      <c r="I96" s="76"/>
      <c r="J96" s="76"/>
      <c r="K96" s="76"/>
      <c r="L96" s="76"/>
      <c r="M96" s="76"/>
      <c r="N96" s="76"/>
    </row>
    <row r="97" spans="1:14" ht="12.75" x14ac:dyDescent="0.2">
      <c r="E97" s="76"/>
      <c r="F97" s="76"/>
      <c r="G97" s="76"/>
      <c r="H97" s="76"/>
      <c r="I97" s="76"/>
      <c r="J97" s="76"/>
      <c r="K97" s="76"/>
      <c r="L97" s="76"/>
      <c r="M97" s="76"/>
      <c r="N97" s="76"/>
    </row>
    <row r="98" spans="1:14" ht="12.75" x14ac:dyDescent="0.2">
      <c r="E98" s="76"/>
      <c r="F98" s="76"/>
      <c r="G98" s="76"/>
      <c r="H98" s="76"/>
      <c r="I98" s="76"/>
      <c r="J98" s="76"/>
      <c r="K98" s="76"/>
      <c r="L98" s="76"/>
      <c r="M98" s="76"/>
      <c r="N98" s="76"/>
    </row>
    <row r="99" spans="1:14" ht="12.75" x14ac:dyDescent="0.2">
      <c r="E99" s="76"/>
      <c r="F99" s="76"/>
      <c r="G99" s="76"/>
      <c r="H99" s="76"/>
      <c r="I99" s="76"/>
      <c r="J99" s="76"/>
      <c r="K99" s="76"/>
      <c r="L99" s="76"/>
      <c r="M99" s="76"/>
      <c r="N99" s="76"/>
    </row>
    <row r="100" spans="1:14" ht="12.75" x14ac:dyDescent="0.2">
      <c r="E100" s="76"/>
      <c r="F100" s="76"/>
      <c r="G100" s="76"/>
      <c r="H100" s="76"/>
      <c r="I100" s="76"/>
      <c r="J100" s="76"/>
      <c r="K100" s="76"/>
      <c r="L100" s="76"/>
      <c r="M100" s="76"/>
      <c r="N100" s="76"/>
    </row>
    <row r="101" spans="1:14" ht="12.75" x14ac:dyDescent="0.2">
      <c r="E101" s="76"/>
      <c r="F101" s="76"/>
      <c r="G101" s="76"/>
      <c r="H101" s="76"/>
      <c r="I101" s="76"/>
      <c r="J101" s="76"/>
      <c r="K101" s="76"/>
      <c r="L101" s="76"/>
      <c r="M101" s="76"/>
      <c r="N101" s="76"/>
    </row>
    <row r="102" spans="1:14" ht="12.75" x14ac:dyDescent="0.2">
      <c r="E102" s="76"/>
      <c r="F102" s="76"/>
      <c r="G102" s="76"/>
      <c r="H102" s="76"/>
      <c r="I102" s="76"/>
      <c r="J102" s="76"/>
      <c r="K102" s="76"/>
      <c r="L102" s="76"/>
      <c r="M102" s="76"/>
      <c r="N102" s="76"/>
    </row>
    <row r="103" spans="1:14" ht="12.75" x14ac:dyDescent="0.2">
      <c r="E103" s="76"/>
      <c r="F103" s="76"/>
      <c r="G103" s="76"/>
      <c r="H103" s="76"/>
      <c r="I103" s="76"/>
      <c r="J103" s="76"/>
      <c r="K103" s="76"/>
      <c r="L103" s="76"/>
      <c r="M103" s="76"/>
      <c r="N103" s="76"/>
    </row>
    <row r="104" spans="1:14" ht="12.75" x14ac:dyDescent="0.2">
      <c r="E104" s="76"/>
      <c r="F104" s="76"/>
      <c r="G104" s="76"/>
      <c r="H104" s="76"/>
      <c r="I104" s="76"/>
      <c r="J104" s="76"/>
      <c r="K104" s="76"/>
      <c r="L104" s="76"/>
      <c r="M104" s="76"/>
      <c r="N104" s="76"/>
    </row>
    <row r="105" spans="1:14" ht="12.75" x14ac:dyDescent="0.2">
      <c r="E105" s="76"/>
      <c r="F105" s="76"/>
      <c r="G105" s="76"/>
      <c r="H105" s="76"/>
      <c r="I105" s="76"/>
      <c r="J105" s="76"/>
      <c r="K105" s="76"/>
      <c r="L105" s="76"/>
      <c r="M105" s="76"/>
      <c r="N105" s="76"/>
    </row>
    <row r="106" spans="1:14" ht="12.75" x14ac:dyDescent="0.2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</row>
    <row r="107" spans="1:14" ht="12.75" x14ac:dyDescent="0.2">
      <c r="A107" s="66" t="s">
        <v>72</v>
      </c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ht="12.75" x14ac:dyDescent="0.2">
      <c r="A108" s="62" t="s">
        <v>54</v>
      </c>
      <c r="B108" s="62" t="s">
        <v>73</v>
      </c>
      <c r="C108" s="64">
        <v>4.3</v>
      </c>
      <c r="E108" s="76"/>
      <c r="F108" s="76"/>
      <c r="G108" s="76"/>
      <c r="H108" s="76"/>
      <c r="I108" s="76"/>
      <c r="J108" s="76"/>
      <c r="K108" s="76"/>
      <c r="L108" s="76"/>
      <c r="M108" s="76"/>
      <c r="N108" s="76"/>
    </row>
    <row r="109" spans="1:14" ht="12.75" x14ac:dyDescent="0.2">
      <c r="A109" s="62" t="s">
        <v>60</v>
      </c>
      <c r="C109" s="64">
        <v>0.01</v>
      </c>
      <c r="E109" s="76"/>
      <c r="F109" s="76"/>
      <c r="G109" s="76"/>
      <c r="H109" s="76"/>
      <c r="I109" s="76"/>
      <c r="J109" s="76"/>
      <c r="K109" s="76"/>
      <c r="L109" s="76"/>
      <c r="M109" s="76"/>
      <c r="N109" s="76"/>
    </row>
    <row r="110" spans="1:14" ht="12.75" x14ac:dyDescent="0.2">
      <c r="A110" s="62" t="s">
        <v>55</v>
      </c>
      <c r="C110" s="64">
        <v>0.1012</v>
      </c>
      <c r="E110" s="76"/>
      <c r="F110" s="76"/>
      <c r="G110" s="76"/>
      <c r="H110" s="76"/>
      <c r="I110" s="76"/>
      <c r="J110" s="76"/>
      <c r="K110" s="76"/>
      <c r="L110" s="76"/>
      <c r="M110" s="76"/>
      <c r="N110" s="76"/>
    </row>
    <row r="111" spans="1:14" ht="12.75" x14ac:dyDescent="0.2">
      <c r="A111" s="62" t="s">
        <v>56</v>
      </c>
      <c r="C111" s="64">
        <v>9.4000000000000004E-3</v>
      </c>
      <c r="E111" s="76"/>
      <c r="F111" s="76"/>
      <c r="G111" s="76"/>
      <c r="H111" s="76"/>
      <c r="I111" s="76"/>
      <c r="J111" s="76"/>
      <c r="K111" s="76"/>
      <c r="L111" s="76"/>
      <c r="M111" s="76"/>
      <c r="N111" s="76"/>
    </row>
    <row r="112" spans="1:14" ht="12.75" x14ac:dyDescent="0.2">
      <c r="A112" s="62" t="s">
        <v>57</v>
      </c>
      <c r="C112" s="86">
        <v>7.0499999999999993E-2</v>
      </c>
      <c r="E112" s="76"/>
      <c r="F112" s="76"/>
      <c r="G112" s="76"/>
      <c r="H112" s="76"/>
      <c r="I112" s="76"/>
      <c r="J112" s="76"/>
      <c r="K112" s="76"/>
      <c r="L112" s="76"/>
      <c r="M112" s="76"/>
      <c r="N112" s="76"/>
    </row>
    <row r="113" spans="1:14" ht="12.75" x14ac:dyDescent="0.2">
      <c r="A113" s="62" t="s">
        <v>58</v>
      </c>
      <c r="C113" s="87">
        <f>ROUND((+C108+C109)/(1-C112)-(C108+C109)+C110+C111,4)</f>
        <v>0.4375</v>
      </c>
      <c r="D113" s="62" t="s">
        <v>88</v>
      </c>
      <c r="E113" s="76"/>
      <c r="F113" s="76"/>
      <c r="G113" s="76"/>
      <c r="H113" s="76"/>
      <c r="I113" s="76"/>
      <c r="J113" s="76"/>
      <c r="K113" s="76"/>
      <c r="L113" s="76"/>
      <c r="M113" s="76"/>
      <c r="N113" s="76"/>
    </row>
    <row r="114" spans="1:14" ht="13.5" thickBot="1" x14ac:dyDescent="0.25">
      <c r="C114" s="81">
        <f>SUM(C113,C108:C109)</f>
        <v>4.7474999999999996</v>
      </c>
      <c r="D114" s="62" t="s">
        <v>89</v>
      </c>
      <c r="E114" s="76"/>
      <c r="F114" s="76"/>
      <c r="G114" s="76"/>
      <c r="H114" s="76"/>
      <c r="I114" s="76"/>
      <c r="J114" s="76"/>
      <c r="K114" s="76"/>
      <c r="L114" s="76"/>
      <c r="M114" s="76"/>
      <c r="N114" s="76"/>
    </row>
    <row r="115" spans="1:14" ht="13.5" thickTop="1" x14ac:dyDescent="0.2">
      <c r="E115" s="76"/>
      <c r="F115" s="76"/>
      <c r="G115" s="76"/>
      <c r="H115" s="76"/>
      <c r="I115" s="76"/>
      <c r="J115" s="76"/>
      <c r="K115" s="76"/>
      <c r="L115" s="76"/>
      <c r="M115" s="76"/>
      <c r="N115" s="76"/>
    </row>
    <row r="116" spans="1:14" ht="12.75" x14ac:dyDescent="0.2">
      <c r="A116" s="62" t="s">
        <v>87</v>
      </c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spans="1:14" ht="12.75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2.75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ht="12.75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  <row r="120" spans="1:14" ht="12.75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</row>
    <row r="121" spans="1:14" ht="12.75" x14ac:dyDescent="0.2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</row>
    <row r="122" spans="1:14" ht="12.75" x14ac:dyDescent="0.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</row>
    <row r="123" spans="1:14" ht="12.75" x14ac:dyDescent="0.2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</row>
    <row r="124" spans="1:14" ht="12.75" x14ac:dyDescent="0.2">
      <c r="A124" s="65" t="s">
        <v>1</v>
      </c>
      <c r="G124" s="25"/>
      <c r="H124" s="25"/>
    </row>
    <row r="125" spans="1:14" ht="12.75" x14ac:dyDescent="0.2">
      <c r="D125" s="79"/>
      <c r="F125" s="78"/>
      <c r="G125" s="25"/>
    </row>
    <row r="126" spans="1:14" x14ac:dyDescent="0.2">
      <c r="A126" s="62" t="s">
        <v>53</v>
      </c>
      <c r="E126" s="67"/>
      <c r="F126" s="67"/>
      <c r="G126" s="67"/>
      <c r="H126" s="67"/>
      <c r="I126" s="67"/>
      <c r="J126" s="67"/>
      <c r="K126" s="67"/>
      <c r="L126" s="67"/>
    </row>
    <row r="127" spans="1:14" ht="12.75" x14ac:dyDescent="0.2">
      <c r="A127" s="62" t="s">
        <v>54</v>
      </c>
      <c r="B127" s="62" t="s">
        <v>46</v>
      </c>
      <c r="C127" s="64">
        <v>4.3600000000000003</v>
      </c>
      <c r="E127" s="67"/>
      <c r="F127" s="67"/>
      <c r="G127" s="68"/>
      <c r="H127" s="67"/>
      <c r="I127" s="67"/>
      <c r="J127" s="67"/>
      <c r="K127" s="68"/>
      <c r="L127" s="34"/>
    </row>
    <row r="128" spans="1:14" ht="12.75" x14ac:dyDescent="0.2">
      <c r="C128" s="64">
        <v>7.4999999999999997E-3</v>
      </c>
      <c r="E128" s="67"/>
      <c r="F128" s="67"/>
      <c r="G128" s="68"/>
      <c r="H128" s="67"/>
      <c r="I128" s="67"/>
      <c r="J128" s="67"/>
      <c r="K128" s="68"/>
      <c r="L128" s="34"/>
    </row>
    <row r="129" spans="1:14" ht="12.75" x14ac:dyDescent="0.2">
      <c r="A129" s="62" t="s">
        <v>55</v>
      </c>
      <c r="B129" s="25"/>
      <c r="C129" s="64">
        <v>2.7400000000000001E-2</v>
      </c>
      <c r="E129" s="67"/>
      <c r="F129" s="34"/>
      <c r="G129" s="68"/>
      <c r="H129" s="67"/>
      <c r="I129" s="67"/>
      <c r="J129" s="34"/>
      <c r="K129" s="68"/>
      <c r="L129" s="34"/>
    </row>
    <row r="130" spans="1:14" ht="12.75" x14ac:dyDescent="0.2">
      <c r="A130" s="62" t="s">
        <v>56</v>
      </c>
      <c r="B130" s="25"/>
      <c r="C130" s="64">
        <v>2.2499999999999999E-2</v>
      </c>
      <c r="E130" s="67"/>
      <c r="F130" s="34"/>
      <c r="G130" s="68"/>
      <c r="H130" s="67"/>
      <c r="I130" s="67"/>
      <c r="J130" s="34"/>
      <c r="K130" s="68"/>
      <c r="L130" s="34"/>
    </row>
    <row r="131" spans="1:14" ht="12.75" x14ac:dyDescent="0.2">
      <c r="A131" s="62" t="s">
        <v>57</v>
      </c>
      <c r="B131" s="75"/>
      <c r="C131" s="86">
        <v>4.7199999999999999E-2</v>
      </c>
      <c r="E131" s="67"/>
      <c r="F131" s="73"/>
      <c r="G131" s="69"/>
      <c r="H131" s="67"/>
      <c r="I131" s="67"/>
      <c r="J131" s="73"/>
      <c r="K131" s="69"/>
      <c r="L131" s="34"/>
    </row>
    <row r="132" spans="1:14" ht="12.75" x14ac:dyDescent="0.2">
      <c r="A132" s="62" t="s">
        <v>58</v>
      </c>
      <c r="C132" s="87">
        <f>ROUND((+C127+C128)/(1-C131)+(C129+C130),4)-C127-C128</f>
        <v>0.26629999999999959</v>
      </c>
      <c r="E132" s="67"/>
      <c r="F132" s="67"/>
      <c r="G132" s="68"/>
      <c r="H132" s="67"/>
      <c r="I132" s="67"/>
      <c r="J132" s="67"/>
      <c r="K132" s="68"/>
      <c r="L132" s="34"/>
    </row>
    <row r="133" spans="1:14" ht="13.5" thickBot="1" x14ac:dyDescent="0.25">
      <c r="C133" s="81">
        <f>SUM(C132,C127:C128)</f>
        <v>4.6337999999999999</v>
      </c>
      <c r="D133" s="62" t="s">
        <v>92</v>
      </c>
      <c r="E133" s="67"/>
      <c r="F133" s="67"/>
      <c r="G133" s="67"/>
      <c r="H133" s="67"/>
      <c r="I133" s="67"/>
      <c r="J133" s="67"/>
      <c r="K133" s="67"/>
      <c r="L133" s="34"/>
      <c r="M133" s="63"/>
      <c r="N133" s="64"/>
    </row>
    <row r="134" spans="1:14" ht="13.5" thickTop="1" x14ac:dyDescent="0.2">
      <c r="B134" s="25"/>
      <c r="C134" s="64"/>
      <c r="G134" s="63"/>
      <c r="H134" s="74"/>
    </row>
    <row r="135" spans="1:14" ht="12.75" x14ac:dyDescent="0.2">
      <c r="K135" s="25"/>
      <c r="L135" s="64"/>
    </row>
    <row r="136" spans="1:14" ht="12.75" x14ac:dyDescent="0.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</row>
    <row r="137" spans="1:14" x14ac:dyDescent="0.2">
      <c r="A137" s="62" t="s">
        <v>74</v>
      </c>
      <c r="E137" s="67"/>
      <c r="F137" s="67"/>
      <c r="G137" s="67"/>
      <c r="H137" s="67"/>
      <c r="I137" s="67"/>
      <c r="J137" s="67"/>
      <c r="K137" s="67"/>
      <c r="L137" s="67"/>
    </row>
    <row r="138" spans="1:14" ht="12.75" x14ac:dyDescent="0.2">
      <c r="A138" s="62" t="s">
        <v>54</v>
      </c>
      <c r="B138" s="62" t="s">
        <v>46</v>
      </c>
      <c r="C138" s="64">
        <v>4.3600000000000003</v>
      </c>
      <c r="E138" s="67"/>
      <c r="F138" s="67"/>
      <c r="G138" s="68"/>
      <c r="H138" s="67"/>
      <c r="I138" s="67"/>
      <c r="J138" s="67"/>
      <c r="K138" s="68"/>
      <c r="L138" s="34"/>
    </row>
    <row r="139" spans="1:14" ht="12.75" x14ac:dyDescent="0.2">
      <c r="C139" s="64">
        <v>7.4999999999999997E-3</v>
      </c>
      <c r="E139" s="67"/>
      <c r="F139" s="67"/>
      <c r="G139" s="68"/>
      <c r="H139" s="67"/>
      <c r="I139" s="67"/>
      <c r="J139" s="67"/>
      <c r="K139" s="68"/>
      <c r="L139" s="34"/>
    </row>
    <row r="140" spans="1:14" ht="12.75" x14ac:dyDescent="0.2">
      <c r="A140" s="62" t="s">
        <v>55</v>
      </c>
      <c r="B140" s="25"/>
      <c r="C140" s="64">
        <v>1.4E-2</v>
      </c>
      <c r="E140" s="67"/>
      <c r="F140" s="34"/>
      <c r="G140" s="68"/>
      <c r="H140" s="67"/>
      <c r="I140" s="67"/>
      <c r="J140" s="34"/>
      <c r="K140" s="68"/>
      <c r="L140" s="34"/>
    </row>
    <row r="141" spans="1:14" ht="12.75" x14ac:dyDescent="0.2">
      <c r="A141" s="62" t="s">
        <v>56</v>
      </c>
      <c r="B141" s="25"/>
      <c r="C141" s="64">
        <v>2.2499999999999999E-2</v>
      </c>
      <c r="E141" s="67"/>
      <c r="F141" s="34"/>
      <c r="G141" s="68"/>
      <c r="H141" s="67"/>
      <c r="I141" s="67"/>
      <c r="J141" s="34"/>
      <c r="K141" s="68"/>
      <c r="L141" s="34"/>
    </row>
    <row r="142" spans="1:14" ht="12.75" x14ac:dyDescent="0.2">
      <c r="A142" s="62" t="s">
        <v>57</v>
      </c>
      <c r="B142" s="75"/>
      <c r="C142" s="86">
        <v>2.35E-2</v>
      </c>
      <c r="E142" s="67"/>
      <c r="F142" s="73"/>
      <c r="G142" s="69"/>
      <c r="H142" s="67"/>
      <c r="I142" s="67"/>
      <c r="J142" s="73"/>
      <c r="K142" s="69"/>
      <c r="L142" s="34"/>
    </row>
    <row r="143" spans="1:14" ht="12.75" x14ac:dyDescent="0.2">
      <c r="A143" s="62" t="s">
        <v>58</v>
      </c>
      <c r="C143" s="87">
        <f>ROUND((+C138+C139)/(1-C142)+(C140+C141),4)-C138-C139</f>
        <v>0.14159999999999978</v>
      </c>
      <c r="E143" s="67"/>
      <c r="F143" s="67"/>
      <c r="G143" s="68"/>
      <c r="H143" s="67"/>
      <c r="I143" s="67"/>
      <c r="J143" s="67"/>
      <c r="K143" s="68"/>
      <c r="L143" s="34"/>
    </row>
    <row r="144" spans="1:14" ht="13.5" thickBot="1" x14ac:dyDescent="0.25">
      <c r="C144" s="81">
        <f>SUM(C143,C138:C139)</f>
        <v>4.5091000000000001</v>
      </c>
      <c r="D144" s="62" t="s">
        <v>90</v>
      </c>
      <c r="E144" s="67"/>
      <c r="F144" s="67"/>
      <c r="G144" s="67"/>
      <c r="H144" s="67"/>
      <c r="I144" s="67"/>
      <c r="J144" s="67"/>
      <c r="K144" s="67"/>
      <c r="L144" s="34"/>
      <c r="M144" s="63"/>
      <c r="N144" s="64"/>
    </row>
    <row r="145" spans="1:14" ht="13.5" thickTop="1" x14ac:dyDescent="0.2">
      <c r="B145" s="25"/>
      <c r="C145" s="64"/>
      <c r="G145" s="63"/>
      <c r="H145" s="74"/>
    </row>
    <row r="146" spans="1:14" ht="12.75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</row>
    <row r="147" spans="1:14" ht="12.75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</row>
    <row r="148" spans="1:14" x14ac:dyDescent="0.2">
      <c r="A148" s="62" t="s">
        <v>75</v>
      </c>
      <c r="I148" s="62" t="s">
        <v>76</v>
      </c>
    </row>
    <row r="149" spans="1:14" ht="12.75" x14ac:dyDescent="0.2">
      <c r="A149" s="62" t="s">
        <v>54</v>
      </c>
      <c r="B149" s="62" t="s">
        <v>77</v>
      </c>
      <c r="C149" s="64">
        <v>4.37</v>
      </c>
      <c r="I149" s="62" t="s">
        <v>54</v>
      </c>
      <c r="J149" s="62" t="s">
        <v>77</v>
      </c>
      <c r="K149" s="64">
        <v>4.37</v>
      </c>
      <c r="L149" s="25"/>
    </row>
    <row r="150" spans="1:14" ht="12.75" x14ac:dyDescent="0.2">
      <c r="A150" s="62" t="s">
        <v>60</v>
      </c>
      <c r="C150" s="64">
        <v>1.7500000000000002E-2</v>
      </c>
      <c r="K150" s="64">
        <v>1.7500000000000002E-2</v>
      </c>
      <c r="L150" s="25"/>
    </row>
    <row r="151" spans="1:14" ht="12.75" x14ac:dyDescent="0.2">
      <c r="A151" s="62" t="s">
        <v>55</v>
      </c>
      <c r="B151" s="25"/>
      <c r="C151" s="64">
        <v>1.15E-2</v>
      </c>
      <c r="I151" s="62" t="s">
        <v>55</v>
      </c>
      <c r="J151" s="25"/>
      <c r="K151" s="64">
        <v>2.3E-3</v>
      </c>
      <c r="L151" s="25"/>
    </row>
    <row r="152" spans="1:14" ht="12.75" x14ac:dyDescent="0.2">
      <c r="A152" s="62" t="s">
        <v>56</v>
      </c>
      <c r="B152" s="25"/>
      <c r="C152" s="64">
        <v>9.4000000000000004E-3</v>
      </c>
      <c r="D152" s="62" t="s">
        <v>78</v>
      </c>
      <c r="I152" s="62" t="s">
        <v>56</v>
      </c>
      <c r="J152" s="25"/>
      <c r="K152" s="64">
        <v>9.4000000000000004E-3</v>
      </c>
      <c r="L152" s="62" t="s">
        <v>78</v>
      </c>
    </row>
    <row r="153" spans="1:14" ht="12.75" x14ac:dyDescent="0.2">
      <c r="A153" s="62" t="s">
        <v>57</v>
      </c>
      <c r="B153" s="75"/>
      <c r="C153" s="86">
        <v>1.9E-2</v>
      </c>
      <c r="I153" s="62" t="s">
        <v>57</v>
      </c>
      <c r="J153" s="75"/>
      <c r="K153" s="86">
        <v>1.9E-2</v>
      </c>
      <c r="L153" s="25"/>
    </row>
    <row r="154" spans="1:14" ht="12.75" x14ac:dyDescent="0.2">
      <c r="A154" s="62" t="s">
        <v>58</v>
      </c>
      <c r="C154" s="87">
        <f>ROUND((+C149+C150)/(1-C153)+(C151+C152),4)-C149-C150</f>
        <v>0.10590000000000017</v>
      </c>
      <c r="I154" s="62" t="s">
        <v>58</v>
      </c>
      <c r="K154" s="87">
        <f>ROUND((+K149+K150)/(1-K153)+(K151+K152),4)-K149-K150</f>
        <v>9.67000000000003E-2</v>
      </c>
      <c r="L154" s="25"/>
    </row>
    <row r="155" spans="1:14" ht="13.5" thickBot="1" x14ac:dyDescent="0.25">
      <c r="A155" s="62" t="s">
        <v>59</v>
      </c>
      <c r="C155" s="81">
        <f>SUM(C154,C149:C150)</f>
        <v>4.4934000000000003</v>
      </c>
      <c r="D155" s="62" t="s">
        <v>91</v>
      </c>
      <c r="I155" s="67" t="s">
        <v>59</v>
      </c>
      <c r="J155" s="67"/>
      <c r="K155" s="81">
        <f>SUM(K154,K149:K150)</f>
        <v>4.4842000000000004</v>
      </c>
      <c r="L155" s="25" t="s">
        <v>85</v>
      </c>
      <c r="M155" s="63"/>
      <c r="N155" s="64"/>
    </row>
    <row r="156" spans="1:14" ht="13.5" thickTop="1" x14ac:dyDescent="0.2">
      <c r="B156" s="25"/>
      <c r="C156" s="64"/>
      <c r="G156" s="63"/>
      <c r="H156" s="74"/>
    </row>
    <row r="157" spans="1:14" ht="12.75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</row>
    <row r="158" spans="1:14" x14ac:dyDescent="0.2">
      <c r="A158" s="62" t="s">
        <v>79</v>
      </c>
    </row>
    <row r="159" spans="1:14" x14ac:dyDescent="0.2">
      <c r="A159" s="62" t="s">
        <v>54</v>
      </c>
      <c r="B159" s="62" t="s">
        <v>77</v>
      </c>
      <c r="C159" s="64">
        <v>4.37</v>
      </c>
      <c r="D159" s="62" t="s">
        <v>80</v>
      </c>
    </row>
    <row r="160" spans="1:14" ht="12.75" x14ac:dyDescent="0.2">
      <c r="A160" s="62" t="s">
        <v>55</v>
      </c>
      <c r="B160" s="25"/>
      <c r="C160" s="64">
        <v>2.0299999999999999E-2</v>
      </c>
    </row>
    <row r="161" spans="1:4" ht="12.75" x14ac:dyDescent="0.2">
      <c r="A161" s="62" t="s">
        <v>56</v>
      </c>
      <c r="B161" s="25"/>
      <c r="C161" s="64">
        <v>2.2499999999999999E-2</v>
      </c>
    </row>
    <row r="162" spans="1:4" x14ac:dyDescent="0.2">
      <c r="A162" s="62" t="s">
        <v>57</v>
      </c>
      <c r="B162" s="75"/>
      <c r="C162" s="86">
        <v>3.4299999999999997E-2</v>
      </c>
    </row>
    <row r="163" spans="1:4" x14ac:dyDescent="0.2">
      <c r="A163" s="62" t="s">
        <v>58</v>
      </c>
      <c r="C163" s="87">
        <v>0.14280000000000026</v>
      </c>
    </row>
    <row r="164" spans="1:4" x14ac:dyDescent="0.2">
      <c r="A164" s="62" t="s">
        <v>81</v>
      </c>
      <c r="C164" s="90">
        <v>0.27</v>
      </c>
    </row>
    <row r="165" spans="1:4" ht="12.75" thickBot="1" x14ac:dyDescent="0.25">
      <c r="A165" s="62" t="s">
        <v>59</v>
      </c>
      <c r="C165" s="81">
        <v>3.0428000000000002</v>
      </c>
      <c r="D165" s="62" t="s">
        <v>82</v>
      </c>
    </row>
    <row r="166" spans="1:4" ht="12.75" thickTop="1" x14ac:dyDescent="0.2">
      <c r="D166" s="62" t="s">
        <v>83</v>
      </c>
    </row>
    <row r="167" spans="1:4" x14ac:dyDescent="0.2">
      <c r="D167" s="62" t="s">
        <v>84</v>
      </c>
    </row>
    <row r="171" spans="1:4" x14ac:dyDescent="0.2">
      <c r="A171" s="62" t="s">
        <v>94</v>
      </c>
    </row>
    <row r="172" spans="1:4" x14ac:dyDescent="0.2">
      <c r="A172" s="62" t="s">
        <v>54</v>
      </c>
      <c r="B172" s="62" t="s">
        <v>46</v>
      </c>
      <c r="C172" s="64">
        <v>4.3600000000000003</v>
      </c>
    </row>
    <row r="173" spans="1:4" x14ac:dyDescent="0.2">
      <c r="C173" s="64">
        <v>7.4999999999999997E-3</v>
      </c>
    </row>
    <row r="174" spans="1:4" ht="12.75" x14ac:dyDescent="0.2">
      <c r="A174" s="62" t="s">
        <v>55</v>
      </c>
      <c r="B174" s="25"/>
      <c r="C174" s="64">
        <v>2.2800000000000001E-2</v>
      </c>
    </row>
    <row r="175" spans="1:4" ht="12.75" x14ac:dyDescent="0.2">
      <c r="A175" s="62" t="s">
        <v>56</v>
      </c>
      <c r="B175" s="25"/>
      <c r="C175" s="64">
        <v>2.2499999999999999E-2</v>
      </c>
    </row>
    <row r="176" spans="1:4" x14ac:dyDescent="0.2">
      <c r="A176" s="62" t="s">
        <v>57</v>
      </c>
      <c r="B176" s="75"/>
      <c r="C176" s="86">
        <v>3.8800000000000001E-2</v>
      </c>
    </row>
    <row r="177" spans="1:4" x14ac:dyDescent="0.2">
      <c r="A177" s="62" t="s">
        <v>58</v>
      </c>
      <c r="C177" s="87">
        <f>ROUND((+C172+C173)/(1-C176)+(C174+C175),4)-C172-C173</f>
        <v>0.22159999999999985</v>
      </c>
    </row>
    <row r="178" spans="1:4" ht="12.75" thickBot="1" x14ac:dyDescent="0.25">
      <c r="A178" s="62" t="s">
        <v>59</v>
      </c>
      <c r="C178" s="81">
        <f>SUM(C177,C172:C173)</f>
        <v>4.5891000000000002</v>
      </c>
      <c r="D178" s="62" t="s">
        <v>95</v>
      </c>
    </row>
    <row r="179" spans="1:4" ht="12.75" thickTop="1" x14ac:dyDescent="0.2"/>
    <row r="185" spans="1:4" x14ac:dyDescent="0.2">
      <c r="A185" s="66" t="s">
        <v>43</v>
      </c>
    </row>
    <row r="186" spans="1:4" x14ac:dyDescent="0.2">
      <c r="A186" s="62" t="s">
        <v>54</v>
      </c>
      <c r="B186" s="62" t="s">
        <v>96</v>
      </c>
      <c r="C186" s="64">
        <v>4.33</v>
      </c>
    </row>
    <row r="187" spans="1:4" x14ac:dyDescent="0.2">
      <c r="A187" s="62" t="s">
        <v>60</v>
      </c>
      <c r="C187" s="64">
        <v>-0.01</v>
      </c>
    </row>
    <row r="188" spans="1:4" x14ac:dyDescent="0.2">
      <c r="A188" s="62" t="s">
        <v>55</v>
      </c>
      <c r="C188" s="64">
        <v>3.2300000000000002E-2</v>
      </c>
    </row>
    <row r="189" spans="1:4" x14ac:dyDescent="0.2">
      <c r="A189" s="62" t="s">
        <v>56</v>
      </c>
      <c r="C189" s="64">
        <v>9.4000000000000004E-3</v>
      </c>
    </row>
    <row r="190" spans="1:4" x14ac:dyDescent="0.2">
      <c r="A190" s="62" t="s">
        <v>57</v>
      </c>
      <c r="C190" s="86">
        <v>2.6800000000000001E-2</v>
      </c>
    </row>
    <row r="191" spans="1:4" x14ac:dyDescent="0.2">
      <c r="A191" s="62" t="s">
        <v>58</v>
      </c>
      <c r="C191" s="87">
        <f>ROUND((+C186+C187)/(1-C190)+(C188+C189),4)-C186-C187</f>
        <v>0.16069999999999962</v>
      </c>
    </row>
    <row r="192" spans="1:4" ht="12.75" thickBot="1" x14ac:dyDescent="0.25">
      <c r="A192" s="62" t="s">
        <v>59</v>
      </c>
      <c r="C192" s="81">
        <f>SUM(C191,C186:C187)</f>
        <v>4.4806999999999997</v>
      </c>
      <c r="D192" s="62" t="s">
        <v>3</v>
      </c>
    </row>
    <row r="193" spans="1:4" ht="12.75" thickTop="1" x14ac:dyDescent="0.2"/>
    <row r="195" spans="1:4" x14ac:dyDescent="0.2">
      <c r="A195" s="66" t="s">
        <v>86</v>
      </c>
    </row>
    <row r="196" spans="1:4" x14ac:dyDescent="0.2">
      <c r="A196" s="62" t="s">
        <v>54</v>
      </c>
      <c r="B196" s="62" t="s">
        <v>97</v>
      </c>
      <c r="C196" s="64">
        <v>4.3499999999999996</v>
      </c>
    </row>
    <row r="197" spans="1:4" x14ac:dyDescent="0.2">
      <c r="A197" s="62" t="s">
        <v>60</v>
      </c>
      <c r="C197" s="64">
        <v>7.4999999999999997E-3</v>
      </c>
    </row>
    <row r="198" spans="1:4" x14ac:dyDescent="0.2">
      <c r="A198" s="62" t="s">
        <v>55</v>
      </c>
      <c r="C198" s="64">
        <v>2.1000000000000001E-2</v>
      </c>
    </row>
    <row r="199" spans="1:4" x14ac:dyDescent="0.2">
      <c r="A199" s="62" t="s">
        <v>56</v>
      </c>
      <c r="C199" s="64">
        <f>0.0022+0.0072</f>
        <v>9.4000000000000004E-3</v>
      </c>
    </row>
    <row r="200" spans="1:4" x14ac:dyDescent="0.2">
      <c r="A200" s="62" t="s">
        <v>57</v>
      </c>
      <c r="C200" s="86">
        <v>2.5999999999999999E-2</v>
      </c>
    </row>
    <row r="201" spans="1:4" x14ac:dyDescent="0.2">
      <c r="A201" s="62" t="s">
        <v>58</v>
      </c>
      <c r="C201" s="87">
        <f>ROUND((+C196+C197)/(1-C200)-(C196+C197)+C198+C199,4)</f>
        <v>0.1467</v>
      </c>
    </row>
    <row r="202" spans="1:4" ht="12.75" thickBot="1" x14ac:dyDescent="0.25">
      <c r="A202" s="62" t="s">
        <v>59</v>
      </c>
      <c r="C202" s="81">
        <f>SUM(C201,C196:C197)</f>
        <v>4.5042</v>
      </c>
      <c r="D202" s="62" t="s">
        <v>98</v>
      </c>
    </row>
    <row r="203" spans="1:4" ht="12.75" thickTop="1" x14ac:dyDescent="0.2"/>
  </sheetData>
  <pageMargins left="0.75" right="0.75" top="1" bottom="1" header="0.5" footer="0.5"/>
  <pageSetup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topLeftCell="A8" workbookViewId="0">
      <selection activeCell="P20" sqref="P20"/>
    </sheetView>
  </sheetViews>
  <sheetFormatPr defaultRowHeight="12.75" x14ac:dyDescent="0.2"/>
  <cols>
    <col min="1" max="1" width="10" style="25" customWidth="1"/>
    <col min="2" max="2" width="9.140625" style="25"/>
    <col min="3" max="3" width="10.5703125" style="25" customWidth="1"/>
    <col min="4" max="4" width="9.28515625" style="25" customWidth="1"/>
    <col min="5" max="5" width="9.5703125" style="25" customWidth="1"/>
    <col min="6" max="6" width="12.42578125" style="27" customWidth="1"/>
    <col min="7" max="7" width="14" style="27" customWidth="1"/>
    <col min="8" max="8" width="10.7109375" style="25" customWidth="1"/>
    <col min="9" max="9" width="7.7109375" style="25" customWidth="1"/>
    <col min="10" max="13" width="9.140625" style="25" hidden="1" customWidth="1"/>
    <col min="14" max="14" width="9.140625" style="46" hidden="1" customWidth="1"/>
    <col min="15" max="15" width="9.140625" style="25" hidden="1" customWidth="1"/>
    <col min="16" max="16" width="11.7109375" style="25" customWidth="1"/>
    <col min="17" max="17" width="9.42578125" style="25" customWidth="1"/>
    <col min="18" max="18" width="12.28515625" style="25" customWidth="1"/>
    <col min="19" max="19" width="10.7109375" style="25" customWidth="1"/>
    <col min="20" max="20" width="11.855468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1:24" x14ac:dyDescent="0.2">
      <c r="A1" s="41" t="s">
        <v>101</v>
      </c>
      <c r="B1" s="3"/>
      <c r="C1" s="3"/>
      <c r="D1" s="4"/>
      <c r="E1" s="4"/>
      <c r="F1" s="1"/>
      <c r="G1" s="1"/>
      <c r="H1" s="3" t="s">
        <v>19</v>
      </c>
      <c r="I1" s="7">
        <v>31</v>
      </c>
      <c r="J1" s="47"/>
      <c r="K1" s="5"/>
      <c r="L1" s="5"/>
      <c r="M1" s="5"/>
      <c r="N1" s="42"/>
      <c r="O1" s="5"/>
      <c r="P1" s="24"/>
      <c r="Q1" s="2"/>
      <c r="R1" s="28"/>
      <c r="S1" s="28"/>
      <c r="T1" s="28"/>
      <c r="U1" s="51"/>
      <c r="V1" s="57"/>
      <c r="W1" s="35"/>
      <c r="X1" s="35"/>
    </row>
    <row r="2" spans="1:24" x14ac:dyDescent="0.2">
      <c r="A2" s="1" t="s">
        <v>24</v>
      </c>
      <c r="B2" s="1"/>
      <c r="C2" s="1"/>
      <c r="D2" s="4"/>
      <c r="E2" s="4"/>
      <c r="F2" s="1"/>
      <c r="G2" s="1"/>
      <c r="H2" s="3"/>
      <c r="I2" s="7"/>
      <c r="J2" s="47"/>
      <c r="K2" s="5"/>
      <c r="L2" s="5"/>
      <c r="M2" s="5"/>
      <c r="N2" s="42"/>
      <c r="O2" s="5"/>
      <c r="P2" s="24"/>
      <c r="Q2" s="2"/>
      <c r="R2" s="28"/>
      <c r="S2" s="28"/>
      <c r="T2" s="28"/>
      <c r="U2" s="51"/>
      <c r="V2" s="57"/>
      <c r="W2" s="35"/>
      <c r="X2" s="35"/>
    </row>
    <row r="3" spans="1:24" x14ac:dyDescent="0.2">
      <c r="A3" s="1" t="s">
        <v>25</v>
      </c>
      <c r="B3" s="1"/>
      <c r="C3" s="1"/>
      <c r="D3" s="4"/>
      <c r="E3" s="4"/>
      <c r="F3" s="6" t="s">
        <v>3</v>
      </c>
      <c r="G3" s="1" t="s">
        <v>3</v>
      </c>
      <c r="H3" s="2" t="s">
        <v>3</v>
      </c>
      <c r="I3" s="8"/>
      <c r="J3" s="31" t="s">
        <v>3</v>
      </c>
      <c r="K3" s="5"/>
      <c r="L3" s="31" t="s">
        <v>3</v>
      </c>
      <c r="M3" s="5"/>
      <c r="N3" s="42"/>
      <c r="O3" s="31" t="s">
        <v>3</v>
      </c>
      <c r="P3" s="24"/>
      <c r="Q3" s="2"/>
      <c r="R3" s="28"/>
      <c r="S3" s="28"/>
      <c r="T3" s="28"/>
      <c r="U3" s="51"/>
      <c r="V3" s="57"/>
      <c r="W3" s="35"/>
      <c r="X3" s="35"/>
    </row>
    <row r="4" spans="1:24" x14ac:dyDescent="0.2">
      <c r="A4" s="1"/>
      <c r="B4" s="3"/>
      <c r="C4" s="3"/>
      <c r="D4" s="4"/>
      <c r="E4" s="4"/>
      <c r="F4" s="32"/>
      <c r="G4" s="1"/>
      <c r="H4" s="32"/>
      <c r="I4" s="8"/>
      <c r="J4" s="32"/>
      <c r="K4" s="5"/>
      <c r="L4" s="32"/>
      <c r="M4" s="2"/>
      <c r="N4" s="42"/>
      <c r="O4" s="2"/>
      <c r="P4" s="24"/>
      <c r="Q4" s="2"/>
      <c r="R4" s="28"/>
      <c r="S4" s="33"/>
      <c r="T4" s="33"/>
      <c r="U4" s="52"/>
      <c r="V4" s="57"/>
      <c r="W4" s="35"/>
      <c r="X4" s="35"/>
    </row>
    <row r="5" spans="1:24" x14ac:dyDescent="0.2">
      <c r="A5" s="1" t="s">
        <v>30</v>
      </c>
      <c r="B5" s="3"/>
      <c r="C5" s="1"/>
      <c r="D5" s="4"/>
      <c r="E5" s="4"/>
      <c r="F5" s="32"/>
      <c r="G5" s="1"/>
      <c r="H5" s="32"/>
      <c r="I5" s="8"/>
      <c r="J5" s="32"/>
      <c r="K5" s="5"/>
      <c r="L5" s="32"/>
      <c r="M5" s="2"/>
      <c r="N5" s="42"/>
      <c r="O5" s="2"/>
      <c r="P5" s="24"/>
      <c r="Q5" s="2"/>
      <c r="R5" s="28"/>
      <c r="S5" s="33"/>
      <c r="T5" s="33"/>
      <c r="U5" s="52"/>
      <c r="V5" s="57"/>
      <c r="W5" s="35"/>
      <c r="X5" s="35"/>
    </row>
    <row r="6" spans="1:24" x14ac:dyDescent="0.2">
      <c r="A6" s="1"/>
      <c r="B6" s="3" t="s">
        <v>63</v>
      </c>
      <c r="C6" s="3"/>
      <c r="D6" s="4"/>
      <c r="E6" s="4"/>
      <c r="F6" s="32"/>
      <c r="G6" s="1"/>
      <c r="H6" s="32"/>
      <c r="I6" s="8"/>
      <c r="J6" s="32"/>
      <c r="K6" s="5"/>
      <c r="L6" s="32"/>
      <c r="M6" s="2"/>
      <c r="N6" s="42"/>
      <c r="O6" s="2"/>
      <c r="P6" s="24"/>
      <c r="Q6" s="2"/>
      <c r="R6" s="28"/>
      <c r="S6" s="33"/>
      <c r="T6" s="33"/>
      <c r="U6" s="52"/>
      <c r="V6" s="57"/>
      <c r="W6" s="35"/>
      <c r="X6" s="35"/>
    </row>
    <row r="7" spans="1:24" x14ac:dyDescent="0.2">
      <c r="A7" s="1"/>
      <c r="B7" s="3"/>
      <c r="C7" s="3"/>
      <c r="D7" s="4"/>
      <c r="E7" s="4"/>
      <c r="F7" s="32"/>
      <c r="G7" s="1"/>
      <c r="H7" s="32"/>
      <c r="I7" s="8"/>
      <c r="J7" s="32"/>
      <c r="K7" s="5"/>
      <c r="L7" s="32"/>
      <c r="M7" s="2"/>
      <c r="N7" s="42"/>
      <c r="O7" s="2"/>
      <c r="P7" s="24"/>
      <c r="Q7" s="2"/>
      <c r="R7" s="28"/>
      <c r="S7" s="33"/>
      <c r="T7" s="33"/>
      <c r="U7" s="52"/>
      <c r="V7" s="57"/>
      <c r="W7" s="35"/>
      <c r="X7" s="35"/>
    </row>
    <row r="8" spans="1:24" x14ac:dyDescent="0.2">
      <c r="A8" s="1"/>
      <c r="B8" s="3"/>
      <c r="C8" s="3"/>
      <c r="D8" s="4"/>
      <c r="E8" s="4"/>
      <c r="F8" s="32"/>
      <c r="G8" s="1"/>
      <c r="H8" s="32"/>
      <c r="I8" s="8"/>
      <c r="J8" s="32"/>
      <c r="K8" s="5"/>
      <c r="L8" s="32"/>
      <c r="M8" s="2"/>
      <c r="N8" s="42"/>
      <c r="O8" s="2"/>
      <c r="P8" s="24"/>
      <c r="Q8" s="2"/>
      <c r="R8" s="28"/>
      <c r="S8" s="33"/>
      <c r="T8" s="33"/>
      <c r="U8" s="52"/>
      <c r="V8" s="57"/>
      <c r="W8" s="35"/>
      <c r="X8" s="35"/>
    </row>
    <row r="9" spans="1:24" x14ac:dyDescent="0.2">
      <c r="A9" s="1"/>
      <c r="B9" s="3"/>
      <c r="C9" s="3"/>
      <c r="D9" s="4"/>
      <c r="E9" s="4"/>
      <c r="F9" s="32"/>
      <c r="G9" s="1"/>
      <c r="H9" s="32"/>
      <c r="I9" s="8"/>
      <c r="J9" s="32"/>
      <c r="K9" s="5"/>
      <c r="L9" s="32"/>
      <c r="M9" s="2"/>
      <c r="N9" s="42"/>
      <c r="O9" s="2"/>
      <c r="P9" s="24"/>
      <c r="Q9" s="2"/>
      <c r="R9" s="28"/>
      <c r="S9" s="33"/>
      <c r="T9" s="33"/>
      <c r="U9" s="52"/>
      <c r="V9" s="57"/>
      <c r="W9" s="35"/>
      <c r="X9" s="35"/>
    </row>
    <row r="10" spans="1:24" x14ac:dyDescent="0.2">
      <c r="A10" s="1"/>
      <c r="B10" s="3"/>
      <c r="C10" s="3"/>
      <c r="D10" s="4"/>
      <c r="E10" s="4"/>
      <c r="F10" s="32"/>
      <c r="G10" s="1"/>
      <c r="H10" s="32"/>
      <c r="I10" s="8"/>
      <c r="J10" s="32"/>
      <c r="K10" s="5"/>
      <c r="L10" s="32"/>
      <c r="M10" s="2"/>
      <c r="N10" s="42"/>
      <c r="O10" s="2"/>
      <c r="P10" s="24"/>
      <c r="Q10" s="2"/>
      <c r="R10" s="28"/>
      <c r="S10" s="33"/>
      <c r="T10" s="33"/>
      <c r="U10" s="52"/>
      <c r="V10" s="57"/>
      <c r="W10" s="35"/>
      <c r="X10" s="35"/>
    </row>
    <row r="11" spans="1:24" x14ac:dyDescent="0.2">
      <c r="A11" s="16" t="s">
        <v>4</v>
      </c>
      <c r="B11" s="17" t="s">
        <v>5</v>
      </c>
      <c r="C11" s="17" t="s">
        <v>6</v>
      </c>
      <c r="D11" s="18" t="s">
        <v>7</v>
      </c>
      <c r="E11" s="18"/>
      <c r="F11" s="16" t="s">
        <v>8</v>
      </c>
      <c r="G11" s="16" t="s">
        <v>9</v>
      </c>
      <c r="H11" s="17" t="s">
        <v>35</v>
      </c>
      <c r="I11" s="19" t="s">
        <v>10</v>
      </c>
      <c r="J11" s="17" t="s">
        <v>11</v>
      </c>
      <c r="K11" s="17" t="s">
        <v>12</v>
      </c>
      <c r="L11" s="17" t="s">
        <v>13</v>
      </c>
      <c r="M11" s="17" t="s">
        <v>14</v>
      </c>
      <c r="N11" s="43" t="s">
        <v>15</v>
      </c>
      <c r="O11" s="17" t="s">
        <v>16</v>
      </c>
      <c r="P11" s="20" t="s">
        <v>61</v>
      </c>
      <c r="Q11" s="17" t="s">
        <v>17</v>
      </c>
      <c r="R11" s="16" t="s">
        <v>18</v>
      </c>
      <c r="S11" s="21" t="s">
        <v>34</v>
      </c>
      <c r="T11" s="21" t="s">
        <v>33</v>
      </c>
      <c r="U11" s="53" t="s">
        <v>62</v>
      </c>
      <c r="V11" s="58" t="e">
        <f>+#REF!</f>
        <v>#REF!</v>
      </c>
      <c r="W11" s="36"/>
      <c r="X11" s="36"/>
    </row>
    <row r="12" spans="1:24" s="121" customFormat="1" x14ac:dyDescent="0.2">
      <c r="A12" s="111" t="s">
        <v>102</v>
      </c>
      <c r="B12" s="112" t="s">
        <v>26</v>
      </c>
      <c r="C12" s="112" t="s">
        <v>103</v>
      </c>
      <c r="D12" s="113">
        <v>36800</v>
      </c>
      <c r="E12" s="113" t="s">
        <v>104</v>
      </c>
      <c r="F12" s="111" t="s">
        <v>27</v>
      </c>
      <c r="G12" s="111" t="s">
        <v>22</v>
      </c>
      <c r="H12" s="112" t="s">
        <v>42</v>
      </c>
      <c r="I12" s="114">
        <f>3.145/I$1</f>
        <v>0.10145161290322581</v>
      </c>
      <c r="J12" s="115">
        <v>1.32E-2</v>
      </c>
      <c r="K12" s="115">
        <v>2.2000000000000001E-3</v>
      </c>
      <c r="L12" s="115">
        <v>0</v>
      </c>
      <c r="M12" s="115">
        <v>0</v>
      </c>
      <c r="N12" s="116">
        <v>2.1160000000000002E-2</v>
      </c>
      <c r="O12" s="115">
        <f>SUM(I12:M12)</f>
        <v>0.11685161290322581</v>
      </c>
      <c r="P12" s="117">
        <v>38070</v>
      </c>
      <c r="Q12" s="112">
        <v>51479</v>
      </c>
      <c r="R12" s="111"/>
      <c r="S12" s="118">
        <f>I12*I$1*Q12</f>
        <v>161901.45499999999</v>
      </c>
      <c r="T12" s="118"/>
      <c r="U12" s="119" t="s">
        <v>153</v>
      </c>
      <c r="V12" s="111"/>
      <c r="W12" s="120"/>
      <c r="X12" s="120"/>
    </row>
    <row r="14" spans="1:24" s="61" customFormat="1" x14ac:dyDescent="0.2">
      <c r="A14" s="1"/>
      <c r="B14" s="3"/>
      <c r="C14" s="3"/>
      <c r="D14" s="4"/>
      <c r="E14" s="4"/>
      <c r="F14" s="1"/>
      <c r="G14" s="1"/>
      <c r="H14" s="3"/>
      <c r="I14" s="8"/>
      <c r="J14" s="5"/>
      <c r="K14" s="5"/>
      <c r="L14" s="5"/>
      <c r="M14" s="5"/>
      <c r="N14" s="42"/>
      <c r="O14" s="5"/>
      <c r="P14" s="24"/>
      <c r="Q14" s="3"/>
      <c r="R14" s="1"/>
      <c r="S14" s="9"/>
      <c r="T14" s="9"/>
      <c r="U14" s="55"/>
      <c r="V14" s="1"/>
      <c r="W14" s="36"/>
      <c r="X14" s="36"/>
    </row>
    <row r="15" spans="1:24" x14ac:dyDescent="0.2">
      <c r="A15" s="1"/>
      <c r="B15" s="3"/>
      <c r="C15" s="3"/>
      <c r="D15" s="4"/>
      <c r="E15" s="4"/>
      <c r="F15" s="1"/>
      <c r="G15" s="1"/>
      <c r="H15" s="3"/>
      <c r="I15" s="8"/>
      <c r="J15" s="5"/>
      <c r="K15" s="23"/>
      <c r="L15" s="5"/>
      <c r="M15" s="5"/>
      <c r="N15" s="42"/>
      <c r="O15" s="5"/>
      <c r="P15" s="24"/>
      <c r="Q15" s="2">
        <f>SUM(Q12:Q13)</f>
        <v>51479</v>
      </c>
      <c r="R15" s="3"/>
      <c r="S15" s="9">
        <f>SUM(S12:S14)</f>
        <v>161901.45499999999</v>
      </c>
      <c r="T15" s="9"/>
      <c r="U15" s="55"/>
      <c r="V15" s="1"/>
      <c r="W15" s="36"/>
      <c r="X15" s="36"/>
    </row>
    <row r="16" spans="1:24" x14ac:dyDescent="0.2">
      <c r="A16" s="16" t="s">
        <v>4</v>
      </c>
      <c r="B16" s="17" t="s">
        <v>5</v>
      </c>
      <c r="C16" s="17" t="s">
        <v>6</v>
      </c>
      <c r="D16" s="18" t="s">
        <v>7</v>
      </c>
      <c r="E16" s="18"/>
      <c r="F16" s="16" t="s">
        <v>8</v>
      </c>
      <c r="G16" s="16" t="s">
        <v>9</v>
      </c>
      <c r="H16" s="17" t="s">
        <v>35</v>
      </c>
      <c r="I16" s="19" t="s">
        <v>10</v>
      </c>
      <c r="J16" s="17" t="s">
        <v>11</v>
      </c>
      <c r="K16" s="17" t="s">
        <v>12</v>
      </c>
      <c r="L16" s="17" t="s">
        <v>13</v>
      </c>
      <c r="M16" s="17" t="s">
        <v>14</v>
      </c>
      <c r="N16" s="43" t="s">
        <v>15</v>
      </c>
      <c r="O16" s="17" t="s">
        <v>16</v>
      </c>
      <c r="P16" s="20" t="s">
        <v>61</v>
      </c>
      <c r="Q16" s="17" t="s">
        <v>17</v>
      </c>
      <c r="R16" s="16" t="s">
        <v>18</v>
      </c>
      <c r="S16" s="21" t="s">
        <v>34</v>
      </c>
      <c r="T16" s="21" t="s">
        <v>33</v>
      </c>
      <c r="U16" s="53" t="s">
        <v>62</v>
      </c>
      <c r="V16" s="58" t="e">
        <f>+#REF!</f>
        <v>#REF!</v>
      </c>
      <c r="W16" s="36"/>
      <c r="X16" s="36"/>
    </row>
    <row r="17" spans="1:24" s="121" customFormat="1" x14ac:dyDescent="0.2">
      <c r="A17" s="111" t="s">
        <v>102</v>
      </c>
      <c r="B17" s="112" t="s">
        <v>2</v>
      </c>
      <c r="C17" s="112" t="s">
        <v>103</v>
      </c>
      <c r="D17" s="113">
        <v>36800</v>
      </c>
      <c r="E17" s="113" t="s">
        <v>104</v>
      </c>
      <c r="F17" s="111" t="s">
        <v>134</v>
      </c>
      <c r="G17" s="111" t="s">
        <v>150</v>
      </c>
      <c r="H17" s="112" t="s">
        <v>41</v>
      </c>
      <c r="I17" s="114">
        <f t="shared" ref="I17:I22" si="0">5.17/+I$1</f>
        <v>0.1667741935483871</v>
      </c>
      <c r="J17" s="115">
        <v>7.6300000000000007E-2</v>
      </c>
      <c r="K17" s="115">
        <v>2.2000000000000001E-3</v>
      </c>
      <c r="L17" s="115">
        <v>7.1999999999999998E-3</v>
      </c>
      <c r="M17" s="115">
        <v>0</v>
      </c>
      <c r="N17" s="116">
        <v>2.7900000000000001E-2</v>
      </c>
      <c r="O17" s="115">
        <f>SUM(I17:M17)</f>
        <v>0.25247419354838713</v>
      </c>
      <c r="P17" s="117">
        <v>47</v>
      </c>
      <c r="Q17" s="112">
        <v>2683</v>
      </c>
      <c r="R17" s="111"/>
      <c r="S17" s="118">
        <f>I17*I$1*Q17</f>
        <v>13871.11</v>
      </c>
      <c r="T17" s="118"/>
      <c r="U17" s="119"/>
      <c r="V17" s="111"/>
      <c r="W17" s="120"/>
      <c r="X17" s="120"/>
    </row>
    <row r="18" spans="1:24" s="121" customFormat="1" x14ac:dyDescent="0.2">
      <c r="A18" s="111" t="s">
        <v>102</v>
      </c>
      <c r="B18" s="112" t="s">
        <v>2</v>
      </c>
      <c r="C18" s="112" t="s">
        <v>103</v>
      </c>
      <c r="D18" s="113">
        <v>36800</v>
      </c>
      <c r="E18" s="113" t="s">
        <v>104</v>
      </c>
      <c r="F18" s="111" t="s">
        <v>134</v>
      </c>
      <c r="G18" s="111" t="s">
        <v>151</v>
      </c>
      <c r="H18" s="112" t="s">
        <v>41</v>
      </c>
      <c r="I18" s="114">
        <f t="shared" si="0"/>
        <v>0.1667741935483871</v>
      </c>
      <c r="J18" s="115">
        <v>7.6300000000000007E-2</v>
      </c>
      <c r="K18" s="115">
        <v>2.2000000000000001E-3</v>
      </c>
      <c r="L18" s="115">
        <v>7.1999999999999998E-3</v>
      </c>
      <c r="M18" s="115">
        <v>0</v>
      </c>
      <c r="N18" s="116">
        <v>2.7900000000000001E-2</v>
      </c>
      <c r="O18" s="115">
        <f>SUM(I18:M18)</f>
        <v>0.25247419354838713</v>
      </c>
      <c r="P18" s="117">
        <v>47</v>
      </c>
      <c r="Q18" s="112">
        <v>2914</v>
      </c>
      <c r="R18" s="111"/>
      <c r="S18" s="118">
        <f>I18*I$1*Q18</f>
        <v>15065.38</v>
      </c>
      <c r="T18" s="118"/>
      <c r="U18" s="119"/>
      <c r="V18" s="111"/>
      <c r="W18" s="120"/>
      <c r="X18" s="120"/>
    </row>
    <row r="19" spans="1:24" s="121" customFormat="1" x14ac:dyDescent="0.2">
      <c r="A19" s="111" t="s">
        <v>102</v>
      </c>
      <c r="B19" s="112" t="s">
        <v>2</v>
      </c>
      <c r="C19" s="112" t="s">
        <v>103</v>
      </c>
      <c r="D19" s="113">
        <v>36800</v>
      </c>
      <c r="E19" s="113" t="s">
        <v>104</v>
      </c>
      <c r="F19" s="111" t="s">
        <v>134</v>
      </c>
      <c r="G19" s="111" t="s">
        <v>152</v>
      </c>
      <c r="H19" s="112" t="s">
        <v>41</v>
      </c>
      <c r="I19" s="114">
        <f t="shared" si="0"/>
        <v>0.1667741935483871</v>
      </c>
      <c r="J19" s="115">
        <v>7.6300000000000007E-2</v>
      </c>
      <c r="K19" s="115">
        <v>2.2000000000000001E-3</v>
      </c>
      <c r="L19" s="115">
        <v>7.1999999999999998E-3</v>
      </c>
      <c r="M19" s="115">
        <v>0</v>
      </c>
      <c r="N19" s="116">
        <v>2.7900000000000001E-2</v>
      </c>
      <c r="O19" s="115">
        <f>SUM(I19:M19)</f>
        <v>0.25247419354838713</v>
      </c>
      <c r="P19" s="117">
        <v>47</v>
      </c>
      <c r="Q19" s="112">
        <v>6450</v>
      </c>
      <c r="R19" s="111"/>
      <c r="S19" s="118">
        <f>I19*I$1*Q19</f>
        <v>33346.5</v>
      </c>
      <c r="T19" s="118"/>
      <c r="U19" s="119"/>
      <c r="V19" s="111"/>
      <c r="W19" s="120"/>
      <c r="X19" s="120"/>
    </row>
    <row r="20" spans="1:24" s="121" customFormat="1" x14ac:dyDescent="0.2">
      <c r="A20" s="111" t="s">
        <v>102</v>
      </c>
      <c r="B20" s="112" t="s">
        <v>2</v>
      </c>
      <c r="C20" s="112" t="s">
        <v>103</v>
      </c>
      <c r="D20" s="113">
        <v>36800</v>
      </c>
      <c r="E20" s="113" t="s">
        <v>104</v>
      </c>
      <c r="F20" s="111" t="s">
        <v>52</v>
      </c>
      <c r="G20" s="111" t="s">
        <v>152</v>
      </c>
      <c r="H20" s="112" t="s">
        <v>41</v>
      </c>
      <c r="I20" s="114">
        <f t="shared" si="0"/>
        <v>0.1667741935483871</v>
      </c>
      <c r="J20" s="115">
        <v>7.6300000000000007E-2</v>
      </c>
      <c r="K20" s="115">
        <v>2.2000000000000001E-3</v>
      </c>
      <c r="L20" s="115">
        <v>7.1999999999999998E-3</v>
      </c>
      <c r="M20" s="115">
        <v>0</v>
      </c>
      <c r="N20" s="116">
        <v>2.7900000000000001E-2</v>
      </c>
      <c r="O20" s="115">
        <f>SUM(I20:M20)</f>
        <v>0.25247419354838713</v>
      </c>
      <c r="P20" s="117">
        <v>47</v>
      </c>
      <c r="Q20" s="112">
        <f>5711+4212</f>
        <v>9923</v>
      </c>
      <c r="R20" s="111"/>
      <c r="S20" s="118">
        <f>I20*I$1*Q20</f>
        <v>51301.909999999996</v>
      </c>
      <c r="T20" s="118"/>
      <c r="U20" s="119"/>
      <c r="V20" s="111"/>
      <c r="W20" s="120"/>
      <c r="X20" s="120"/>
    </row>
    <row r="21" spans="1:24" s="121" customFormat="1" x14ac:dyDescent="0.2">
      <c r="A21" s="111" t="s">
        <v>102</v>
      </c>
      <c r="B21" s="112" t="s">
        <v>2</v>
      </c>
      <c r="C21" s="112" t="s">
        <v>103</v>
      </c>
      <c r="D21" s="113">
        <v>36770</v>
      </c>
      <c r="E21" s="113">
        <v>36829</v>
      </c>
      <c r="F21" s="111" t="s">
        <v>134</v>
      </c>
      <c r="G21" s="111" t="s">
        <v>152</v>
      </c>
      <c r="H21" s="112" t="s">
        <v>41</v>
      </c>
      <c r="I21" s="114">
        <f t="shared" si="0"/>
        <v>0.1667741935483871</v>
      </c>
      <c r="J21" s="115">
        <v>7.6300000000000007E-2</v>
      </c>
      <c r="K21" s="115">
        <v>2.2000000000000001E-3</v>
      </c>
      <c r="L21" s="115">
        <v>7.1999999999999998E-3</v>
      </c>
      <c r="M21" s="115">
        <v>0</v>
      </c>
      <c r="N21" s="116">
        <v>2.7900000000000001E-2</v>
      </c>
      <c r="O21" s="115">
        <f>SUM(I21:M21)</f>
        <v>0.25247419354838713</v>
      </c>
      <c r="P21" s="117">
        <v>21881</v>
      </c>
      <c r="Q21" s="112">
        <v>4599</v>
      </c>
      <c r="R21" s="111"/>
      <c r="S21" s="118">
        <f>I21*I$1*Q21</f>
        <v>23776.829999999998</v>
      </c>
      <c r="T21" s="118"/>
      <c r="U21" s="119"/>
      <c r="V21" s="111"/>
      <c r="W21" s="120"/>
      <c r="X21" s="120"/>
    </row>
    <row r="22" spans="1:24" s="121" customFormat="1" x14ac:dyDescent="0.2">
      <c r="A22" s="111" t="s">
        <v>102</v>
      </c>
      <c r="B22" s="112" t="s">
        <v>2</v>
      </c>
      <c r="C22" s="112" t="s">
        <v>103</v>
      </c>
      <c r="D22" s="113">
        <v>36770</v>
      </c>
      <c r="E22" s="113">
        <v>36830</v>
      </c>
      <c r="F22" s="111" t="s">
        <v>134</v>
      </c>
      <c r="G22" s="111" t="s">
        <v>152</v>
      </c>
      <c r="H22" s="112" t="s">
        <v>41</v>
      </c>
      <c r="I22" s="114">
        <f t="shared" si="0"/>
        <v>0.1667741935483871</v>
      </c>
      <c r="J22" s="115"/>
      <c r="K22" s="115"/>
      <c r="L22" s="115"/>
      <c r="M22" s="115"/>
      <c r="N22" s="116"/>
      <c r="O22" s="115"/>
      <c r="P22" s="117">
        <v>21882</v>
      </c>
      <c r="Q22" s="112">
        <v>518</v>
      </c>
      <c r="R22" s="111"/>
      <c r="S22" s="118">
        <f>I22*Q22</f>
        <v>86.389032258064518</v>
      </c>
      <c r="T22" s="118"/>
      <c r="U22" s="119"/>
      <c r="V22" s="111"/>
      <c r="W22" s="120"/>
      <c r="X22" s="120"/>
    </row>
    <row r="23" spans="1:24" s="124" customFormat="1" x14ac:dyDescent="0.2">
      <c r="A23" s="111"/>
      <c r="B23" s="112"/>
      <c r="C23" s="112"/>
      <c r="D23" s="113"/>
      <c r="E23" s="113"/>
      <c r="F23" s="111"/>
      <c r="G23" s="111"/>
      <c r="H23" s="112"/>
      <c r="I23" s="114"/>
      <c r="J23" s="115"/>
      <c r="K23" s="122"/>
      <c r="L23" s="115"/>
      <c r="M23" s="115"/>
      <c r="N23" s="116"/>
      <c r="O23" s="115"/>
      <c r="P23" s="117"/>
      <c r="Q23" s="123"/>
      <c r="R23" s="112"/>
      <c r="S23" s="118"/>
      <c r="T23" s="118"/>
      <c r="U23" s="119"/>
      <c r="V23" s="111"/>
      <c r="W23" s="120"/>
      <c r="X23" s="120"/>
    </row>
    <row r="24" spans="1:24" x14ac:dyDescent="0.2">
      <c r="A24" s="1"/>
      <c r="B24" s="3"/>
      <c r="C24" s="3"/>
      <c r="D24" s="4"/>
      <c r="E24" s="4"/>
      <c r="F24" s="1"/>
      <c r="G24" s="1"/>
      <c r="H24" s="3"/>
      <c r="I24" s="8"/>
      <c r="J24" s="5"/>
      <c r="K24" s="23"/>
      <c r="L24" s="5"/>
      <c r="M24" s="5"/>
      <c r="N24" s="45"/>
      <c r="O24" s="5"/>
      <c r="P24" s="24"/>
      <c r="Q24" s="3"/>
      <c r="R24" s="3"/>
      <c r="S24" s="70">
        <f>SUM(S17:S23)</f>
        <v>137448.11903225805</v>
      </c>
      <c r="V24" s="29"/>
      <c r="W24" s="37"/>
      <c r="X24" s="37"/>
    </row>
    <row r="25" spans="1:24" x14ac:dyDescent="0.2">
      <c r="A25" s="16" t="s">
        <v>4</v>
      </c>
      <c r="B25" s="17" t="s">
        <v>5</v>
      </c>
      <c r="C25" s="17" t="s">
        <v>6</v>
      </c>
      <c r="D25" s="18" t="s">
        <v>7</v>
      </c>
      <c r="E25" s="18"/>
      <c r="F25" s="16" t="s">
        <v>8</v>
      </c>
      <c r="G25" s="16" t="s">
        <v>9</v>
      </c>
      <c r="H25" s="17" t="s">
        <v>35</v>
      </c>
      <c r="I25" s="19" t="s">
        <v>10</v>
      </c>
      <c r="J25" s="17" t="s">
        <v>11</v>
      </c>
      <c r="K25" s="17" t="s">
        <v>12</v>
      </c>
      <c r="L25" s="17" t="s">
        <v>13</v>
      </c>
      <c r="M25" s="17" t="s">
        <v>14</v>
      </c>
      <c r="N25" s="43" t="s">
        <v>15</v>
      </c>
      <c r="O25" s="17" t="s">
        <v>16</v>
      </c>
      <c r="P25" s="20" t="s">
        <v>61</v>
      </c>
      <c r="Q25" s="17" t="s">
        <v>17</v>
      </c>
      <c r="R25" s="16" t="s">
        <v>18</v>
      </c>
      <c r="S25" s="21" t="s">
        <v>34</v>
      </c>
      <c r="T25" s="21" t="s">
        <v>33</v>
      </c>
      <c r="U25" s="53" t="s">
        <v>62</v>
      </c>
      <c r="V25" s="58">
        <f>+V12</f>
        <v>0</v>
      </c>
      <c r="W25" s="36"/>
      <c r="X25" s="36"/>
    </row>
    <row r="26" spans="1:24" s="121" customFormat="1" x14ac:dyDescent="0.2">
      <c r="A26" s="111" t="s">
        <v>102</v>
      </c>
      <c r="B26" s="112" t="s">
        <v>106</v>
      </c>
      <c r="C26" s="112" t="s">
        <v>103</v>
      </c>
      <c r="D26" s="113">
        <v>36800</v>
      </c>
      <c r="E26" s="113">
        <v>36830</v>
      </c>
      <c r="F26" s="111" t="s">
        <v>107</v>
      </c>
      <c r="G26" s="111" t="s">
        <v>108</v>
      </c>
      <c r="H26" s="112" t="s">
        <v>20</v>
      </c>
      <c r="I26" s="114" t="s">
        <v>110</v>
      </c>
      <c r="J26" s="115">
        <v>0</v>
      </c>
      <c r="K26" s="115">
        <v>2.2000000000000001E-3</v>
      </c>
      <c r="L26" s="115">
        <v>0</v>
      </c>
      <c r="M26" s="115">
        <v>0</v>
      </c>
      <c r="N26" s="116">
        <v>0</v>
      </c>
      <c r="O26" s="115">
        <f>SUM(I26:M26)</f>
        <v>2.2000000000000001E-3</v>
      </c>
      <c r="P26" s="117">
        <v>830015</v>
      </c>
      <c r="Q26" s="112">
        <v>13239</v>
      </c>
      <c r="R26" s="111" t="s">
        <v>109</v>
      </c>
      <c r="S26" s="118" t="e">
        <f>I26*I$1*Q26</f>
        <v>#VALUE!</v>
      </c>
      <c r="T26" s="118"/>
      <c r="U26" s="141" t="s">
        <v>149</v>
      </c>
      <c r="V26" s="111"/>
      <c r="W26" s="120"/>
      <c r="X26" s="120"/>
    </row>
    <row r="27" spans="1:24" x14ac:dyDescent="0.2">
      <c r="A27" s="1"/>
      <c r="B27" s="3"/>
      <c r="C27" s="3"/>
      <c r="D27" s="4" t="s">
        <v>3</v>
      </c>
      <c r="E27" s="4"/>
      <c r="F27" s="1"/>
      <c r="G27" s="1"/>
      <c r="H27" s="3"/>
      <c r="I27" s="8"/>
      <c r="J27" s="5"/>
      <c r="K27" s="23"/>
      <c r="L27" s="5"/>
      <c r="M27" s="5"/>
      <c r="N27" s="42"/>
      <c r="O27" s="5"/>
      <c r="P27" s="48"/>
      <c r="Q27" s="49">
        <f>SUM(Q26:Q26)</f>
        <v>13239</v>
      </c>
      <c r="R27" s="40"/>
      <c r="S27" s="39" t="e">
        <f>SUM(S26:S26)</f>
        <v>#VALUE!</v>
      </c>
      <c r="T27" s="39"/>
      <c r="U27" s="56"/>
      <c r="V27" s="59"/>
      <c r="W27" s="35"/>
      <c r="X27" s="35"/>
    </row>
    <row r="28" spans="1:24" ht="11.25" customHeight="1" x14ac:dyDescent="0.2">
      <c r="A28" s="16" t="s">
        <v>4</v>
      </c>
      <c r="B28" s="17" t="s">
        <v>5</v>
      </c>
      <c r="C28" s="17" t="s">
        <v>6</v>
      </c>
      <c r="D28" s="18" t="s">
        <v>7</v>
      </c>
      <c r="E28" s="18"/>
      <c r="F28" s="16" t="s">
        <v>8</v>
      </c>
      <c r="G28" s="16" t="s">
        <v>9</v>
      </c>
      <c r="H28" s="17" t="s">
        <v>35</v>
      </c>
      <c r="I28" s="19" t="s">
        <v>10</v>
      </c>
      <c r="J28" s="17" t="s">
        <v>11</v>
      </c>
      <c r="K28" s="17" t="s">
        <v>12</v>
      </c>
      <c r="L28" s="17" t="s">
        <v>13</v>
      </c>
      <c r="M28" s="17" t="s">
        <v>14</v>
      </c>
      <c r="N28" s="43" t="s">
        <v>15</v>
      </c>
      <c r="O28" s="17" t="s">
        <v>16</v>
      </c>
      <c r="P28" s="20" t="s">
        <v>61</v>
      </c>
      <c r="Q28" s="17" t="s">
        <v>17</v>
      </c>
      <c r="R28" s="16" t="s">
        <v>18</v>
      </c>
      <c r="S28" s="21" t="s">
        <v>34</v>
      </c>
      <c r="T28" s="21" t="s">
        <v>33</v>
      </c>
      <c r="U28" s="53" t="s">
        <v>62</v>
      </c>
      <c r="V28" s="58" t="e">
        <f>+#REF!</f>
        <v>#REF!</v>
      </c>
      <c r="W28" s="36"/>
      <c r="X28" s="36"/>
    </row>
    <row r="29" spans="1:24" s="106" customFormat="1" x14ac:dyDescent="0.2">
      <c r="A29" s="96" t="s">
        <v>102</v>
      </c>
      <c r="B29" s="97" t="s">
        <v>1</v>
      </c>
      <c r="C29" s="97" t="s">
        <v>103</v>
      </c>
      <c r="D29" s="98">
        <v>36800</v>
      </c>
      <c r="E29" s="98" t="s">
        <v>104</v>
      </c>
      <c r="F29" s="91" t="s">
        <v>121</v>
      </c>
      <c r="G29" s="91" t="s">
        <v>120</v>
      </c>
      <c r="H29" s="97" t="s">
        <v>115</v>
      </c>
      <c r="I29" s="99">
        <f>7.5654/I$1</f>
        <v>0.24404516129032258</v>
      </c>
      <c r="J29" s="100">
        <v>0</v>
      </c>
      <c r="K29" s="100">
        <v>2.2000000000000001E-3</v>
      </c>
      <c r="L29" s="100">
        <v>0</v>
      </c>
      <c r="M29" s="100">
        <v>0</v>
      </c>
      <c r="N29" s="101">
        <v>0</v>
      </c>
      <c r="O29" s="100">
        <f t="shared" ref="O29:O39" si="1">SUM(I29:M29)</f>
        <v>0.24624516129032259</v>
      </c>
      <c r="P29" s="127">
        <v>0.65069999999999995</v>
      </c>
      <c r="Q29" s="92">
        <v>543</v>
      </c>
      <c r="R29" s="96"/>
      <c r="S29" s="103">
        <f t="shared" ref="S29:S39" si="2">I29*I$1*Q29</f>
        <v>4108.0122000000001</v>
      </c>
      <c r="T29" s="103"/>
      <c r="U29" s="104">
        <v>418411</v>
      </c>
      <c r="V29" s="96"/>
      <c r="W29" s="105"/>
      <c r="X29" s="105"/>
    </row>
    <row r="30" spans="1:24" s="106" customFormat="1" x14ac:dyDescent="0.2">
      <c r="A30" s="96" t="s">
        <v>102</v>
      </c>
      <c r="B30" s="97" t="s">
        <v>1</v>
      </c>
      <c r="C30" s="97" t="s">
        <v>103</v>
      </c>
      <c r="D30" s="98">
        <v>36800</v>
      </c>
      <c r="E30" s="98" t="s">
        <v>104</v>
      </c>
      <c r="F30" s="91" t="s">
        <v>45</v>
      </c>
      <c r="G30" s="91" t="s">
        <v>120</v>
      </c>
      <c r="H30" s="97" t="s">
        <v>115</v>
      </c>
      <c r="I30" s="99">
        <f>+I29</f>
        <v>0.24404516129032258</v>
      </c>
      <c r="J30" s="100">
        <v>0</v>
      </c>
      <c r="K30" s="100">
        <v>2.2000000000000001E-3</v>
      </c>
      <c r="L30" s="100">
        <v>0</v>
      </c>
      <c r="M30" s="100">
        <v>0</v>
      </c>
      <c r="N30" s="101">
        <v>0</v>
      </c>
      <c r="O30" s="100">
        <f t="shared" si="1"/>
        <v>0.24624516129032259</v>
      </c>
      <c r="P30" s="127">
        <v>0.65069999999999995</v>
      </c>
      <c r="Q30" s="92">
        <v>13</v>
      </c>
      <c r="R30" s="96"/>
      <c r="S30" s="103">
        <f t="shared" si="2"/>
        <v>98.350200000000001</v>
      </c>
      <c r="T30" s="103"/>
      <c r="U30" s="104">
        <v>418411</v>
      </c>
      <c r="V30" s="96"/>
      <c r="W30" s="105"/>
      <c r="X30" s="105"/>
    </row>
    <row r="31" spans="1:24" s="61" customFormat="1" x14ac:dyDescent="0.2">
      <c r="A31" s="1"/>
      <c r="B31" s="3"/>
      <c r="C31" s="3"/>
      <c r="D31" s="4"/>
      <c r="E31" s="4"/>
      <c r="F31" s="1"/>
      <c r="G31" s="1"/>
      <c r="H31" s="3"/>
      <c r="I31" s="8"/>
      <c r="J31" s="5"/>
      <c r="K31" s="5"/>
      <c r="L31" s="5"/>
      <c r="M31" s="5"/>
      <c r="N31" s="42"/>
      <c r="O31" s="5"/>
      <c r="P31" s="129" t="s">
        <v>126</v>
      </c>
      <c r="Q31" s="3"/>
      <c r="R31" s="1"/>
      <c r="S31" s="9"/>
      <c r="T31" s="9"/>
      <c r="U31" s="55"/>
      <c r="V31" s="1"/>
      <c r="W31" s="36"/>
      <c r="X31" s="36"/>
    </row>
    <row r="32" spans="1:24" s="61" customFormat="1" x14ac:dyDescent="0.2">
      <c r="A32" s="1"/>
      <c r="B32" s="3"/>
      <c r="C32" s="3"/>
      <c r="D32" s="4"/>
      <c r="E32" s="4"/>
      <c r="F32" s="1"/>
      <c r="G32" s="1"/>
      <c r="H32" s="3"/>
      <c r="I32" s="8"/>
      <c r="J32" s="5"/>
      <c r="K32" s="5"/>
      <c r="L32" s="5"/>
      <c r="M32" s="5"/>
      <c r="N32" s="42"/>
      <c r="O32" s="5"/>
      <c r="P32" s="129"/>
      <c r="Q32" s="3"/>
      <c r="R32" s="1"/>
      <c r="S32" s="9"/>
      <c r="T32" s="9"/>
      <c r="U32" s="55"/>
      <c r="V32" s="1"/>
      <c r="W32" s="36"/>
      <c r="X32" s="36"/>
    </row>
    <row r="33" spans="1:24" s="106" customFormat="1" x14ac:dyDescent="0.2">
      <c r="A33" s="96" t="s">
        <v>102</v>
      </c>
      <c r="B33" s="97" t="s">
        <v>1</v>
      </c>
      <c r="C33" s="97" t="s">
        <v>103</v>
      </c>
      <c r="D33" s="98">
        <v>36800</v>
      </c>
      <c r="E33" s="98" t="s">
        <v>104</v>
      </c>
      <c r="F33" s="91" t="s">
        <v>23</v>
      </c>
      <c r="G33" s="91" t="s">
        <v>122</v>
      </c>
      <c r="H33" s="97" t="s">
        <v>115</v>
      </c>
      <c r="I33" s="99">
        <f>7.5654/I$1</f>
        <v>0.24404516129032258</v>
      </c>
      <c r="J33" s="100">
        <v>0</v>
      </c>
      <c r="K33" s="100">
        <v>2.2000000000000001E-3</v>
      </c>
      <c r="L33" s="100">
        <v>0</v>
      </c>
      <c r="M33" s="100">
        <v>0</v>
      </c>
      <c r="N33" s="101">
        <v>0</v>
      </c>
      <c r="O33" s="100">
        <f>SUM(I33:M33)</f>
        <v>0.24624516129032259</v>
      </c>
      <c r="P33" s="127">
        <v>0.39240000000000003</v>
      </c>
      <c r="Q33" s="128">
        <v>6108</v>
      </c>
      <c r="R33" s="96"/>
      <c r="S33" s="103">
        <f>I33*I$1*Q33</f>
        <v>46209.463200000006</v>
      </c>
      <c r="T33" s="103"/>
      <c r="U33" s="104">
        <v>418413</v>
      </c>
      <c r="V33" s="96"/>
      <c r="W33" s="105"/>
      <c r="X33" s="105"/>
    </row>
    <row r="34" spans="1:24" s="106" customFormat="1" x14ac:dyDescent="0.2">
      <c r="A34" s="96" t="s">
        <v>102</v>
      </c>
      <c r="B34" s="97" t="s">
        <v>1</v>
      </c>
      <c r="C34" s="97" t="s">
        <v>103</v>
      </c>
      <c r="D34" s="98">
        <v>36800</v>
      </c>
      <c r="E34" s="98" t="s">
        <v>104</v>
      </c>
      <c r="F34" s="91" t="s">
        <v>44</v>
      </c>
      <c r="G34" s="91" t="s">
        <v>122</v>
      </c>
      <c r="H34" s="97" t="s">
        <v>115</v>
      </c>
      <c r="I34" s="99">
        <f>7.5654/I$1</f>
        <v>0.24404516129032258</v>
      </c>
      <c r="J34" s="100">
        <v>0</v>
      </c>
      <c r="K34" s="100">
        <v>2.2000000000000001E-3</v>
      </c>
      <c r="L34" s="100">
        <v>0</v>
      </c>
      <c r="M34" s="100">
        <v>0</v>
      </c>
      <c r="N34" s="101">
        <v>0</v>
      </c>
      <c r="O34" s="100">
        <f>SUM(I34:M34)</f>
        <v>0.24624516129032259</v>
      </c>
      <c r="P34" s="127">
        <f>+P33</f>
        <v>0.39240000000000003</v>
      </c>
      <c r="Q34" s="92">
        <v>8982</v>
      </c>
      <c r="R34" s="96"/>
      <c r="S34" s="103">
        <f>I34*I$1*Q34</f>
        <v>67952.4228</v>
      </c>
      <c r="T34" s="103"/>
      <c r="U34" s="104">
        <v>418413</v>
      </c>
      <c r="V34" s="96"/>
      <c r="W34" s="105"/>
      <c r="X34" s="105"/>
    </row>
    <row r="35" spans="1:24" s="106" customFormat="1" x14ac:dyDescent="0.2">
      <c r="A35" s="96" t="s">
        <v>102</v>
      </c>
      <c r="B35" s="97" t="s">
        <v>1</v>
      </c>
      <c r="C35" s="97" t="s">
        <v>103</v>
      </c>
      <c r="D35" s="98">
        <v>36800</v>
      </c>
      <c r="E35" s="98" t="s">
        <v>104</v>
      </c>
      <c r="F35" s="91" t="s">
        <v>45</v>
      </c>
      <c r="G35" s="91" t="s">
        <v>122</v>
      </c>
      <c r="H35" s="97" t="s">
        <v>115</v>
      </c>
      <c r="I35" s="99">
        <f>7.5654/I$1</f>
        <v>0.24404516129032258</v>
      </c>
      <c r="J35" s="100">
        <v>0</v>
      </c>
      <c r="K35" s="100">
        <v>2.2000000000000001E-3</v>
      </c>
      <c r="L35" s="100">
        <v>0</v>
      </c>
      <c r="M35" s="100">
        <v>0</v>
      </c>
      <c r="N35" s="101">
        <v>0</v>
      </c>
      <c r="O35" s="100">
        <f>SUM(I35:M35)</f>
        <v>0.24624516129032259</v>
      </c>
      <c r="P35" s="127">
        <f>+P34</f>
        <v>0.39240000000000003</v>
      </c>
      <c r="Q35" s="92">
        <v>20840</v>
      </c>
      <c r="R35" s="96"/>
      <c r="S35" s="103">
        <f>I35*I$1*Q35</f>
        <v>157662.93600000002</v>
      </c>
      <c r="T35" s="103"/>
      <c r="U35" s="104">
        <v>418413</v>
      </c>
      <c r="V35" s="96"/>
      <c r="W35" s="105"/>
      <c r="X35" s="105"/>
    </row>
    <row r="36" spans="1:24" s="106" customFormat="1" x14ac:dyDescent="0.2">
      <c r="A36" s="96" t="s">
        <v>102</v>
      </c>
      <c r="B36" s="97" t="s">
        <v>1</v>
      </c>
      <c r="C36" s="97" t="s">
        <v>103</v>
      </c>
      <c r="D36" s="98">
        <v>36800</v>
      </c>
      <c r="E36" s="98" t="s">
        <v>104</v>
      </c>
      <c r="F36" s="91" t="s">
        <v>23</v>
      </c>
      <c r="G36" s="91" t="s">
        <v>122</v>
      </c>
      <c r="H36" s="97" t="s">
        <v>123</v>
      </c>
      <c r="I36" s="99">
        <v>0</v>
      </c>
      <c r="J36" s="100">
        <v>0</v>
      </c>
      <c r="K36" s="100">
        <v>2.2000000000000001E-3</v>
      </c>
      <c r="L36" s="100">
        <v>0</v>
      </c>
      <c r="M36" s="100">
        <v>0</v>
      </c>
      <c r="N36" s="101">
        <v>0</v>
      </c>
      <c r="O36" s="100">
        <f t="shared" si="1"/>
        <v>2.2000000000000001E-3</v>
      </c>
      <c r="P36" s="127">
        <f>+P35</f>
        <v>0.39240000000000003</v>
      </c>
      <c r="Q36" s="128">
        <v>-2708</v>
      </c>
      <c r="R36" s="96"/>
      <c r="S36" s="103">
        <f t="shared" si="2"/>
        <v>0</v>
      </c>
      <c r="T36" s="103"/>
      <c r="U36" s="104">
        <v>418413</v>
      </c>
      <c r="V36" s="96"/>
      <c r="W36" s="105"/>
      <c r="X36" s="105"/>
    </row>
    <row r="37" spans="1:24" s="106" customFormat="1" x14ac:dyDescent="0.2">
      <c r="A37" s="96" t="s">
        <v>102</v>
      </c>
      <c r="B37" s="97" t="s">
        <v>1</v>
      </c>
      <c r="C37" s="97" t="s">
        <v>103</v>
      </c>
      <c r="D37" s="98">
        <v>36800</v>
      </c>
      <c r="E37" s="98" t="s">
        <v>104</v>
      </c>
      <c r="F37" s="91" t="s">
        <v>44</v>
      </c>
      <c r="G37" s="91" t="s">
        <v>122</v>
      </c>
      <c r="H37" s="97" t="s">
        <v>123</v>
      </c>
      <c r="I37" s="99">
        <v>0</v>
      </c>
      <c r="J37" s="100">
        <v>0</v>
      </c>
      <c r="K37" s="100">
        <v>2.2000000000000001E-3</v>
      </c>
      <c r="L37" s="100">
        <v>0</v>
      </c>
      <c r="M37" s="100">
        <v>0</v>
      </c>
      <c r="N37" s="101">
        <v>0</v>
      </c>
      <c r="O37" s="100">
        <f t="shared" si="1"/>
        <v>2.2000000000000001E-3</v>
      </c>
      <c r="P37" s="127">
        <f>+P36</f>
        <v>0.39240000000000003</v>
      </c>
      <c r="Q37" s="92">
        <v>-3983</v>
      </c>
      <c r="R37" s="96"/>
      <c r="S37" s="103">
        <f t="shared" si="2"/>
        <v>0</v>
      </c>
      <c r="T37" s="103"/>
      <c r="U37" s="104">
        <v>418413</v>
      </c>
      <c r="V37" s="96"/>
      <c r="W37" s="105"/>
      <c r="X37" s="105"/>
    </row>
    <row r="38" spans="1:24" s="106" customFormat="1" x14ac:dyDescent="0.2">
      <c r="A38" s="96" t="s">
        <v>102</v>
      </c>
      <c r="B38" s="97" t="s">
        <v>1</v>
      </c>
      <c r="C38" s="97" t="s">
        <v>103</v>
      </c>
      <c r="D38" s="98">
        <v>36800</v>
      </c>
      <c r="E38" s="98" t="s">
        <v>104</v>
      </c>
      <c r="F38" s="91" t="s">
        <v>45</v>
      </c>
      <c r="G38" s="91" t="s">
        <v>122</v>
      </c>
      <c r="H38" s="97" t="s">
        <v>123</v>
      </c>
      <c r="I38" s="99">
        <v>0</v>
      </c>
      <c r="J38" s="100">
        <v>0</v>
      </c>
      <c r="K38" s="100">
        <v>2.2000000000000001E-3</v>
      </c>
      <c r="L38" s="100">
        <v>0</v>
      </c>
      <c r="M38" s="100">
        <v>0</v>
      </c>
      <c r="N38" s="101">
        <v>0</v>
      </c>
      <c r="O38" s="100">
        <f t="shared" si="1"/>
        <v>2.2000000000000001E-3</v>
      </c>
      <c r="P38" s="127">
        <f>+P37</f>
        <v>0.39240000000000003</v>
      </c>
      <c r="Q38" s="92">
        <v>-9239</v>
      </c>
      <c r="R38" s="96"/>
      <c r="S38" s="103">
        <f t="shared" si="2"/>
        <v>0</v>
      </c>
      <c r="T38" s="103"/>
      <c r="U38" s="104">
        <v>418413</v>
      </c>
      <c r="V38" s="96"/>
      <c r="W38" s="105"/>
      <c r="X38" s="105"/>
    </row>
    <row r="39" spans="1:24" s="106" customFormat="1" x14ac:dyDescent="0.2">
      <c r="A39" s="96" t="s">
        <v>102</v>
      </c>
      <c r="B39" s="97" t="s">
        <v>1</v>
      </c>
      <c r="C39" s="97" t="s">
        <v>103</v>
      </c>
      <c r="D39" s="98">
        <v>36800</v>
      </c>
      <c r="E39" s="98" t="s">
        <v>104</v>
      </c>
      <c r="F39" s="96" t="s">
        <v>124</v>
      </c>
      <c r="G39" s="96" t="s">
        <v>125</v>
      </c>
      <c r="H39" s="97" t="s">
        <v>115</v>
      </c>
      <c r="I39" s="99">
        <f>14.1875/30</f>
        <v>0.47291666666666665</v>
      </c>
      <c r="J39" s="100">
        <v>0</v>
      </c>
      <c r="K39" s="100">
        <v>2.2000000000000001E-3</v>
      </c>
      <c r="L39" s="100">
        <v>0</v>
      </c>
      <c r="M39" s="100">
        <v>0</v>
      </c>
      <c r="N39" s="101">
        <v>0</v>
      </c>
      <c r="O39" s="100">
        <f t="shared" si="1"/>
        <v>0.47511666666666663</v>
      </c>
      <c r="P39" s="110">
        <v>3.1212</v>
      </c>
      <c r="Q39" s="97">
        <v>14625</v>
      </c>
      <c r="R39" s="96"/>
      <c r="S39" s="103">
        <f t="shared" si="2"/>
        <v>214408.59375</v>
      </c>
      <c r="T39" s="103"/>
      <c r="U39" s="104">
        <v>418415</v>
      </c>
      <c r="V39" s="96"/>
      <c r="W39" s="105"/>
      <c r="X39" s="105"/>
    </row>
    <row r="40" spans="1:24" s="61" customFormat="1" x14ac:dyDescent="0.2">
      <c r="A40" s="1"/>
      <c r="B40" s="3"/>
      <c r="C40" s="3"/>
      <c r="D40" s="4"/>
      <c r="E40" s="4"/>
      <c r="F40" s="1"/>
      <c r="G40" s="1"/>
      <c r="H40" s="3"/>
      <c r="I40" s="8" t="s">
        <v>127</v>
      </c>
      <c r="J40" s="5"/>
      <c r="K40" s="5"/>
      <c r="L40" s="5"/>
      <c r="M40" s="5"/>
      <c r="N40" s="42"/>
      <c r="O40" s="5"/>
      <c r="P40" s="130"/>
      <c r="Q40" s="3"/>
      <c r="R40" s="1"/>
      <c r="S40" s="9"/>
      <c r="T40" s="9"/>
      <c r="U40" s="55"/>
      <c r="V40" s="1"/>
      <c r="W40" s="36"/>
      <c r="X40" s="36"/>
    </row>
    <row r="41" spans="1:24" s="61" customFormat="1" x14ac:dyDescent="0.2">
      <c r="A41" s="1"/>
      <c r="B41" s="3"/>
      <c r="C41" s="3"/>
      <c r="D41" s="4"/>
      <c r="E41" s="4"/>
      <c r="F41" s="1"/>
      <c r="G41" s="1"/>
      <c r="H41" s="3"/>
      <c r="I41" s="8"/>
      <c r="J41" s="5"/>
      <c r="K41" s="5"/>
      <c r="L41" s="5"/>
      <c r="M41" s="5"/>
      <c r="N41" s="42"/>
      <c r="O41" s="5"/>
      <c r="P41" s="130"/>
      <c r="Q41" s="3"/>
      <c r="R41" s="1"/>
      <c r="S41" s="9"/>
      <c r="T41" s="9"/>
      <c r="U41" s="55"/>
      <c r="V41" s="1"/>
      <c r="W41" s="36"/>
      <c r="X41" s="36"/>
    </row>
    <row r="42" spans="1:24" s="106" customFormat="1" x14ac:dyDescent="0.2">
      <c r="A42" s="96" t="s">
        <v>102</v>
      </c>
      <c r="B42" s="97" t="s">
        <v>1</v>
      </c>
      <c r="C42" s="97" t="s">
        <v>103</v>
      </c>
      <c r="D42" s="98">
        <v>36800</v>
      </c>
      <c r="E42" s="98" t="s">
        <v>104</v>
      </c>
      <c r="F42" s="96" t="s">
        <v>48</v>
      </c>
      <c r="G42" s="96" t="s">
        <v>0</v>
      </c>
      <c r="H42" s="97"/>
      <c r="I42" s="99">
        <v>7.9000000000000008E-3</v>
      </c>
      <c r="J42" s="100">
        <v>0</v>
      </c>
      <c r="K42" s="100">
        <v>2.2000000000000001E-3</v>
      </c>
      <c r="L42" s="100">
        <v>0</v>
      </c>
      <c r="M42" s="100">
        <v>0</v>
      </c>
      <c r="N42" s="101">
        <v>0</v>
      </c>
      <c r="O42" s="100">
        <f t="shared" ref="O42:O47" si="3">SUM(I42:M42)</f>
        <v>1.0100000000000001E-2</v>
      </c>
      <c r="P42" s="110">
        <v>0.37669999999999998</v>
      </c>
      <c r="Q42" s="97">
        <v>8523</v>
      </c>
      <c r="R42" s="96"/>
      <c r="S42" s="103">
        <f>I42*I$1*Q42</f>
        <v>2087.2827000000002</v>
      </c>
      <c r="T42" s="103"/>
      <c r="U42" s="131" t="s">
        <v>173</v>
      </c>
      <c r="V42" s="96"/>
      <c r="W42" s="105"/>
      <c r="X42" s="105"/>
    </row>
    <row r="43" spans="1:24" s="106" customFormat="1" x14ac:dyDescent="0.2">
      <c r="A43" s="96" t="s">
        <v>102</v>
      </c>
      <c r="B43" s="97" t="s">
        <v>1</v>
      </c>
      <c r="C43" s="97" t="s">
        <v>103</v>
      </c>
      <c r="D43" s="98">
        <v>36800</v>
      </c>
      <c r="E43" s="98" t="s">
        <v>104</v>
      </c>
      <c r="F43" s="96" t="s">
        <v>47</v>
      </c>
      <c r="G43" s="96" t="s">
        <v>129</v>
      </c>
      <c r="H43" s="97"/>
      <c r="I43" s="99">
        <v>0.6673</v>
      </c>
      <c r="J43" s="100">
        <v>0</v>
      </c>
      <c r="K43" s="100">
        <v>2.2000000000000001E-3</v>
      </c>
      <c r="L43" s="100">
        <v>0</v>
      </c>
      <c r="M43" s="100">
        <v>0</v>
      </c>
      <c r="N43" s="101">
        <v>0</v>
      </c>
      <c r="O43" s="100">
        <f t="shared" si="3"/>
        <v>0.66949999999999998</v>
      </c>
      <c r="P43" s="108">
        <v>0.37669999999999998</v>
      </c>
      <c r="Q43" s="109">
        <v>724500</v>
      </c>
      <c r="R43" s="96"/>
      <c r="S43" s="103">
        <f>I43*Q43</f>
        <v>483458.85</v>
      </c>
      <c r="T43" s="103"/>
      <c r="U43" s="131" t="s">
        <v>173</v>
      </c>
      <c r="V43" s="96"/>
      <c r="W43" s="105"/>
      <c r="X43" s="105"/>
    </row>
    <row r="44" spans="1:24" s="106" customFormat="1" x14ac:dyDescent="0.2">
      <c r="A44" s="96" t="s">
        <v>102</v>
      </c>
      <c r="B44" s="97" t="s">
        <v>1</v>
      </c>
      <c r="C44" s="97" t="s">
        <v>103</v>
      </c>
      <c r="D44" s="98">
        <v>36800</v>
      </c>
      <c r="E44" s="98" t="s">
        <v>104</v>
      </c>
      <c r="F44" s="96" t="s">
        <v>117</v>
      </c>
      <c r="G44" s="96" t="s">
        <v>0</v>
      </c>
      <c r="H44" s="97"/>
      <c r="I44" s="99">
        <v>0</v>
      </c>
      <c r="J44" s="100">
        <v>0</v>
      </c>
      <c r="K44" s="100">
        <v>2.2000000000000001E-3</v>
      </c>
      <c r="L44" s="100">
        <v>0</v>
      </c>
      <c r="M44" s="100">
        <v>0</v>
      </c>
      <c r="N44" s="101">
        <v>0</v>
      </c>
      <c r="O44" s="100">
        <f t="shared" si="3"/>
        <v>2.2000000000000001E-3</v>
      </c>
      <c r="P44" s="108">
        <v>0.37680000000000002</v>
      </c>
      <c r="Q44" s="97">
        <v>2070</v>
      </c>
      <c r="R44" s="96"/>
      <c r="S44" s="103">
        <f>I44*Q44</f>
        <v>0</v>
      </c>
      <c r="T44" s="103"/>
      <c r="U44" s="131" t="s">
        <v>174</v>
      </c>
      <c r="V44" s="96"/>
      <c r="W44" s="105"/>
      <c r="X44" s="105"/>
    </row>
    <row r="45" spans="1:24" s="106" customFormat="1" x14ac:dyDescent="0.2">
      <c r="A45" s="96" t="s">
        <v>102</v>
      </c>
      <c r="B45" s="97" t="s">
        <v>1</v>
      </c>
      <c r="C45" s="97" t="s">
        <v>103</v>
      </c>
      <c r="D45" s="98">
        <v>36800</v>
      </c>
      <c r="E45" s="98" t="s">
        <v>104</v>
      </c>
      <c r="F45" s="96" t="s">
        <v>128</v>
      </c>
      <c r="G45" s="96" t="s">
        <v>129</v>
      </c>
      <c r="H45" s="97"/>
      <c r="I45" s="99">
        <v>0</v>
      </c>
      <c r="J45" s="100">
        <v>0</v>
      </c>
      <c r="K45" s="100">
        <v>2.2000000000000001E-3</v>
      </c>
      <c r="L45" s="100">
        <v>0</v>
      </c>
      <c r="M45" s="100">
        <v>0</v>
      </c>
      <c r="N45" s="101">
        <v>0</v>
      </c>
      <c r="O45" s="100">
        <f t="shared" si="3"/>
        <v>2.2000000000000001E-3</v>
      </c>
      <c r="P45" s="108">
        <v>0.37680000000000002</v>
      </c>
      <c r="Q45" s="97">
        <v>98790</v>
      </c>
      <c r="R45" s="96"/>
      <c r="S45" s="103">
        <f>I45*Q45</f>
        <v>0</v>
      </c>
      <c r="T45" s="103"/>
      <c r="U45" s="131" t="s">
        <v>174</v>
      </c>
      <c r="V45" s="96"/>
      <c r="W45" s="105"/>
      <c r="X45" s="105"/>
    </row>
    <row r="46" spans="1:24" s="106" customFormat="1" x14ac:dyDescent="0.2">
      <c r="A46" s="96" t="s">
        <v>102</v>
      </c>
      <c r="B46" s="97" t="s">
        <v>1</v>
      </c>
      <c r="C46" s="97" t="s">
        <v>103</v>
      </c>
      <c r="D46" s="98">
        <v>36800</v>
      </c>
      <c r="E46" s="98" t="s">
        <v>104</v>
      </c>
      <c r="F46" s="96" t="s">
        <v>49</v>
      </c>
      <c r="G46" s="107"/>
      <c r="H46" s="97" t="s">
        <v>51</v>
      </c>
      <c r="I46" s="99">
        <v>4.8099999999999997E-2</v>
      </c>
      <c r="J46" s="100">
        <v>0</v>
      </c>
      <c r="K46" s="100">
        <v>2.2000000000000001E-3</v>
      </c>
      <c r="L46" s="100">
        <v>0</v>
      </c>
      <c r="M46" s="100">
        <v>0</v>
      </c>
      <c r="N46" s="101">
        <v>0</v>
      </c>
      <c r="O46" s="100">
        <f t="shared" si="3"/>
        <v>5.0299999999999997E-2</v>
      </c>
      <c r="P46" s="110"/>
      <c r="Q46" s="97">
        <v>0</v>
      </c>
      <c r="R46" s="96"/>
      <c r="S46" s="103">
        <f>I46*Q46</f>
        <v>0</v>
      </c>
      <c r="T46" s="103"/>
      <c r="U46" s="104"/>
      <c r="V46" s="96"/>
      <c r="W46" s="105"/>
      <c r="X46" s="105"/>
    </row>
    <row r="47" spans="1:24" s="106" customFormat="1" x14ac:dyDescent="0.2">
      <c r="A47" s="96" t="s">
        <v>102</v>
      </c>
      <c r="B47" s="97" t="s">
        <v>1</v>
      </c>
      <c r="C47" s="97" t="s">
        <v>103</v>
      </c>
      <c r="D47" s="98">
        <v>36800</v>
      </c>
      <c r="E47" s="98" t="s">
        <v>104</v>
      </c>
      <c r="F47" s="96" t="s">
        <v>50</v>
      </c>
      <c r="G47" s="107"/>
      <c r="H47" s="97" t="s">
        <v>51</v>
      </c>
      <c r="I47" s="99">
        <v>0.48399999999999999</v>
      </c>
      <c r="J47" s="100">
        <v>0</v>
      </c>
      <c r="K47" s="100">
        <v>2.2000000000000001E-3</v>
      </c>
      <c r="L47" s="100">
        <v>0</v>
      </c>
      <c r="M47" s="100">
        <v>0</v>
      </c>
      <c r="N47" s="101">
        <v>0</v>
      </c>
      <c r="O47" s="100">
        <f t="shared" si="3"/>
        <v>0.48619999999999997</v>
      </c>
      <c r="P47" s="110"/>
      <c r="Q47" s="97">
        <v>0</v>
      </c>
      <c r="R47" s="96"/>
      <c r="S47" s="103">
        <f>I47*Q47</f>
        <v>0</v>
      </c>
      <c r="T47" s="103"/>
      <c r="U47" s="104"/>
      <c r="V47" s="96"/>
      <c r="W47" s="105"/>
      <c r="X47" s="105"/>
    </row>
    <row r="48" spans="1:24" x14ac:dyDescent="0.2">
      <c r="A48" s="27"/>
      <c r="B48" s="3"/>
      <c r="C48" s="3"/>
      <c r="D48" s="4"/>
      <c r="E48" s="4"/>
      <c r="F48" s="1"/>
      <c r="G48" s="1"/>
      <c r="H48" s="3"/>
      <c r="I48" s="8"/>
      <c r="J48" s="5"/>
      <c r="K48" s="5"/>
      <c r="L48" s="5"/>
      <c r="M48" s="5"/>
      <c r="N48" s="42"/>
      <c r="O48" s="5"/>
      <c r="P48" s="48"/>
      <c r="Q48" s="49"/>
      <c r="R48" s="28"/>
      <c r="S48" s="28">
        <f>SUM(S29:S47)</f>
        <v>975985.91084999999</v>
      </c>
      <c r="T48" s="28"/>
      <c r="U48" s="51"/>
      <c r="V48" s="57"/>
      <c r="W48" s="35"/>
      <c r="X48" s="35"/>
    </row>
    <row r="49" spans="1:24" x14ac:dyDescent="0.2">
      <c r="A49" s="27"/>
      <c r="B49" s="3"/>
      <c r="C49" s="3"/>
      <c r="D49" s="4"/>
      <c r="E49" s="4"/>
      <c r="F49" s="1"/>
      <c r="G49" s="1"/>
      <c r="H49" s="3"/>
      <c r="I49" s="5"/>
      <c r="J49" s="5"/>
      <c r="K49" s="5"/>
      <c r="L49" s="5"/>
      <c r="M49" s="5"/>
      <c r="N49" s="42"/>
      <c r="O49" s="5"/>
      <c r="P49" s="48"/>
      <c r="Q49" s="49"/>
      <c r="R49" s="28"/>
      <c r="S49" s="28"/>
      <c r="T49" s="28"/>
      <c r="U49" s="51"/>
      <c r="V49" s="57"/>
      <c r="W49" s="35"/>
      <c r="X49" s="35"/>
    </row>
    <row r="50" spans="1:24" x14ac:dyDescent="0.2">
      <c r="A50" s="27"/>
      <c r="B50" s="3"/>
      <c r="C50" s="3"/>
      <c r="D50" s="4"/>
      <c r="E50" s="4"/>
      <c r="F50" s="1"/>
      <c r="G50" s="1"/>
      <c r="H50" s="3"/>
      <c r="I50" s="8"/>
      <c r="J50" s="5"/>
      <c r="K50" s="5"/>
      <c r="L50" s="5"/>
      <c r="M50" s="5"/>
      <c r="N50" s="42"/>
      <c r="O50" s="5"/>
      <c r="P50" s="48"/>
      <c r="Q50" s="49"/>
      <c r="R50" s="28"/>
      <c r="S50" s="28"/>
      <c r="T50" s="28"/>
      <c r="U50" s="51"/>
      <c r="V50" s="57"/>
      <c r="W50" s="35"/>
      <c r="X50" s="35"/>
    </row>
    <row r="51" spans="1:24" ht="13.5" thickBot="1" x14ac:dyDescent="0.25">
      <c r="A51" s="27"/>
      <c r="B51" s="3"/>
      <c r="C51" s="3"/>
      <c r="D51" s="4"/>
      <c r="E51" s="4"/>
      <c r="F51" s="1"/>
      <c r="G51" s="1"/>
      <c r="H51" s="3"/>
      <c r="I51" s="5"/>
      <c r="J51" s="5"/>
      <c r="K51" s="5"/>
      <c r="L51" s="5"/>
      <c r="M51" s="5"/>
      <c r="N51" s="42"/>
      <c r="O51" s="5"/>
      <c r="P51" s="48"/>
      <c r="Q51" s="49"/>
      <c r="R51" s="28"/>
      <c r="S51" s="71" t="e">
        <f>SUM(S48,S27,#REF!,S24,#REF!,S15)</f>
        <v>#REF!</v>
      </c>
      <c r="T51" s="28" t="s">
        <v>64</v>
      </c>
      <c r="U51" s="51"/>
      <c r="V51" s="57"/>
      <c r="W51" s="35"/>
      <c r="X51" s="35"/>
    </row>
    <row r="52" spans="1:24" ht="13.5" thickTop="1" x14ac:dyDescent="0.2">
      <c r="A52" s="27"/>
      <c r="B52" s="3"/>
      <c r="C52" s="3"/>
      <c r="D52" s="4"/>
      <c r="E52" s="4"/>
      <c r="F52" s="1"/>
      <c r="G52" s="1"/>
      <c r="H52" s="3"/>
      <c r="I52" s="5"/>
      <c r="J52" s="5"/>
      <c r="K52" s="5"/>
      <c r="L52" s="5"/>
      <c r="M52" s="5"/>
      <c r="N52" s="42"/>
      <c r="O52" s="5"/>
      <c r="P52" s="48"/>
      <c r="Q52" s="49"/>
      <c r="R52" s="28"/>
      <c r="S52" s="28"/>
      <c r="T52" s="57" t="s">
        <v>65</v>
      </c>
      <c r="U52" s="51"/>
      <c r="V52" s="57"/>
      <c r="W52" s="40"/>
      <c r="X52" s="35"/>
    </row>
    <row r="53" spans="1:24" x14ac:dyDescent="0.2">
      <c r="A53" s="27"/>
      <c r="B53" s="3"/>
      <c r="C53" s="3"/>
      <c r="D53" s="4"/>
      <c r="E53" s="4"/>
      <c r="F53" s="1"/>
      <c r="G53" s="1"/>
      <c r="H53" s="3"/>
      <c r="I53" s="5"/>
      <c r="J53" s="5"/>
      <c r="K53" s="5"/>
      <c r="L53" s="5"/>
      <c r="M53" s="5"/>
      <c r="N53" s="42"/>
      <c r="O53" s="5"/>
      <c r="P53" s="48"/>
      <c r="Q53" s="49"/>
      <c r="R53" s="28"/>
      <c r="S53" s="28"/>
      <c r="T53" s="28"/>
      <c r="U53" s="51"/>
      <c r="V53" s="57"/>
      <c r="W53" s="35"/>
      <c r="X53" s="35"/>
    </row>
    <row r="54" spans="1:24" x14ac:dyDescent="0.2">
      <c r="A54" s="27"/>
      <c r="B54" s="3"/>
      <c r="C54" s="3"/>
      <c r="D54" s="4"/>
      <c r="E54" s="4"/>
      <c r="F54" s="1"/>
      <c r="G54" s="1"/>
      <c r="H54" s="3"/>
      <c r="I54" s="5"/>
      <c r="J54" s="5"/>
      <c r="K54" s="5"/>
      <c r="L54" s="5"/>
      <c r="M54" s="5"/>
      <c r="N54" s="42"/>
      <c r="O54" s="5"/>
      <c r="P54" s="48"/>
      <c r="Q54" s="49"/>
      <c r="R54" s="28"/>
      <c r="S54" s="28"/>
      <c r="T54" s="28"/>
      <c r="U54" s="51"/>
      <c r="V54" s="57"/>
      <c r="W54" s="35"/>
      <c r="X54" s="35"/>
    </row>
    <row r="55" spans="1:24" x14ac:dyDescent="0.2">
      <c r="A55" s="27"/>
      <c r="B55" s="3"/>
      <c r="C55" s="3"/>
      <c r="D55" s="36"/>
      <c r="E55" s="4"/>
      <c r="F55" s="1"/>
      <c r="G55" s="1"/>
      <c r="H55" s="3"/>
      <c r="I55" s="8"/>
      <c r="J55" s="5"/>
      <c r="K55" s="5"/>
      <c r="L55" s="5"/>
      <c r="M55" s="5"/>
      <c r="N55" s="42"/>
      <c r="O55" s="5"/>
      <c r="P55" s="48"/>
      <c r="Q55" s="49"/>
      <c r="R55" s="40"/>
      <c r="S55" s="28"/>
      <c r="T55" s="28"/>
      <c r="U55" s="51"/>
      <c r="V55" s="57"/>
      <c r="W55" s="35"/>
      <c r="X55" s="35"/>
    </row>
    <row r="56" spans="1:24" x14ac:dyDescent="0.2">
      <c r="A56" s="27"/>
      <c r="B56" s="3"/>
      <c r="C56" s="3"/>
      <c r="D56" s="36"/>
      <c r="E56" s="4"/>
      <c r="F56" s="1"/>
      <c r="G56" s="1"/>
      <c r="H56" s="3"/>
      <c r="I56" s="8"/>
      <c r="J56" s="5"/>
      <c r="K56" s="5"/>
      <c r="L56" s="5"/>
      <c r="M56" s="5"/>
      <c r="N56" s="42"/>
      <c r="O56" s="5"/>
      <c r="P56" s="48"/>
      <c r="Q56" s="49"/>
      <c r="R56" s="40"/>
      <c r="S56" s="28"/>
      <c r="T56" s="28"/>
      <c r="U56" s="51"/>
      <c r="V56" s="57"/>
      <c r="W56" s="35"/>
      <c r="X56" s="35"/>
    </row>
    <row r="57" spans="1:24" x14ac:dyDescent="0.2">
      <c r="D57" s="38"/>
      <c r="P57" s="34"/>
      <c r="Q57" s="34"/>
      <c r="R57" s="34"/>
      <c r="S57" s="34"/>
      <c r="T57" s="34"/>
      <c r="U57" s="50"/>
      <c r="V57" s="60"/>
      <c r="W57" s="50"/>
    </row>
    <row r="58" spans="1:24" x14ac:dyDescent="0.2">
      <c r="D58" s="38"/>
      <c r="P58" s="34"/>
      <c r="Q58" s="34"/>
      <c r="R58" s="34"/>
      <c r="S58" s="34"/>
      <c r="T58" s="34"/>
      <c r="U58" s="50"/>
      <c r="V58" s="60"/>
      <c r="W58" s="50"/>
    </row>
    <row r="59" spans="1:24" x14ac:dyDescent="0.2">
      <c r="D59" s="38"/>
    </row>
    <row r="60" spans="1:24" x14ac:dyDescent="0.2">
      <c r="D60" s="38"/>
    </row>
    <row r="61" spans="1:24" x14ac:dyDescent="0.2">
      <c r="D6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3"/>
  <sheetViews>
    <sheetView topLeftCell="A11" workbookViewId="0">
      <selection activeCell="D18" sqref="D18"/>
    </sheetView>
  </sheetViews>
  <sheetFormatPr defaultRowHeight="12.75" x14ac:dyDescent="0.2"/>
  <cols>
    <col min="1" max="1" width="10" style="25" customWidth="1"/>
    <col min="2" max="2" width="9.140625" style="25"/>
    <col min="3" max="3" width="10.5703125" style="25" customWidth="1"/>
    <col min="4" max="4" width="9.28515625" style="25" customWidth="1"/>
    <col min="5" max="5" width="9.5703125" style="25" customWidth="1"/>
    <col min="6" max="6" width="12.42578125" style="27" customWidth="1"/>
    <col min="7" max="7" width="16.42578125" style="27" customWidth="1"/>
    <col min="8" max="8" width="16.5703125" style="25" customWidth="1"/>
    <col min="9" max="9" width="7.7109375" style="25" customWidth="1"/>
    <col min="10" max="13" width="0" style="25" hidden="1" customWidth="1"/>
    <col min="14" max="14" width="0" style="46" hidden="1" customWidth="1"/>
    <col min="15" max="15" width="0" style="25" hidden="1" customWidth="1"/>
    <col min="16" max="16" width="14.28515625" style="25" customWidth="1"/>
    <col min="17" max="17" width="10.85546875" style="25" customWidth="1"/>
    <col min="18" max="18" width="12.28515625" style="25" customWidth="1"/>
    <col min="19" max="19" width="10.7109375" style="25" customWidth="1"/>
    <col min="20" max="20" width="11.85546875" style="25" customWidth="1"/>
    <col min="21" max="21" width="24.4257812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1:24" x14ac:dyDescent="0.2">
      <c r="A1" s="41" t="s">
        <v>101</v>
      </c>
      <c r="B1" s="3"/>
      <c r="C1" s="3"/>
      <c r="D1" s="4"/>
      <c r="E1" s="4"/>
      <c r="F1" s="1"/>
      <c r="G1" s="1"/>
      <c r="H1" s="3" t="s">
        <v>19</v>
      </c>
      <c r="I1" s="7">
        <v>31</v>
      </c>
      <c r="J1" s="47" t="s">
        <v>28</v>
      </c>
      <c r="K1" s="5"/>
      <c r="L1" s="5"/>
      <c r="M1" s="5"/>
      <c r="N1" s="42"/>
      <c r="O1" s="5"/>
      <c r="P1" s="24"/>
      <c r="Q1" s="2"/>
      <c r="R1" s="28"/>
      <c r="S1" s="28"/>
      <c r="T1" s="28"/>
      <c r="U1" s="51"/>
      <c r="V1" s="57"/>
      <c r="W1" s="35"/>
      <c r="X1" s="35"/>
    </row>
    <row r="2" spans="1:24" x14ac:dyDescent="0.2">
      <c r="A2" s="1" t="s">
        <v>24</v>
      </c>
      <c r="B2" s="1"/>
      <c r="C2" s="1"/>
      <c r="D2" s="4"/>
      <c r="E2" s="4"/>
      <c r="F2" s="1"/>
      <c r="G2" s="1"/>
      <c r="H2" s="3"/>
      <c r="I2" s="7"/>
      <c r="J2" s="47" t="s">
        <v>29</v>
      </c>
      <c r="K2" s="5"/>
      <c r="L2" s="5"/>
      <c r="M2" s="5"/>
      <c r="N2" s="42"/>
      <c r="O2" s="5"/>
      <c r="P2" s="24"/>
      <c r="Q2" s="2"/>
      <c r="R2" s="28"/>
      <c r="S2" s="28"/>
      <c r="T2" s="28"/>
      <c r="U2" s="51"/>
      <c r="V2" s="57"/>
      <c r="W2" s="35"/>
      <c r="X2" s="35"/>
    </row>
    <row r="3" spans="1:24" x14ac:dyDescent="0.2">
      <c r="A3" s="1" t="s">
        <v>25</v>
      </c>
      <c r="B3" s="1"/>
      <c r="C3" s="1"/>
      <c r="D3" s="4"/>
      <c r="E3" s="4"/>
      <c r="F3" s="6" t="s">
        <v>3</v>
      </c>
      <c r="G3" s="1" t="s">
        <v>3</v>
      </c>
      <c r="H3" s="2" t="s">
        <v>3</v>
      </c>
      <c r="I3" s="8"/>
      <c r="J3" s="31" t="s">
        <v>3</v>
      </c>
      <c r="K3" s="5"/>
      <c r="L3" s="31" t="s">
        <v>3</v>
      </c>
      <c r="M3" s="5"/>
      <c r="N3" s="42"/>
      <c r="O3" s="31" t="s">
        <v>3</v>
      </c>
      <c r="P3" s="24"/>
      <c r="Q3" s="2"/>
      <c r="R3" s="28"/>
      <c r="S3" s="28"/>
      <c r="T3" s="28"/>
      <c r="U3" s="51"/>
      <c r="V3" s="57"/>
      <c r="W3" s="35"/>
      <c r="X3" s="35"/>
    </row>
    <row r="4" spans="1:24" x14ac:dyDescent="0.2">
      <c r="A4" s="1"/>
      <c r="B4" s="3"/>
      <c r="C4" s="3"/>
      <c r="D4" s="4"/>
      <c r="E4" s="4"/>
      <c r="F4" s="32"/>
      <c r="G4" s="1"/>
      <c r="H4" s="32"/>
      <c r="I4" s="8"/>
      <c r="J4" s="32"/>
      <c r="K4" s="5"/>
      <c r="L4" s="32"/>
      <c r="M4" s="2"/>
      <c r="N4" s="42"/>
      <c r="O4" s="2"/>
      <c r="P4" s="24"/>
      <c r="Q4" s="2"/>
      <c r="R4" s="28"/>
      <c r="S4" s="33"/>
      <c r="T4" s="33"/>
      <c r="U4" s="52"/>
      <c r="V4" s="57"/>
      <c r="W4" s="35"/>
      <c r="X4" s="35"/>
    </row>
    <row r="5" spans="1:24" x14ac:dyDescent="0.2">
      <c r="A5" s="1" t="s">
        <v>30</v>
      </c>
      <c r="B5" s="3"/>
      <c r="C5" s="1"/>
      <c r="D5" s="4"/>
      <c r="E5" s="4"/>
      <c r="F5" s="32"/>
      <c r="G5" s="1"/>
      <c r="H5" s="32"/>
      <c r="I5" s="8"/>
      <c r="J5" s="32"/>
      <c r="K5" s="5"/>
      <c r="L5" s="32"/>
      <c r="M5" s="2"/>
      <c r="N5" s="42"/>
      <c r="O5" s="2"/>
      <c r="P5" s="24"/>
      <c r="Q5" s="2"/>
      <c r="R5" s="28"/>
      <c r="S5" s="33"/>
      <c r="T5" s="33"/>
      <c r="U5" s="52"/>
      <c r="V5" s="57"/>
      <c r="W5" s="35"/>
      <c r="X5" s="35"/>
    </row>
    <row r="6" spans="1:24" x14ac:dyDescent="0.2">
      <c r="A6" s="1"/>
      <c r="B6" s="3" t="s">
        <v>63</v>
      </c>
      <c r="C6" s="3"/>
      <c r="D6" s="4"/>
      <c r="E6" s="4"/>
      <c r="F6" s="32"/>
      <c r="G6" s="1"/>
      <c r="H6" s="32"/>
      <c r="I6" s="8"/>
      <c r="J6" s="32"/>
      <c r="K6" s="5"/>
      <c r="L6" s="32"/>
      <c r="M6" s="2"/>
      <c r="N6" s="42"/>
      <c r="O6" s="2"/>
      <c r="P6" s="24"/>
      <c r="Q6" s="2"/>
      <c r="R6" s="28"/>
      <c r="S6" s="33"/>
      <c r="T6" s="33"/>
      <c r="U6" s="52"/>
      <c r="V6" s="57"/>
      <c r="W6" s="35"/>
      <c r="X6" s="35"/>
    </row>
    <row r="7" spans="1:24" x14ac:dyDescent="0.2">
      <c r="A7" s="1"/>
      <c r="B7" s="3"/>
      <c r="C7" s="3"/>
      <c r="D7" s="4"/>
      <c r="E7" s="4"/>
      <c r="F7" s="32"/>
      <c r="G7" s="1"/>
      <c r="H7" s="32"/>
      <c r="I7" s="8"/>
      <c r="J7" s="32"/>
      <c r="K7" s="5"/>
      <c r="L7" s="32"/>
      <c r="M7" s="2"/>
      <c r="N7" s="42"/>
      <c r="O7" s="2"/>
      <c r="P7" s="24"/>
      <c r="Q7" s="2"/>
      <c r="R7" s="28"/>
      <c r="S7" s="33"/>
      <c r="T7" s="33"/>
      <c r="U7" s="52"/>
      <c r="V7" s="57"/>
      <c r="W7" s="35"/>
      <c r="X7" s="35"/>
    </row>
    <row r="8" spans="1:24" x14ac:dyDescent="0.2">
      <c r="A8" s="1"/>
      <c r="B8" s="3"/>
      <c r="C8" s="3"/>
      <c r="D8" s="4"/>
      <c r="E8" s="4"/>
      <c r="F8" s="32"/>
      <c r="G8" s="1"/>
      <c r="H8" s="32"/>
      <c r="I8" s="8"/>
      <c r="J8" s="32"/>
      <c r="K8" s="5"/>
      <c r="L8" s="32"/>
      <c r="M8" s="2"/>
      <c r="N8" s="42"/>
      <c r="O8" s="2"/>
      <c r="P8" s="24"/>
      <c r="Q8" s="2"/>
      <c r="R8" s="28"/>
      <c r="S8" s="33"/>
      <c r="T8" s="33"/>
      <c r="U8" s="52"/>
      <c r="V8" s="57"/>
      <c r="W8" s="35"/>
      <c r="X8" s="35"/>
    </row>
    <row r="9" spans="1:24" x14ac:dyDescent="0.2">
      <c r="A9" s="1"/>
      <c r="B9" s="3"/>
      <c r="C9" s="3"/>
      <c r="D9" s="4"/>
      <c r="E9" s="4"/>
      <c r="F9" s="32"/>
      <c r="G9" s="1"/>
      <c r="H9" s="32"/>
      <c r="I9" s="8"/>
      <c r="J9" s="32"/>
      <c r="K9" s="5"/>
      <c r="L9" s="32"/>
      <c r="M9" s="2"/>
      <c r="N9" s="42"/>
      <c r="O9" s="2"/>
      <c r="P9" s="24"/>
      <c r="Q9" s="2"/>
      <c r="R9" s="28"/>
      <c r="S9" s="33"/>
      <c r="T9" s="33"/>
      <c r="U9" s="52"/>
      <c r="V9" s="57"/>
      <c r="W9" s="35"/>
      <c r="X9" s="35"/>
    </row>
    <row r="10" spans="1:24" x14ac:dyDescent="0.2">
      <c r="A10" s="1"/>
      <c r="B10" s="3"/>
      <c r="C10" s="3"/>
      <c r="D10" s="4"/>
      <c r="E10" s="4"/>
      <c r="F10" s="32"/>
      <c r="G10" s="1"/>
      <c r="H10" s="32"/>
      <c r="I10" s="8"/>
      <c r="J10" s="32"/>
      <c r="K10" s="5"/>
      <c r="L10" s="32"/>
      <c r="M10" s="2"/>
      <c r="N10" s="42"/>
      <c r="O10" s="2"/>
      <c r="P10" s="24"/>
      <c r="Q10" s="2"/>
      <c r="R10" s="28"/>
      <c r="S10" s="33"/>
      <c r="T10" s="33"/>
      <c r="U10" s="52"/>
      <c r="V10" s="57"/>
      <c r="W10" s="35"/>
      <c r="X10" s="35"/>
    </row>
    <row r="11" spans="1:24" x14ac:dyDescent="0.2">
      <c r="A11" s="16" t="s">
        <v>4</v>
      </c>
      <c r="B11" s="17" t="s">
        <v>5</v>
      </c>
      <c r="C11" s="17" t="s">
        <v>40</v>
      </c>
      <c r="D11" s="18" t="s">
        <v>7</v>
      </c>
      <c r="E11" s="18"/>
      <c r="F11" s="16" t="s">
        <v>8</v>
      </c>
      <c r="G11" s="16" t="s">
        <v>9</v>
      </c>
      <c r="H11" s="17" t="s">
        <v>35</v>
      </c>
      <c r="I11" s="19" t="s">
        <v>10</v>
      </c>
      <c r="J11" s="17" t="s">
        <v>11</v>
      </c>
      <c r="K11" s="17" t="s">
        <v>12</v>
      </c>
      <c r="L11" s="17" t="s">
        <v>13</v>
      </c>
      <c r="M11" s="17" t="s">
        <v>14</v>
      </c>
      <c r="N11" s="43" t="s">
        <v>15</v>
      </c>
      <c r="O11" s="17" t="s">
        <v>16</v>
      </c>
      <c r="P11" s="20" t="s">
        <v>61</v>
      </c>
      <c r="Q11" s="17" t="s">
        <v>17</v>
      </c>
      <c r="R11" s="16" t="s">
        <v>18</v>
      </c>
      <c r="S11" s="21" t="s">
        <v>34</v>
      </c>
      <c r="T11" s="21" t="s">
        <v>33</v>
      </c>
      <c r="U11" s="53" t="s">
        <v>62</v>
      </c>
      <c r="V11" s="58" t="s">
        <v>31</v>
      </c>
      <c r="W11" s="36"/>
      <c r="X11" s="36"/>
    </row>
    <row r="12" spans="1:24" s="106" customFormat="1" x14ac:dyDescent="0.2">
      <c r="A12" s="96" t="s">
        <v>102</v>
      </c>
      <c r="B12" s="97" t="s">
        <v>21</v>
      </c>
      <c r="C12" s="97" t="s">
        <v>103</v>
      </c>
      <c r="D12" s="98">
        <v>36800</v>
      </c>
      <c r="E12" s="98" t="s">
        <v>104</v>
      </c>
      <c r="F12" s="125" t="s">
        <v>155</v>
      </c>
      <c r="G12" s="125" t="s">
        <v>154</v>
      </c>
      <c r="H12" s="92" t="s">
        <v>105</v>
      </c>
      <c r="I12" s="99">
        <f t="shared" ref="I12:I22" si="0">5.7131/$I$1</f>
        <v>0.18429354838709677</v>
      </c>
      <c r="J12" s="100"/>
      <c r="K12" s="100"/>
      <c r="L12" s="100"/>
      <c r="M12" s="100"/>
      <c r="N12" s="101"/>
      <c r="O12" s="100"/>
      <c r="P12" s="93">
        <v>100007</v>
      </c>
      <c r="Q12" s="97">
        <v>23430</v>
      </c>
      <c r="R12" s="96"/>
      <c r="S12" s="103">
        <f t="shared" ref="S12:S24" si="1">I12*1*Q12</f>
        <v>4317.9978387096771</v>
      </c>
      <c r="T12" s="103"/>
      <c r="U12" s="131" t="s">
        <v>130</v>
      </c>
      <c r="V12" s="96"/>
      <c r="W12" s="105"/>
      <c r="X12" s="105"/>
    </row>
    <row r="13" spans="1:24" s="106" customFormat="1" x14ac:dyDescent="0.2">
      <c r="A13" s="96" t="s">
        <v>102</v>
      </c>
      <c r="B13" s="97" t="s">
        <v>21</v>
      </c>
      <c r="C13" s="97" t="s">
        <v>103</v>
      </c>
      <c r="D13" s="98">
        <v>36800</v>
      </c>
      <c r="E13" s="98" t="s">
        <v>104</v>
      </c>
      <c r="F13" s="125" t="s">
        <v>157</v>
      </c>
      <c r="G13" s="125" t="s">
        <v>154</v>
      </c>
      <c r="H13" s="92" t="s">
        <v>105</v>
      </c>
      <c r="I13" s="99">
        <f t="shared" si="0"/>
        <v>0.18429354838709677</v>
      </c>
      <c r="J13" s="100"/>
      <c r="K13" s="100"/>
      <c r="L13" s="100"/>
      <c r="M13" s="100"/>
      <c r="N13" s="101"/>
      <c r="O13" s="100"/>
      <c r="P13" s="93">
        <v>100007</v>
      </c>
      <c r="Q13" s="97">
        <v>26481</v>
      </c>
      <c r="R13" s="96"/>
      <c r="S13" s="103">
        <f t="shared" ref="S13:S18" si="2">I13*1*Q13</f>
        <v>4880.2774548387097</v>
      </c>
      <c r="T13" s="103"/>
      <c r="U13" s="131" t="s">
        <v>130</v>
      </c>
      <c r="V13" s="96"/>
      <c r="W13" s="105"/>
      <c r="X13" s="105"/>
    </row>
    <row r="14" spans="1:24" s="106" customFormat="1" x14ac:dyDescent="0.2">
      <c r="A14" s="96" t="s">
        <v>102</v>
      </c>
      <c r="B14" s="97" t="s">
        <v>21</v>
      </c>
      <c r="C14" s="97" t="s">
        <v>103</v>
      </c>
      <c r="D14" s="98">
        <v>36800</v>
      </c>
      <c r="E14" s="98" t="s">
        <v>104</v>
      </c>
      <c r="F14" s="125" t="s">
        <v>158</v>
      </c>
      <c r="G14" s="125" t="s">
        <v>154</v>
      </c>
      <c r="H14" s="92" t="s">
        <v>105</v>
      </c>
      <c r="I14" s="99">
        <f t="shared" si="0"/>
        <v>0.18429354838709677</v>
      </c>
      <c r="J14" s="100"/>
      <c r="K14" s="100"/>
      <c r="L14" s="100"/>
      <c r="M14" s="100"/>
      <c r="N14" s="101"/>
      <c r="O14" s="100"/>
      <c r="P14" s="93">
        <v>100007</v>
      </c>
      <c r="Q14" s="97">
        <v>1292</v>
      </c>
      <c r="R14" s="96"/>
      <c r="S14" s="103">
        <f t="shared" si="2"/>
        <v>238.10726451612902</v>
      </c>
      <c r="T14" s="103"/>
      <c r="U14" s="131" t="s">
        <v>130</v>
      </c>
      <c r="V14" s="96"/>
      <c r="W14" s="105"/>
      <c r="X14" s="105"/>
    </row>
    <row r="15" spans="1:24" s="106" customFormat="1" x14ac:dyDescent="0.2">
      <c r="A15" s="96" t="s">
        <v>102</v>
      </c>
      <c r="B15" s="97" t="s">
        <v>21</v>
      </c>
      <c r="C15" s="97" t="s">
        <v>103</v>
      </c>
      <c r="D15" s="98">
        <v>36800</v>
      </c>
      <c r="E15" s="98" t="s">
        <v>104</v>
      </c>
      <c r="F15" s="125" t="s">
        <v>159</v>
      </c>
      <c r="G15" s="125" t="s">
        <v>154</v>
      </c>
      <c r="H15" s="92" t="s">
        <v>105</v>
      </c>
      <c r="I15" s="99">
        <f t="shared" si="0"/>
        <v>0.18429354838709677</v>
      </c>
      <c r="J15" s="100"/>
      <c r="K15" s="100"/>
      <c r="L15" s="100"/>
      <c r="M15" s="100"/>
      <c r="N15" s="101"/>
      <c r="O15" s="100"/>
      <c r="P15" s="93">
        <v>100007</v>
      </c>
      <c r="Q15" s="97">
        <v>543</v>
      </c>
      <c r="R15" s="96"/>
      <c r="S15" s="103">
        <f t="shared" si="2"/>
        <v>100.07139677419354</v>
      </c>
      <c r="T15" s="103"/>
      <c r="U15" s="131" t="s">
        <v>130</v>
      </c>
      <c r="V15" s="96"/>
      <c r="W15" s="105"/>
      <c r="X15" s="105"/>
    </row>
    <row r="16" spans="1:24" s="106" customFormat="1" x14ac:dyDescent="0.2">
      <c r="A16" s="96" t="s">
        <v>102</v>
      </c>
      <c r="B16" s="97" t="s">
        <v>21</v>
      </c>
      <c r="C16" s="97" t="s">
        <v>103</v>
      </c>
      <c r="D16" s="98">
        <v>36800</v>
      </c>
      <c r="E16" s="98" t="s">
        <v>104</v>
      </c>
      <c r="F16" s="125" t="s">
        <v>160</v>
      </c>
      <c r="G16" s="125" t="s">
        <v>154</v>
      </c>
      <c r="H16" s="92" t="s">
        <v>105</v>
      </c>
      <c r="I16" s="99">
        <f t="shared" si="0"/>
        <v>0.18429354838709677</v>
      </c>
      <c r="J16" s="100"/>
      <c r="K16" s="100"/>
      <c r="L16" s="100"/>
      <c r="M16" s="100"/>
      <c r="N16" s="101"/>
      <c r="O16" s="100"/>
      <c r="P16" s="93">
        <v>100007</v>
      </c>
      <c r="Q16" s="97">
        <v>2848</v>
      </c>
      <c r="R16" s="96"/>
      <c r="S16" s="103">
        <f t="shared" si="2"/>
        <v>524.86802580645156</v>
      </c>
      <c r="T16" s="103"/>
      <c r="U16" s="131" t="s">
        <v>130</v>
      </c>
      <c r="V16" s="96"/>
      <c r="W16" s="105"/>
      <c r="X16" s="105"/>
    </row>
    <row r="17" spans="1:24" s="106" customFormat="1" x14ac:dyDescent="0.2">
      <c r="A17" s="96" t="s">
        <v>102</v>
      </c>
      <c r="B17" s="97" t="s">
        <v>21</v>
      </c>
      <c r="C17" s="97" t="s">
        <v>103</v>
      </c>
      <c r="D17" s="98">
        <v>36800</v>
      </c>
      <c r="E17" s="98" t="s">
        <v>104</v>
      </c>
      <c r="F17" s="125" t="s">
        <v>161</v>
      </c>
      <c r="G17" s="125" t="s">
        <v>154</v>
      </c>
      <c r="H17" s="92" t="s">
        <v>105</v>
      </c>
      <c r="I17" s="99">
        <f t="shared" si="0"/>
        <v>0.18429354838709677</v>
      </c>
      <c r="J17" s="100"/>
      <c r="K17" s="100"/>
      <c r="L17" s="100"/>
      <c r="M17" s="100"/>
      <c r="N17" s="101"/>
      <c r="O17" s="100"/>
      <c r="P17" s="93">
        <v>100007</v>
      </c>
      <c r="Q17" s="97">
        <v>3758</v>
      </c>
      <c r="R17" s="96"/>
      <c r="S17" s="103">
        <f t="shared" si="2"/>
        <v>692.57515483870964</v>
      </c>
      <c r="T17" s="103"/>
      <c r="U17" s="131" t="s">
        <v>130</v>
      </c>
      <c r="V17" s="96"/>
      <c r="W17" s="105"/>
      <c r="X17" s="105"/>
    </row>
    <row r="18" spans="1:24" s="106" customFormat="1" x14ac:dyDescent="0.2">
      <c r="A18" s="96" t="s">
        <v>168</v>
      </c>
      <c r="B18" s="97" t="s">
        <v>21</v>
      </c>
      <c r="C18" s="97" t="s">
        <v>103</v>
      </c>
      <c r="D18" s="98">
        <v>36800</v>
      </c>
      <c r="E18" s="98">
        <v>36830</v>
      </c>
      <c r="F18" s="125" t="s">
        <v>169</v>
      </c>
      <c r="G18" s="125"/>
      <c r="H18" s="92" t="s">
        <v>105</v>
      </c>
      <c r="I18" s="99">
        <f>6.25/I$1</f>
        <v>0.20161290322580644</v>
      </c>
      <c r="J18" s="100"/>
      <c r="K18" s="100"/>
      <c r="L18" s="100"/>
      <c r="M18" s="100"/>
      <c r="N18" s="101"/>
      <c r="O18" s="100"/>
      <c r="P18" s="93">
        <v>100007</v>
      </c>
      <c r="Q18" s="97">
        <v>5050</v>
      </c>
      <c r="R18" s="96"/>
      <c r="S18" s="103">
        <f t="shared" si="2"/>
        <v>1018.1451612903226</v>
      </c>
      <c r="T18" s="103"/>
      <c r="U18" s="131"/>
      <c r="V18" s="96"/>
      <c r="W18" s="105"/>
      <c r="X18" s="105"/>
    </row>
    <row r="19" spans="1:24" s="106" customFormat="1" x14ac:dyDescent="0.2">
      <c r="A19" s="96" t="s">
        <v>168</v>
      </c>
      <c r="B19" s="97" t="s">
        <v>21</v>
      </c>
      <c r="C19" s="97" t="s">
        <v>103</v>
      </c>
      <c r="D19" s="98">
        <v>36800</v>
      </c>
      <c r="E19" s="98">
        <v>36830</v>
      </c>
      <c r="F19" s="125" t="s">
        <v>169</v>
      </c>
      <c r="G19" s="125"/>
      <c r="H19" s="92" t="s">
        <v>105</v>
      </c>
      <c r="I19" s="99">
        <v>0.03</v>
      </c>
      <c r="J19" s="100"/>
      <c r="K19" s="100"/>
      <c r="L19" s="100"/>
      <c r="M19" s="100"/>
      <c r="N19" s="101"/>
      <c r="O19" s="100"/>
      <c r="P19" s="93">
        <v>100007</v>
      </c>
      <c r="Q19" s="97">
        <v>-5050</v>
      </c>
      <c r="R19" s="96"/>
      <c r="S19" s="104">
        <f>I19*I1*Q19</f>
        <v>-4696.5</v>
      </c>
      <c r="T19" s="103"/>
      <c r="U19" s="131">
        <v>421395</v>
      </c>
      <c r="V19" s="96"/>
      <c r="W19" s="105"/>
      <c r="X19" s="105"/>
    </row>
    <row r="20" spans="1:24" s="106" customFormat="1" x14ac:dyDescent="0.2">
      <c r="A20" s="96" t="s">
        <v>102</v>
      </c>
      <c r="B20" s="97" t="s">
        <v>21</v>
      </c>
      <c r="C20" s="97" t="s">
        <v>103</v>
      </c>
      <c r="D20" s="126">
        <v>36831</v>
      </c>
      <c r="E20" s="98" t="s">
        <v>104</v>
      </c>
      <c r="F20" s="125" t="s">
        <v>37</v>
      </c>
      <c r="G20" s="125" t="s">
        <v>111</v>
      </c>
      <c r="H20" s="92" t="s">
        <v>105</v>
      </c>
      <c r="I20" s="99">
        <f t="shared" si="0"/>
        <v>0.18429354838709677</v>
      </c>
      <c r="J20" s="100"/>
      <c r="K20" s="100"/>
      <c r="L20" s="100"/>
      <c r="M20" s="100"/>
      <c r="N20" s="101"/>
      <c r="O20" s="100"/>
      <c r="P20" s="93">
        <v>100104</v>
      </c>
      <c r="Q20" s="97">
        <v>0</v>
      </c>
      <c r="R20" s="96" t="s">
        <v>112</v>
      </c>
      <c r="S20" s="103">
        <f t="shared" si="1"/>
        <v>0</v>
      </c>
      <c r="T20" s="103"/>
      <c r="U20" s="104"/>
      <c r="V20" s="96"/>
      <c r="W20" s="105"/>
      <c r="X20" s="105"/>
    </row>
    <row r="21" spans="1:24" s="106" customFormat="1" x14ac:dyDescent="0.2">
      <c r="A21" s="96" t="s">
        <v>102</v>
      </c>
      <c r="B21" s="97" t="s">
        <v>21</v>
      </c>
      <c r="C21" s="97" t="s">
        <v>103</v>
      </c>
      <c r="D21" s="98">
        <v>36800</v>
      </c>
      <c r="E21" s="98" t="s">
        <v>104</v>
      </c>
      <c r="F21" s="125" t="s">
        <v>113</v>
      </c>
      <c r="G21" s="125" t="s">
        <v>111</v>
      </c>
      <c r="H21" s="92" t="s">
        <v>115</v>
      </c>
      <c r="I21" s="99">
        <f t="shared" si="0"/>
        <v>0.18429354838709677</v>
      </c>
      <c r="J21" s="100"/>
      <c r="K21" s="100"/>
      <c r="L21" s="100"/>
      <c r="M21" s="100"/>
      <c r="N21" s="101"/>
      <c r="O21" s="100"/>
      <c r="P21" s="93">
        <v>200088</v>
      </c>
      <c r="Q21" s="97">
        <v>0</v>
      </c>
      <c r="R21" s="96" t="s">
        <v>114</v>
      </c>
      <c r="S21" s="103">
        <f t="shared" si="1"/>
        <v>0</v>
      </c>
      <c r="T21" s="103"/>
      <c r="U21" s="104"/>
      <c r="V21" s="96"/>
      <c r="W21" s="105"/>
      <c r="X21" s="105"/>
    </row>
    <row r="22" spans="1:24" s="106" customFormat="1" x14ac:dyDescent="0.2">
      <c r="A22" s="96" t="s">
        <v>102</v>
      </c>
      <c r="B22" s="97" t="s">
        <v>21</v>
      </c>
      <c r="C22" s="97" t="s">
        <v>103</v>
      </c>
      <c r="D22" s="98">
        <v>36800</v>
      </c>
      <c r="E22" s="98" t="s">
        <v>104</v>
      </c>
      <c r="F22" s="125"/>
      <c r="G22" s="125" t="s">
        <v>111</v>
      </c>
      <c r="H22" s="92" t="s">
        <v>118</v>
      </c>
      <c r="I22" s="99">
        <f t="shared" si="0"/>
        <v>0.18429354838709677</v>
      </c>
      <c r="J22" s="100"/>
      <c r="K22" s="100"/>
      <c r="L22" s="100"/>
      <c r="M22" s="100"/>
      <c r="N22" s="101"/>
      <c r="O22" s="100"/>
      <c r="P22" s="93">
        <v>700005</v>
      </c>
      <c r="Q22" s="97">
        <v>0</v>
      </c>
      <c r="R22" s="96" t="s">
        <v>119</v>
      </c>
      <c r="S22" s="103">
        <f t="shared" si="1"/>
        <v>0</v>
      </c>
      <c r="T22" s="103"/>
      <c r="U22" s="104"/>
      <c r="V22" s="96"/>
      <c r="W22" s="105"/>
      <c r="X22" s="105"/>
    </row>
    <row r="23" spans="1:24" s="106" customFormat="1" x14ac:dyDescent="0.2">
      <c r="A23" s="96" t="s">
        <v>102</v>
      </c>
      <c r="B23" s="97" t="s">
        <v>21</v>
      </c>
      <c r="C23" s="97" t="s">
        <v>103</v>
      </c>
      <c r="D23" s="98">
        <v>36800</v>
      </c>
      <c r="E23" s="98" t="s">
        <v>104</v>
      </c>
      <c r="F23" s="125" t="s">
        <v>116</v>
      </c>
      <c r="G23" s="125" t="s">
        <v>39</v>
      </c>
      <c r="H23" s="92" t="s">
        <v>117</v>
      </c>
      <c r="I23" s="99">
        <f>1/$I$1</f>
        <v>3.2258064516129031E-2</v>
      </c>
      <c r="J23" s="100"/>
      <c r="K23" s="100"/>
      <c r="L23" s="100"/>
      <c r="M23" s="100"/>
      <c r="N23" s="101"/>
      <c r="O23" s="100"/>
      <c r="P23" s="93">
        <v>300008</v>
      </c>
      <c r="Q23" s="97">
        <v>53648</v>
      </c>
      <c r="R23" s="96"/>
      <c r="S23" s="103">
        <f t="shared" si="1"/>
        <v>1730.5806451612902</v>
      </c>
      <c r="T23" s="103"/>
      <c r="U23" s="131" t="s">
        <v>156</v>
      </c>
      <c r="V23" s="96"/>
      <c r="W23" s="105"/>
      <c r="X23" s="105"/>
    </row>
    <row r="24" spans="1:24" s="106" customFormat="1" x14ac:dyDescent="0.2">
      <c r="A24" s="96" t="s">
        <v>102</v>
      </c>
      <c r="B24" s="97" t="s">
        <v>21</v>
      </c>
      <c r="C24" s="97" t="s">
        <v>103</v>
      </c>
      <c r="D24" s="98">
        <v>36800</v>
      </c>
      <c r="E24" s="98" t="s">
        <v>104</v>
      </c>
      <c r="F24" s="125" t="s">
        <v>116</v>
      </c>
      <c r="G24" s="125" t="s">
        <v>38</v>
      </c>
      <c r="H24" s="92" t="s">
        <v>117</v>
      </c>
      <c r="I24" s="99">
        <f>1/$I$1</f>
        <v>3.2258064516129031E-2</v>
      </c>
      <c r="J24" s="100"/>
      <c r="K24" s="100"/>
      <c r="L24" s="100"/>
      <c r="M24" s="100"/>
      <c r="N24" s="101"/>
      <c r="O24" s="100"/>
      <c r="P24" s="93">
        <v>300008</v>
      </c>
      <c r="Q24" s="97">
        <v>761250</v>
      </c>
      <c r="R24" s="96"/>
      <c r="S24" s="103">
        <f t="shared" si="1"/>
        <v>24556.451612903224</v>
      </c>
      <c r="T24" s="103"/>
      <c r="U24" s="131" t="s">
        <v>156</v>
      </c>
      <c r="V24" s="96"/>
      <c r="W24" s="105"/>
      <c r="X24" s="105"/>
    </row>
    <row r="25" spans="1:24" x14ac:dyDescent="0.2">
      <c r="A25" s="10" t="s">
        <v>3</v>
      </c>
      <c r="B25" s="11" t="s">
        <v>3</v>
      </c>
      <c r="C25" s="12" t="s">
        <v>3</v>
      </c>
      <c r="D25" s="13" t="s">
        <v>3</v>
      </c>
      <c r="E25" s="13"/>
      <c r="F25" s="10" t="s">
        <v>3</v>
      </c>
      <c r="G25" s="30" t="s">
        <v>3</v>
      </c>
      <c r="H25" s="11" t="s">
        <v>3</v>
      </c>
      <c r="I25" s="14"/>
      <c r="J25" s="15"/>
      <c r="K25" s="15"/>
      <c r="L25" s="15"/>
      <c r="M25" s="15"/>
      <c r="N25" s="44"/>
      <c r="O25" s="15"/>
      <c r="P25" s="26" t="s">
        <v>3</v>
      </c>
      <c r="Q25" s="11">
        <f>SUM(Q12:Q24)</f>
        <v>873250</v>
      </c>
      <c r="R25" s="10" t="s">
        <v>3</v>
      </c>
      <c r="S25" s="22">
        <f>SUM(S12:S24)</f>
        <v>33362.574554838706</v>
      </c>
      <c r="T25" s="22"/>
      <c r="U25" s="54"/>
      <c r="V25" s="10"/>
      <c r="W25" s="36"/>
      <c r="X25" s="36"/>
    </row>
    <row r="26" spans="1:24" x14ac:dyDescent="0.2">
      <c r="A26" s="16" t="s">
        <v>4</v>
      </c>
      <c r="B26" s="17" t="s">
        <v>5</v>
      </c>
      <c r="C26" s="17" t="s">
        <v>6</v>
      </c>
      <c r="D26" s="18" t="s">
        <v>7</v>
      </c>
      <c r="E26" s="18"/>
      <c r="F26" s="16" t="s">
        <v>8</v>
      </c>
      <c r="G26" s="16" t="s">
        <v>9</v>
      </c>
      <c r="H26" s="17" t="s">
        <v>35</v>
      </c>
      <c r="I26" s="19" t="s">
        <v>10</v>
      </c>
      <c r="J26" s="17" t="s">
        <v>11</v>
      </c>
      <c r="K26" s="17" t="s">
        <v>12</v>
      </c>
      <c r="L26" s="17" t="s">
        <v>13</v>
      </c>
      <c r="M26" s="17" t="s">
        <v>14</v>
      </c>
      <c r="N26" s="43" t="s">
        <v>15</v>
      </c>
      <c r="O26" s="17" t="s">
        <v>16</v>
      </c>
      <c r="P26" s="20" t="s">
        <v>61</v>
      </c>
      <c r="Q26" s="17" t="s">
        <v>17</v>
      </c>
      <c r="R26" s="16" t="s">
        <v>18</v>
      </c>
      <c r="S26" s="21" t="s">
        <v>34</v>
      </c>
      <c r="T26" s="21" t="s">
        <v>33</v>
      </c>
      <c r="U26" s="53" t="s">
        <v>62</v>
      </c>
      <c r="V26" s="58" t="str">
        <f>+V11</f>
        <v>Questions</v>
      </c>
      <c r="W26" s="36"/>
      <c r="X26" s="36"/>
    </row>
    <row r="27" spans="1:24" s="106" customFormat="1" x14ac:dyDescent="0.2">
      <c r="A27" s="96" t="s">
        <v>102</v>
      </c>
      <c r="B27" s="97" t="s">
        <v>32</v>
      </c>
      <c r="C27" s="97" t="s">
        <v>103</v>
      </c>
      <c r="D27" s="98">
        <v>36800</v>
      </c>
      <c r="E27" s="98" t="s">
        <v>104</v>
      </c>
      <c r="F27" s="96" t="s">
        <v>162</v>
      </c>
      <c r="G27" s="96" t="s">
        <v>163</v>
      </c>
      <c r="H27" s="97" t="s">
        <v>36</v>
      </c>
      <c r="I27" s="99">
        <f>6.238/I$1</f>
        <v>0.20122580645161292</v>
      </c>
      <c r="J27" s="100">
        <v>0</v>
      </c>
      <c r="K27" s="100">
        <v>0</v>
      </c>
      <c r="L27" s="100">
        <v>0</v>
      </c>
      <c r="M27" s="100">
        <v>0</v>
      </c>
      <c r="N27" s="101">
        <v>0</v>
      </c>
      <c r="O27" s="100">
        <f>SUM(I27:M27)</f>
        <v>0.20122580645161292</v>
      </c>
      <c r="P27" s="102">
        <v>38115</v>
      </c>
      <c r="Q27" s="97">
        <v>2631</v>
      </c>
      <c r="R27" s="96"/>
      <c r="S27" s="103"/>
      <c r="T27" s="103"/>
      <c r="U27" s="131" t="s">
        <v>166</v>
      </c>
      <c r="V27" s="96"/>
      <c r="W27" s="105"/>
      <c r="X27" s="105"/>
    </row>
    <row r="28" spans="1:24" s="106" customFormat="1" x14ac:dyDescent="0.2">
      <c r="A28" s="96" t="s">
        <v>102</v>
      </c>
      <c r="B28" s="97" t="s">
        <v>32</v>
      </c>
      <c r="C28" s="97" t="s">
        <v>103</v>
      </c>
      <c r="D28" s="98">
        <v>36800</v>
      </c>
      <c r="E28" s="98" t="s">
        <v>104</v>
      </c>
      <c r="F28" s="96" t="s">
        <v>164</v>
      </c>
      <c r="G28" s="96" t="s">
        <v>163</v>
      </c>
      <c r="H28" s="97" t="s">
        <v>36</v>
      </c>
      <c r="I28" s="99">
        <f>6.238/I$1</f>
        <v>0.20122580645161292</v>
      </c>
      <c r="J28" s="100">
        <v>0</v>
      </c>
      <c r="K28" s="100">
        <v>0</v>
      </c>
      <c r="L28" s="100">
        <v>0</v>
      </c>
      <c r="M28" s="100">
        <v>0</v>
      </c>
      <c r="N28" s="101">
        <v>0</v>
      </c>
      <c r="O28" s="100">
        <f>SUM(I28:M28)</f>
        <v>0.20122580645161292</v>
      </c>
      <c r="P28" s="102">
        <v>38115</v>
      </c>
      <c r="Q28" s="97">
        <v>5000</v>
      </c>
      <c r="R28" s="96"/>
      <c r="S28" s="103"/>
      <c r="T28" s="103"/>
      <c r="U28" s="131" t="s">
        <v>166</v>
      </c>
      <c r="V28" s="96"/>
      <c r="W28" s="105"/>
      <c r="X28" s="105"/>
    </row>
    <row r="29" spans="1:24" s="106" customFormat="1" x14ac:dyDescent="0.2">
      <c r="A29" s="96" t="s">
        <v>102</v>
      </c>
      <c r="B29" s="97" t="s">
        <v>32</v>
      </c>
      <c r="C29" s="97" t="s">
        <v>103</v>
      </c>
      <c r="D29" s="98">
        <v>36800</v>
      </c>
      <c r="E29" s="98" t="s">
        <v>104</v>
      </c>
      <c r="F29" s="96" t="s">
        <v>165</v>
      </c>
      <c r="G29" s="96" t="s">
        <v>163</v>
      </c>
      <c r="H29" s="97" t="s">
        <v>36</v>
      </c>
      <c r="I29" s="99">
        <f>6.238/I$1</f>
        <v>0.20122580645161292</v>
      </c>
      <c r="J29" s="100">
        <v>0</v>
      </c>
      <c r="K29" s="100">
        <v>0</v>
      </c>
      <c r="L29" s="100">
        <v>0</v>
      </c>
      <c r="M29" s="100">
        <v>0</v>
      </c>
      <c r="N29" s="101">
        <v>0</v>
      </c>
      <c r="O29" s="100">
        <f>SUM(I29:M29)</f>
        <v>0.20122580645161292</v>
      </c>
      <c r="P29" s="102">
        <v>38115</v>
      </c>
      <c r="Q29" s="97">
        <v>50339</v>
      </c>
      <c r="R29" s="96"/>
      <c r="S29" s="103"/>
      <c r="T29" s="103"/>
      <c r="U29" s="131" t="s">
        <v>166</v>
      </c>
      <c r="V29" s="96"/>
      <c r="W29" s="105"/>
      <c r="X29" s="105"/>
    </row>
    <row r="30" spans="1:24" s="106" customFormat="1" x14ac:dyDescent="0.2">
      <c r="A30" s="96" t="s">
        <v>102</v>
      </c>
      <c r="B30" s="97" t="s">
        <v>32</v>
      </c>
      <c r="C30" s="97" t="s">
        <v>103</v>
      </c>
      <c r="D30" s="98">
        <v>36800</v>
      </c>
      <c r="E30" s="98" t="s">
        <v>104</v>
      </c>
      <c r="F30" s="96" t="s">
        <v>37</v>
      </c>
      <c r="G30" s="96" t="s">
        <v>163</v>
      </c>
      <c r="H30" s="97" t="s">
        <v>167</v>
      </c>
      <c r="I30" s="99">
        <f>6.238/I$1</f>
        <v>0.20122580645161292</v>
      </c>
      <c r="J30" s="100">
        <v>0</v>
      </c>
      <c r="K30" s="100">
        <v>0</v>
      </c>
      <c r="L30" s="100">
        <v>0</v>
      </c>
      <c r="M30" s="100">
        <v>0</v>
      </c>
      <c r="N30" s="101">
        <v>0</v>
      </c>
      <c r="O30" s="100">
        <f>SUM(I30:M30)</f>
        <v>0.20122580645161292</v>
      </c>
      <c r="P30" s="102">
        <v>38088</v>
      </c>
      <c r="Q30" s="97">
        <v>49030</v>
      </c>
      <c r="R30" s="96"/>
      <c r="S30" s="103"/>
      <c r="T30" s="103"/>
      <c r="U30" s="131" t="s">
        <v>170</v>
      </c>
      <c r="V30" s="96"/>
      <c r="W30" s="105"/>
      <c r="X30" s="105"/>
    </row>
    <row r="31" spans="1:24" s="106" customFormat="1" x14ac:dyDescent="0.2">
      <c r="A31" s="96" t="s">
        <v>102</v>
      </c>
      <c r="B31" s="97" t="s">
        <v>32</v>
      </c>
      <c r="C31" s="97" t="s">
        <v>103</v>
      </c>
      <c r="D31" s="98">
        <v>36800</v>
      </c>
      <c r="E31" s="98" t="s">
        <v>104</v>
      </c>
      <c r="F31" s="96" t="s">
        <v>171</v>
      </c>
      <c r="G31" s="96" t="s">
        <v>163</v>
      </c>
      <c r="H31" s="97" t="s">
        <v>36</v>
      </c>
      <c r="I31" s="99">
        <f>6.238/I$1</f>
        <v>0.20122580645161292</v>
      </c>
      <c r="J31" s="100">
        <v>0</v>
      </c>
      <c r="K31" s="100">
        <v>0</v>
      </c>
      <c r="L31" s="100">
        <v>0</v>
      </c>
      <c r="M31" s="100">
        <v>0</v>
      </c>
      <c r="N31" s="101">
        <v>0</v>
      </c>
      <c r="O31" s="100">
        <f>SUM(I31:M31)</f>
        <v>0.20122580645161292</v>
      </c>
      <c r="P31" s="102">
        <v>65066</v>
      </c>
      <c r="Q31" s="97">
        <v>38000</v>
      </c>
      <c r="R31" s="96"/>
      <c r="S31" s="103"/>
      <c r="T31" s="103"/>
      <c r="U31" s="131" t="s">
        <v>172</v>
      </c>
      <c r="V31" s="96"/>
      <c r="W31" s="105"/>
      <c r="X31" s="105"/>
    </row>
    <row r="32" spans="1:24" x14ac:dyDescent="0.2">
      <c r="S32" s="9">
        <f>+Q32*I32</f>
        <v>0</v>
      </c>
    </row>
    <row r="33" spans="1:24" x14ac:dyDescent="0.2">
      <c r="A33" s="10" t="s">
        <v>3</v>
      </c>
      <c r="B33" s="11" t="s">
        <v>3</v>
      </c>
      <c r="C33" s="11" t="s">
        <v>3</v>
      </c>
      <c r="D33" s="13" t="s">
        <v>3</v>
      </c>
      <c r="E33" s="13" t="s">
        <v>3</v>
      </c>
      <c r="F33" s="10" t="s">
        <v>3</v>
      </c>
      <c r="G33" s="30" t="s">
        <v>3</v>
      </c>
      <c r="H33" s="11" t="s">
        <v>3</v>
      </c>
      <c r="I33" s="14"/>
      <c r="J33" s="15"/>
      <c r="K33" s="15"/>
      <c r="L33" s="15"/>
      <c r="M33" s="15"/>
      <c r="N33" s="44"/>
      <c r="O33" s="15"/>
      <c r="P33" s="26" t="s">
        <v>3</v>
      </c>
      <c r="Q33" s="11">
        <f>SUM(Q27:Q31)</f>
        <v>145000</v>
      </c>
      <c r="R33" s="10" t="s">
        <v>3</v>
      </c>
      <c r="S33" s="22">
        <f>SUM(S31:S31)</f>
        <v>0</v>
      </c>
      <c r="T33" s="22" t="e">
        <f>SUM(#REF!)</f>
        <v>#REF!</v>
      </c>
      <c r="U33" s="54"/>
      <c r="V33" s="30"/>
      <c r="W33" s="36"/>
      <c r="X33" s="36"/>
    </row>
    <row r="34" spans="1:24" x14ac:dyDescent="0.2">
      <c r="A34" s="27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42"/>
      <c r="O34" s="5"/>
      <c r="P34" s="48"/>
      <c r="Q34" s="49"/>
      <c r="R34" s="28"/>
      <c r="S34" s="28"/>
      <c r="T34" s="28"/>
      <c r="U34" s="51"/>
      <c r="V34" s="57"/>
      <c r="W34" s="35"/>
      <c r="X34" s="35"/>
    </row>
    <row r="35" spans="1:24" x14ac:dyDescent="0.2">
      <c r="A35" s="27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42"/>
      <c r="O35" s="5"/>
      <c r="P35" s="48"/>
      <c r="Q35" s="49"/>
      <c r="R35" s="28"/>
      <c r="S35" s="28"/>
      <c r="T35" s="28"/>
      <c r="U35" s="51"/>
      <c r="V35" s="57"/>
      <c r="W35" s="35"/>
      <c r="X35" s="35"/>
    </row>
    <row r="36" spans="1:24" ht="13.5" thickBot="1" x14ac:dyDescent="0.25">
      <c r="A36" s="27"/>
      <c r="B36" s="3"/>
      <c r="C36" s="3"/>
      <c r="D36" s="4"/>
      <c r="E36" s="4"/>
      <c r="F36" s="1"/>
      <c r="G36" s="1"/>
      <c r="H36" s="3"/>
      <c r="I36" s="5"/>
      <c r="J36" s="5"/>
      <c r="K36" s="5"/>
      <c r="L36" s="5"/>
      <c r="M36" s="5"/>
      <c r="N36" s="42"/>
      <c r="O36" s="5"/>
      <c r="P36" s="48"/>
      <c r="Q36" s="49"/>
      <c r="R36" s="28"/>
      <c r="S36" s="85" t="e">
        <f>SUM(#REF!,S33,S25,)</f>
        <v>#REF!</v>
      </c>
      <c r="T36" s="28" t="s">
        <v>64</v>
      </c>
      <c r="U36" s="51"/>
      <c r="V36" s="57"/>
      <c r="W36" s="35"/>
      <c r="X36" s="35"/>
    </row>
    <row r="37" spans="1:24" ht="13.5" thickTop="1" x14ac:dyDescent="0.2">
      <c r="A37" s="27"/>
      <c r="B37" s="3"/>
      <c r="C37" s="3"/>
      <c r="D37" s="4"/>
      <c r="E37" s="4"/>
      <c r="F37" s="1"/>
      <c r="G37" s="1"/>
      <c r="H37" s="3"/>
      <c r="I37" s="5"/>
      <c r="J37" s="5"/>
      <c r="K37" s="5"/>
      <c r="L37" s="5"/>
      <c r="M37" s="5"/>
      <c r="N37" s="42"/>
      <c r="O37" s="5"/>
      <c r="P37" s="48"/>
      <c r="Q37" s="49"/>
      <c r="R37" s="28"/>
      <c r="S37" s="28"/>
      <c r="T37" s="57" t="s">
        <v>65</v>
      </c>
      <c r="U37" s="51"/>
      <c r="V37" s="57"/>
      <c r="W37" s="40"/>
      <c r="X37" s="35"/>
    </row>
    <row r="38" spans="1:24" x14ac:dyDescent="0.2">
      <c r="A38" s="27"/>
      <c r="B38" s="3"/>
      <c r="C38" s="3"/>
      <c r="D38" s="4"/>
      <c r="E38" s="4"/>
      <c r="F38" s="1"/>
      <c r="G38" s="1"/>
      <c r="H38" s="3"/>
      <c r="I38" s="5"/>
      <c r="J38" s="5"/>
      <c r="K38" s="5"/>
      <c r="L38" s="5"/>
      <c r="M38" s="5"/>
      <c r="N38" s="42"/>
      <c r="O38" s="5"/>
      <c r="P38" s="48"/>
      <c r="Q38" s="49"/>
      <c r="R38" s="28"/>
      <c r="S38" s="28"/>
      <c r="T38" s="28"/>
      <c r="U38" s="51"/>
      <c r="V38" s="57"/>
      <c r="W38" s="35"/>
      <c r="X38" s="35"/>
    </row>
    <row r="39" spans="1:24" x14ac:dyDescent="0.2">
      <c r="A39" s="27"/>
      <c r="B39" s="3"/>
      <c r="C39" s="3"/>
      <c r="D39" s="4"/>
      <c r="E39" s="4"/>
      <c r="F39" s="1"/>
      <c r="G39" s="1"/>
      <c r="H39" s="3"/>
      <c r="I39" s="5"/>
      <c r="J39" s="5"/>
      <c r="K39" s="5"/>
      <c r="L39" s="5"/>
      <c r="M39" s="5"/>
      <c r="N39" s="42"/>
      <c r="O39" s="5"/>
      <c r="P39" s="48"/>
      <c r="Q39" s="49"/>
      <c r="R39" s="28"/>
      <c r="S39" s="28"/>
      <c r="T39" s="28"/>
      <c r="U39" s="51"/>
      <c r="V39" s="57"/>
      <c r="W39" s="35"/>
      <c r="X39" s="35"/>
    </row>
    <row r="40" spans="1:24" x14ac:dyDescent="0.2">
      <c r="A40" s="27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2"/>
      <c r="O40" s="5"/>
      <c r="P40" s="48"/>
      <c r="Q40" s="49"/>
      <c r="R40" s="40"/>
      <c r="S40" s="28"/>
      <c r="T40" s="28"/>
      <c r="U40" s="51"/>
      <c r="V40" s="57"/>
      <c r="W40" s="35"/>
      <c r="X40" s="35"/>
    </row>
    <row r="41" spans="1:24" x14ac:dyDescent="0.2">
      <c r="A41" s="27"/>
      <c r="B41" s="3"/>
      <c r="C41" s="3"/>
      <c r="D41" s="4"/>
      <c r="E41" s="4"/>
      <c r="F41" s="1"/>
      <c r="G41" s="1"/>
      <c r="H41" s="3"/>
      <c r="I41" s="8"/>
      <c r="J41" s="5"/>
      <c r="K41" s="5"/>
      <c r="L41" s="5"/>
      <c r="M41" s="5"/>
      <c r="N41" s="42"/>
      <c r="O41" s="5"/>
      <c r="P41" s="48"/>
      <c r="Q41" s="49"/>
      <c r="R41" s="40"/>
      <c r="S41" s="28"/>
      <c r="T41" s="28"/>
      <c r="U41" s="51"/>
      <c r="V41" s="57"/>
      <c r="W41" s="35"/>
      <c r="X41" s="35"/>
    </row>
    <row r="42" spans="1:24" x14ac:dyDescent="0.2">
      <c r="P42" s="34"/>
      <c r="Q42" s="34"/>
      <c r="R42" s="34"/>
      <c r="S42" s="34"/>
      <c r="T42" s="34"/>
      <c r="U42" s="50"/>
      <c r="V42" s="60"/>
      <c r="W42" s="50"/>
    </row>
    <row r="43" spans="1:24" x14ac:dyDescent="0.2">
      <c r="P43" s="34"/>
      <c r="Q43" s="34"/>
      <c r="R43" s="34"/>
      <c r="S43" s="34"/>
      <c r="T43" s="34"/>
      <c r="U43" s="50"/>
      <c r="V43" s="60"/>
      <c r="W43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Pricing</vt:lpstr>
      <vt:lpstr>CES Retail East</vt:lpstr>
      <vt:lpstr>CES Retail Mrkt</vt:lpstr>
      <vt:lpstr>'CES Retail East'!Print_Area</vt:lpstr>
      <vt:lpstr>'CES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2000-09-14T17:33:17Z</cp:lastPrinted>
  <dcterms:created xsi:type="dcterms:W3CDTF">1998-07-21T12:15:25Z</dcterms:created>
  <dcterms:modified xsi:type="dcterms:W3CDTF">2023-09-14T19:11:32Z</dcterms:modified>
</cp:coreProperties>
</file>