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F9225C-CD93-4B5C-B06F-1500AD0A2A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E9" i="1"/>
  <c r="G9" i="1"/>
  <c r="I9" i="1"/>
  <c r="M9" i="1"/>
  <c r="Q9" i="1"/>
  <c r="R9" i="1"/>
  <c r="S9" i="1"/>
  <c r="T9" i="1"/>
  <c r="U9" i="1"/>
  <c r="C10" i="1"/>
  <c r="E10" i="1"/>
  <c r="G10" i="1"/>
  <c r="I10" i="1"/>
  <c r="M10" i="1"/>
  <c r="Q10" i="1"/>
  <c r="R10" i="1"/>
  <c r="S10" i="1"/>
  <c r="T10" i="1"/>
  <c r="U10" i="1"/>
  <c r="C11" i="1"/>
  <c r="E11" i="1"/>
  <c r="G11" i="1"/>
  <c r="I11" i="1"/>
  <c r="M11" i="1"/>
  <c r="Q11" i="1"/>
  <c r="R11" i="1"/>
  <c r="S11" i="1"/>
  <c r="T11" i="1"/>
  <c r="U11" i="1"/>
  <c r="C12" i="1"/>
  <c r="E12" i="1"/>
  <c r="G12" i="1"/>
  <c r="I12" i="1"/>
  <c r="M12" i="1"/>
  <c r="Q12" i="1"/>
  <c r="R12" i="1"/>
  <c r="S12" i="1"/>
  <c r="T12" i="1"/>
  <c r="U12" i="1"/>
  <c r="C13" i="1"/>
  <c r="E13" i="1"/>
  <c r="G13" i="1"/>
  <c r="I13" i="1"/>
  <c r="K13" i="1"/>
  <c r="M13" i="1"/>
  <c r="Q13" i="1"/>
  <c r="R13" i="1"/>
  <c r="S13" i="1"/>
  <c r="T13" i="1"/>
  <c r="U13" i="1"/>
  <c r="C14" i="1"/>
  <c r="E14" i="1"/>
  <c r="G14" i="1"/>
  <c r="I14" i="1"/>
  <c r="K14" i="1"/>
  <c r="M14" i="1"/>
  <c r="Q14" i="1"/>
  <c r="R14" i="1"/>
  <c r="S14" i="1"/>
  <c r="T14" i="1"/>
  <c r="U14" i="1"/>
  <c r="C15" i="1"/>
  <c r="E15" i="1"/>
  <c r="G15" i="1"/>
  <c r="I15" i="1"/>
  <c r="M15" i="1"/>
  <c r="Q15" i="1"/>
  <c r="R15" i="1"/>
  <c r="S15" i="1"/>
  <c r="T15" i="1"/>
  <c r="U15" i="1"/>
  <c r="C16" i="1"/>
  <c r="E16" i="1"/>
  <c r="G16" i="1"/>
  <c r="I16" i="1"/>
  <c r="M16" i="1"/>
  <c r="Q16" i="1"/>
  <c r="R16" i="1"/>
  <c r="S16" i="1"/>
  <c r="T16" i="1"/>
  <c r="U16" i="1"/>
  <c r="C17" i="1"/>
  <c r="E17" i="1"/>
  <c r="G17" i="1"/>
  <c r="I17" i="1"/>
  <c r="M17" i="1"/>
  <c r="Q17" i="1"/>
  <c r="R17" i="1"/>
  <c r="S17" i="1"/>
  <c r="T17" i="1"/>
  <c r="U17" i="1"/>
  <c r="C18" i="1"/>
  <c r="E18" i="1"/>
  <c r="G18" i="1"/>
  <c r="I18" i="1"/>
  <c r="M18" i="1"/>
  <c r="Q18" i="1"/>
  <c r="R18" i="1"/>
  <c r="S18" i="1"/>
  <c r="T18" i="1"/>
  <c r="U18" i="1"/>
  <c r="C19" i="1"/>
  <c r="E19" i="1"/>
  <c r="G19" i="1"/>
  <c r="I19" i="1"/>
  <c r="K19" i="1"/>
  <c r="M19" i="1"/>
  <c r="Q19" i="1"/>
  <c r="R19" i="1"/>
  <c r="S19" i="1"/>
  <c r="T19" i="1"/>
  <c r="U19" i="1"/>
  <c r="C20" i="1"/>
  <c r="E20" i="1"/>
  <c r="G20" i="1"/>
  <c r="I20" i="1"/>
  <c r="K20" i="1"/>
  <c r="M20" i="1"/>
  <c r="O20" i="1"/>
  <c r="Q20" i="1"/>
  <c r="S20" i="1"/>
  <c r="T20" i="1"/>
  <c r="U20" i="1"/>
  <c r="C21" i="1"/>
  <c r="E21" i="1"/>
  <c r="G21" i="1"/>
  <c r="I21" i="1"/>
  <c r="K21" i="1"/>
  <c r="M21" i="1"/>
  <c r="O21" i="1"/>
  <c r="Q21" i="1"/>
  <c r="R21" i="1"/>
  <c r="S21" i="1"/>
  <c r="T21" i="1"/>
  <c r="U21" i="1"/>
  <c r="S23" i="1"/>
  <c r="T23" i="1"/>
  <c r="S30" i="1"/>
  <c r="S34" i="1"/>
  <c r="S35" i="1"/>
  <c r="S36" i="1"/>
  <c r="T38" i="1"/>
</calcChain>
</file>

<file path=xl/sharedStrings.xml><?xml version="1.0" encoding="utf-8"?>
<sst xmlns="http://schemas.openxmlformats.org/spreadsheetml/2006/main" count="103" uniqueCount="63">
  <si>
    <t>Month of November 2000</t>
  </si>
  <si>
    <t>Path 1 ----------------------------------------------------------------&gt;</t>
  </si>
  <si>
    <t>Path 2 ----------------------------------------------------------------&gt;</t>
  </si>
  <si>
    <t>Path 3 ----------------------------------------------------------------&gt;</t>
  </si>
  <si>
    <t>Path</t>
  </si>
  <si>
    <t>Index</t>
  </si>
  <si>
    <t>Receipt Price ($/dth)</t>
  </si>
  <si>
    <t>Transport</t>
  </si>
  <si>
    <t>Commodity Rate ($/dth)</t>
  </si>
  <si>
    <t>Fuel (%)</t>
  </si>
  <si>
    <t>Net Cost at Delivery Point of FT ($/dth)</t>
  </si>
  <si>
    <t>CNG to Quantico</t>
  </si>
  <si>
    <t>VNG Pipeline</t>
  </si>
  <si>
    <t>TGO Z0 - IF</t>
  </si>
  <si>
    <t>TGP Z0 to Z4</t>
  </si>
  <si>
    <t>CNG/Transco Z2</t>
  </si>
  <si>
    <t>Transco Z2 - IF</t>
  </si>
  <si>
    <t>Transco Z2 to Leidy</t>
  </si>
  <si>
    <t>CNG/Transco Z3</t>
  </si>
  <si>
    <t>Transco Z3 - IF</t>
  </si>
  <si>
    <t>Transco Z3 to Leidy</t>
  </si>
  <si>
    <t>Transco Z1 to Emporia</t>
  </si>
  <si>
    <t>TCO Shorthaul</t>
  </si>
  <si>
    <t>Transco Z2 to Emporia</t>
  </si>
  <si>
    <t>Transco Z3 to Emporia</t>
  </si>
  <si>
    <t>TCO / Col Gulf</t>
  </si>
  <si>
    <t>Col Gulf LA - IF</t>
  </si>
  <si>
    <t>Col Gulf IT-2 to Rayne</t>
  </si>
  <si>
    <t>Col Gulf Rayne to Leach</t>
  </si>
  <si>
    <t>TCO to city gate</t>
  </si>
  <si>
    <t>TCO / Transco Z1</t>
  </si>
  <si>
    <t>Transco Z1 - IF</t>
  </si>
  <si>
    <t>TCO / Transco Z2</t>
  </si>
  <si>
    <t>TCO / Transco Z3</t>
  </si>
  <si>
    <t>Calculation of WACOG1 for VNG</t>
  </si>
  <si>
    <t>Prices in dth/day at city gate gate stations ====&gt;  Not adjusted for dth to mcf conversion and any use and unaccounted for.</t>
  </si>
  <si>
    <t>Supplier</t>
  </si>
  <si>
    <t>Supplier #1</t>
  </si>
  <si>
    <t>Delivered Quantity at City Gate (dth/day)</t>
  </si>
  <si>
    <t>Quantity at Receipt Point (dth/day)</t>
  </si>
  <si>
    <t>Supplier #2</t>
  </si>
  <si>
    <t>Net Cost at City Gate ($/dth)</t>
  </si>
  <si>
    <t>Supplier #3</t>
  </si>
  <si>
    <t>Supplier #4</t>
  </si>
  <si>
    <t>CNG / TGP Z0</t>
  </si>
  <si>
    <t>Spot Purchases During Month</t>
  </si>
  <si>
    <t>Total Projected Quantity (dth) 1/</t>
  </si>
  <si>
    <t xml:space="preserve">                      Notes:  1/  Covers projected quantity purchased for flowing supply and storage injections.</t>
  </si>
  <si>
    <t>Planned Injections</t>
  </si>
  <si>
    <t xml:space="preserve">    CNG GSS</t>
  </si>
  <si>
    <t xml:space="preserve">    CHSPK-LNG</t>
  </si>
  <si>
    <t xml:space="preserve">    Transco WSS</t>
  </si>
  <si>
    <t xml:space="preserve">    Transco GSS</t>
  </si>
  <si>
    <t xml:space="preserve">       Net System Supply</t>
  </si>
  <si>
    <t>Projected End User Transport Supply</t>
  </si>
  <si>
    <t xml:space="preserve">    Transco </t>
  </si>
  <si>
    <t xml:space="preserve">    CNG</t>
  </si>
  <si>
    <t xml:space="preserve">    Columbia</t>
  </si>
  <si>
    <t xml:space="preserve">    Columbia FSS</t>
  </si>
  <si>
    <t xml:space="preserve">       Net Projected Sendout</t>
  </si>
  <si>
    <t>Weighting</t>
  </si>
  <si>
    <t>Wtd Price ($/dth)</t>
  </si>
  <si>
    <t xml:space="preserve">        PROJECTED CITY GATE COST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</si>
</sst>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164" fontId="4" fillId="2" borderId="0" xfId="2" applyNumberFormat="1" applyFont="1" applyFill="1"/>
    <xf numFmtId="164" fontId="4" fillId="2" borderId="0" xfId="2" applyNumberFormat="1" applyFont="1" applyFill="1" applyAlignment="1">
      <alignment horizontal="left"/>
    </xf>
    <xf numFmtId="165" fontId="4" fillId="2" borderId="0" xfId="3" applyNumberFormat="1" applyFont="1" applyFill="1"/>
    <xf numFmtId="164" fontId="0" fillId="2" borderId="0" xfId="2" applyNumberFormat="1" applyFont="1" applyFill="1"/>
    <xf numFmtId="10" fontId="4" fillId="2" borderId="0" xfId="3" applyNumberFormat="1" applyFont="1" applyFill="1"/>
    <xf numFmtId="166" fontId="0" fillId="2" borderId="0" xfId="1" applyNumberFormat="1" applyFont="1" applyFill="1"/>
    <xf numFmtId="0" fontId="0" fillId="2" borderId="1" xfId="0" applyFill="1" applyBorder="1"/>
    <xf numFmtId="0" fontId="5" fillId="2" borderId="0" xfId="0" applyFont="1" applyFill="1"/>
    <xf numFmtId="166" fontId="4" fillId="2" borderId="0" xfId="1" applyNumberFormat="1" applyFont="1" applyFill="1"/>
    <xf numFmtId="166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/>
    <xf numFmtId="166" fontId="7" fillId="2" borderId="0" xfId="1" applyNumberFormat="1" applyFont="1" applyFill="1"/>
    <xf numFmtId="166" fontId="0" fillId="2" borderId="0" xfId="0" applyNumberFormat="1" applyFill="1"/>
    <xf numFmtId="166" fontId="5" fillId="2" borderId="0" xfId="1" applyNumberFormat="1" applyFont="1" applyFill="1"/>
    <xf numFmtId="166" fontId="8" fillId="2" borderId="0" xfId="1" applyNumberFormat="1" applyFont="1" applyFill="1"/>
    <xf numFmtId="0" fontId="8" fillId="2" borderId="0" xfId="0" applyFont="1" applyFill="1"/>
    <xf numFmtId="9" fontId="0" fillId="2" borderId="0" xfId="3" applyFont="1" applyFill="1"/>
    <xf numFmtId="0" fontId="0" fillId="2" borderId="2" xfId="0" applyFill="1" applyBorder="1"/>
    <xf numFmtId="164" fontId="2" fillId="2" borderId="3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8"/>
  <sheetViews>
    <sheetView tabSelected="1" workbookViewId="0">
      <pane xSplit="1" ySplit="8" topLeftCell="P24" activePane="bottomRight" state="frozen"/>
      <selection pane="topRight" activeCell="B1" sqref="B1"/>
      <selection pane="bottomLeft" activeCell="A9" sqref="A9"/>
      <selection pane="bottomRight" sqref="A1:U41"/>
    </sheetView>
  </sheetViews>
  <sheetFormatPr defaultColWidth="16.140625" defaultRowHeight="12.75" x14ac:dyDescent="0.2"/>
  <cols>
    <col min="1" max="2" width="35.42578125" style="3" customWidth="1"/>
    <col min="3" max="3" width="16.5703125" style="3" customWidth="1"/>
    <col min="4" max="4" width="20.7109375" style="2" customWidth="1"/>
    <col min="5" max="5" width="16.140625" style="3" customWidth="1"/>
    <col min="6" max="6" width="20.5703125" style="3" customWidth="1"/>
    <col min="7" max="9" width="16.140625" style="3" customWidth="1"/>
    <col min="10" max="10" width="20.140625" style="3" customWidth="1"/>
    <col min="11" max="13" width="16.140625" style="3" customWidth="1"/>
    <col min="14" max="14" width="18.28515625" style="3" customWidth="1"/>
    <col min="15" max="16384" width="16.140625" style="3"/>
  </cols>
  <sheetData>
    <row r="2" spans="1:21" x14ac:dyDescent="0.2">
      <c r="A2" s="1"/>
      <c r="B2" s="1"/>
      <c r="C2" s="1"/>
    </row>
    <row r="3" spans="1:21" x14ac:dyDescent="0.2">
      <c r="A3" s="1" t="s">
        <v>34</v>
      </c>
      <c r="B3" s="1"/>
      <c r="C3" s="1"/>
    </row>
    <row r="4" spans="1:21" x14ac:dyDescent="0.2">
      <c r="A4" s="3" t="s">
        <v>35</v>
      </c>
    </row>
    <row r="6" spans="1:21" x14ac:dyDescent="0.2">
      <c r="A6" s="4" t="s">
        <v>0</v>
      </c>
      <c r="B6" s="4"/>
      <c r="C6" s="4"/>
      <c r="F6" s="4" t="s">
        <v>1</v>
      </c>
      <c r="J6" s="4" t="s">
        <v>2</v>
      </c>
      <c r="N6" s="4" t="s">
        <v>3</v>
      </c>
    </row>
    <row r="8" spans="1:21" ht="38.25" x14ac:dyDescent="0.2">
      <c r="A8" s="1" t="s">
        <v>36</v>
      </c>
      <c r="B8" s="1" t="s">
        <v>4</v>
      </c>
      <c r="C8" s="6" t="s">
        <v>39</v>
      </c>
      <c r="D8" s="5" t="s">
        <v>5</v>
      </c>
      <c r="E8" s="6" t="s">
        <v>6</v>
      </c>
      <c r="F8" s="7" t="s">
        <v>7</v>
      </c>
      <c r="G8" s="6" t="s">
        <v>8</v>
      </c>
      <c r="H8" s="6" t="s">
        <v>9</v>
      </c>
      <c r="I8" s="6" t="s">
        <v>10</v>
      </c>
      <c r="J8" s="7" t="s">
        <v>7</v>
      </c>
      <c r="K8" s="6" t="s">
        <v>8</v>
      </c>
      <c r="L8" s="6" t="s">
        <v>9</v>
      </c>
      <c r="M8" s="6" t="s">
        <v>10</v>
      </c>
      <c r="N8" s="7" t="s">
        <v>7</v>
      </c>
      <c r="O8" s="6" t="s">
        <v>8</v>
      </c>
      <c r="P8" s="6" t="s">
        <v>9</v>
      </c>
      <c r="Q8" s="6" t="s">
        <v>41</v>
      </c>
      <c r="R8" s="6" t="s">
        <v>38</v>
      </c>
      <c r="S8" s="6" t="s">
        <v>46</v>
      </c>
      <c r="T8" s="6" t="s">
        <v>60</v>
      </c>
      <c r="U8" s="6" t="s">
        <v>61</v>
      </c>
    </row>
    <row r="9" spans="1:21" x14ac:dyDescent="0.2">
      <c r="A9" s="15" t="s">
        <v>37</v>
      </c>
      <c r="B9" s="3" t="s">
        <v>32</v>
      </c>
      <c r="C9" s="13">
        <f t="shared" ref="C9:C21" si="0">((+R9/(1-P9))/(1-L9))/(1-H9)</f>
        <v>4181.9132253005746</v>
      </c>
      <c r="D9" s="2" t="s">
        <v>16</v>
      </c>
      <c r="E9" s="8">
        <f>5.24+0.15</f>
        <v>5.3900000000000006</v>
      </c>
      <c r="F9" s="9" t="s">
        <v>23</v>
      </c>
      <c r="G9" s="8">
        <f>0.0351+0.0022+0.0072</f>
        <v>4.4499999999999998E-2</v>
      </c>
      <c r="H9" s="10">
        <v>4.3499999999999997E-2</v>
      </c>
      <c r="I9" s="11">
        <f>+E9/(1-H9)+G9</f>
        <v>5.6796280710925258</v>
      </c>
      <c r="J9" s="9" t="s">
        <v>22</v>
      </c>
      <c r="K9" s="8">
        <v>0</v>
      </c>
      <c r="L9" s="12">
        <v>0.01</v>
      </c>
      <c r="M9" s="11">
        <f>+I9/(1-L9)+K9</f>
        <v>5.7369980516086123</v>
      </c>
      <c r="N9" s="9"/>
      <c r="O9" s="8">
        <v>0</v>
      </c>
      <c r="P9" s="12">
        <v>0</v>
      </c>
      <c r="Q9" s="11">
        <f>+M9/(1-P9)+O9</f>
        <v>5.7369980516086123</v>
      </c>
      <c r="R9" s="16">
        <f>4000*(1-L9)</f>
        <v>3960</v>
      </c>
      <c r="S9" s="23">
        <f>+R9*31</f>
        <v>122760</v>
      </c>
      <c r="T9" s="25">
        <f>+S9/$S$23</f>
        <v>4.7260091768764015E-2</v>
      </c>
      <c r="U9" s="11">
        <f>+T9*Q9</f>
        <v>0.27113105439624335</v>
      </c>
    </row>
    <row r="10" spans="1:21" x14ac:dyDescent="0.2">
      <c r="A10" s="15"/>
      <c r="B10" s="3" t="s">
        <v>33</v>
      </c>
      <c r="C10" s="13">
        <f t="shared" si="0"/>
        <v>4115.0764748725423</v>
      </c>
      <c r="D10" s="2" t="s">
        <v>19</v>
      </c>
      <c r="E10" s="8">
        <f>5.29+0.15</f>
        <v>5.44</v>
      </c>
      <c r="F10" s="9" t="s">
        <v>24</v>
      </c>
      <c r="G10" s="8">
        <f>0.0325+0.0022+0.0072</f>
        <v>4.19E-2</v>
      </c>
      <c r="H10" s="10">
        <v>3.8899999999999997E-2</v>
      </c>
      <c r="I10" s="11">
        <f>+E10/(1-H10)+G10</f>
        <v>5.702081042555406</v>
      </c>
      <c r="J10" s="9" t="s">
        <v>22</v>
      </c>
      <c r="K10" s="8">
        <v>0</v>
      </c>
      <c r="L10" s="12">
        <v>0.01</v>
      </c>
      <c r="M10" s="11">
        <f>+I10/(1-L10)+K10</f>
        <v>5.7596778207630361</v>
      </c>
      <c r="N10" s="9"/>
      <c r="O10" s="8">
        <v>0</v>
      </c>
      <c r="P10" s="12">
        <v>0</v>
      </c>
      <c r="Q10" s="11">
        <f>+M10/(1-P10)+O10</f>
        <v>5.7596778207630361</v>
      </c>
      <c r="R10" s="16">
        <f>3955*(1-L10)</f>
        <v>3915.45</v>
      </c>
      <c r="S10" s="23">
        <f t="shared" ref="S10:S21" si="1">+R10*31</f>
        <v>121378.95</v>
      </c>
      <c r="T10" s="25">
        <f t="shared" ref="T10:T23" si="2">+S10/$S$23</f>
        <v>4.6728415736365415E-2</v>
      </c>
      <c r="U10" s="11">
        <f t="shared" ref="U10:U21" si="3">+T10*Q10</f>
        <v>0.26914061971613834</v>
      </c>
    </row>
    <row r="11" spans="1:21" x14ac:dyDescent="0.2">
      <c r="A11" s="15" t="s">
        <v>40</v>
      </c>
      <c r="B11" s="3" t="s">
        <v>30</v>
      </c>
      <c r="C11" s="13">
        <f t="shared" si="0"/>
        <v>3567.6810073452257</v>
      </c>
      <c r="D11" s="2" t="s">
        <v>31</v>
      </c>
      <c r="E11" s="8">
        <f>5.21+0.15</f>
        <v>5.36</v>
      </c>
      <c r="F11" s="9" t="s">
        <v>21</v>
      </c>
      <c r="G11" s="8">
        <f>0.0371+0.022+0.0072</f>
        <v>6.6299999999999998E-2</v>
      </c>
      <c r="H11" s="10">
        <v>4.7E-2</v>
      </c>
      <c r="I11" s="11">
        <f>+E11/(1-H11)+G11</f>
        <v>5.6906441762854154</v>
      </c>
      <c r="J11" s="9" t="s">
        <v>22</v>
      </c>
      <c r="K11" s="8">
        <v>0</v>
      </c>
      <c r="L11" s="12">
        <v>0.01</v>
      </c>
      <c r="M11" s="11">
        <f>+I11/(1-L11)+K11</f>
        <v>5.7481254305913287</v>
      </c>
      <c r="N11" s="9"/>
      <c r="O11" s="8">
        <v>0</v>
      </c>
      <c r="P11" s="12">
        <v>0</v>
      </c>
      <c r="Q11" s="11">
        <f>+M11/(1-P11)+O11</f>
        <v>5.7481254305913287</v>
      </c>
      <c r="R11" s="16">
        <f>3400*(1-L11)</f>
        <v>3366</v>
      </c>
      <c r="S11" s="23">
        <f t="shared" si="1"/>
        <v>104346</v>
      </c>
      <c r="T11" s="25">
        <f t="shared" si="2"/>
        <v>4.0171078003449413E-2</v>
      </c>
      <c r="U11" s="11">
        <f t="shared" si="3"/>
        <v>0.23090839504589553</v>
      </c>
    </row>
    <row r="12" spans="1:21" x14ac:dyDescent="0.2">
      <c r="A12" s="15"/>
      <c r="B12" s="3" t="s">
        <v>33</v>
      </c>
      <c r="C12" s="13">
        <f t="shared" si="0"/>
        <v>3168.2447195921341</v>
      </c>
      <c r="D12" s="2" t="s">
        <v>19</v>
      </c>
      <c r="E12" s="8">
        <f>5.29+0.15</f>
        <v>5.44</v>
      </c>
      <c r="F12" s="9" t="s">
        <v>24</v>
      </c>
      <c r="G12" s="8">
        <f>0.0325+0.0022+0.0072</f>
        <v>4.19E-2</v>
      </c>
      <c r="H12" s="10">
        <v>3.8899999999999997E-2</v>
      </c>
      <c r="I12" s="11">
        <f t="shared" ref="I12:I17" si="4">+E12/(1-H12)+G12</f>
        <v>5.702081042555406</v>
      </c>
      <c r="J12" s="9" t="s">
        <v>22</v>
      </c>
      <c r="K12" s="8">
        <v>0</v>
      </c>
      <c r="L12" s="12">
        <v>0.01</v>
      </c>
      <c r="M12" s="11">
        <f t="shared" ref="M12:M17" si="5">+I12/(1-L12)+K12</f>
        <v>5.7596778207630361</v>
      </c>
      <c r="N12" s="9"/>
      <c r="O12" s="8">
        <v>0</v>
      </c>
      <c r="P12" s="12">
        <v>0</v>
      </c>
      <c r="Q12" s="11">
        <f t="shared" ref="Q12:Q17" si="6">+M12/(1-P12)+O12</f>
        <v>5.7596778207630361</v>
      </c>
      <c r="R12" s="16">
        <f>3045*(1-L12)</f>
        <v>3014.55</v>
      </c>
      <c r="S12" s="23">
        <f t="shared" si="1"/>
        <v>93451.05</v>
      </c>
      <c r="T12" s="25">
        <f t="shared" si="2"/>
        <v>3.5976744858971607E-2</v>
      </c>
      <c r="U12" s="11">
        <f t="shared" si="3"/>
        <v>0.20721445942746936</v>
      </c>
    </row>
    <row r="13" spans="1:21" x14ac:dyDescent="0.2">
      <c r="A13" s="15"/>
      <c r="B13" s="3" t="s">
        <v>15</v>
      </c>
      <c r="C13" s="13">
        <f t="shared" si="0"/>
        <v>572.72439616074257</v>
      </c>
      <c r="D13" s="2" t="s">
        <v>16</v>
      </c>
      <c r="E13" s="8">
        <f>5.24+0.15</f>
        <v>5.3900000000000006</v>
      </c>
      <c r="F13" s="9" t="s">
        <v>17</v>
      </c>
      <c r="G13" s="8">
        <f>0.0397+0.0022</f>
        <v>4.19E-2</v>
      </c>
      <c r="H13" s="10">
        <v>5.1900000000000002E-2</v>
      </c>
      <c r="I13" s="11">
        <f t="shared" si="4"/>
        <v>5.7269543191646459</v>
      </c>
      <c r="J13" s="9" t="s">
        <v>11</v>
      </c>
      <c r="K13" s="8">
        <f>0.0391+0.0022+0.0072</f>
        <v>4.8500000000000001E-2</v>
      </c>
      <c r="L13" s="12">
        <v>2.2800000000000001E-2</v>
      </c>
      <c r="M13" s="11">
        <f t="shared" si="5"/>
        <v>5.9090754391779017</v>
      </c>
      <c r="N13" s="9" t="s">
        <v>12</v>
      </c>
      <c r="O13" s="8">
        <v>0</v>
      </c>
      <c r="P13" s="12">
        <v>2.5000000000000001E-3</v>
      </c>
      <c r="Q13" s="11">
        <f t="shared" si="6"/>
        <v>5.9238851520580464</v>
      </c>
      <c r="R13" s="16">
        <f>543*(1-P13)*(1-L13)</f>
        <v>529.29305099999999</v>
      </c>
      <c r="S13" s="23">
        <f t="shared" si="1"/>
        <v>16408.084580999999</v>
      </c>
      <c r="T13" s="25">
        <f t="shared" si="2"/>
        <v>6.3167773138457298E-3</v>
      </c>
      <c r="U13" s="11">
        <f t="shared" si="3"/>
        <v>3.7419863338347827E-2</v>
      </c>
    </row>
    <row r="14" spans="1:21" x14ac:dyDescent="0.2">
      <c r="A14" s="15"/>
      <c r="B14" s="3" t="s">
        <v>18</v>
      </c>
      <c r="C14" s="13">
        <f t="shared" si="0"/>
        <v>13.645428781358245</v>
      </c>
      <c r="D14" s="2" t="s">
        <v>19</v>
      </c>
      <c r="E14" s="8">
        <f>5.29+0.15</f>
        <v>5.44</v>
      </c>
      <c r="F14" s="9" t="s">
        <v>20</v>
      </c>
      <c r="G14" s="8">
        <f>0.0371+0.0022</f>
        <v>3.9300000000000002E-2</v>
      </c>
      <c r="H14" s="10">
        <v>4.7300000000000002E-2</v>
      </c>
      <c r="I14" s="11">
        <f t="shared" si="4"/>
        <v>5.7493871208145277</v>
      </c>
      <c r="J14" s="9" t="s">
        <v>11</v>
      </c>
      <c r="K14" s="8">
        <f>0.0391+0.0022+0.0072</f>
        <v>4.8500000000000001E-2</v>
      </c>
      <c r="L14" s="12">
        <v>2.2800000000000001E-2</v>
      </c>
      <c r="M14" s="11">
        <f t="shared" si="5"/>
        <v>5.9320316422580106</v>
      </c>
      <c r="N14" s="9" t="s">
        <v>12</v>
      </c>
      <c r="O14" s="8">
        <v>0</v>
      </c>
      <c r="P14" s="12">
        <v>2.5000000000000001E-3</v>
      </c>
      <c r="Q14" s="11">
        <f t="shared" si="6"/>
        <v>5.946898889481715</v>
      </c>
      <c r="R14" s="16">
        <f>13*(1-P14)*(1-L14)</f>
        <v>12.671841000000001</v>
      </c>
      <c r="S14" s="23">
        <f t="shared" si="1"/>
        <v>392.82707100000005</v>
      </c>
      <c r="T14" s="25">
        <f t="shared" si="2"/>
        <v>1.5123039609575415E-4</v>
      </c>
      <c r="U14" s="11">
        <f t="shared" si="3"/>
        <v>8.9935187459772026E-4</v>
      </c>
    </row>
    <row r="15" spans="1:21" x14ac:dyDescent="0.2">
      <c r="A15" s="15" t="s">
        <v>42</v>
      </c>
      <c r="B15" s="3" t="s">
        <v>30</v>
      </c>
      <c r="C15" s="13">
        <f t="shared" si="0"/>
        <v>2841.5529905561384</v>
      </c>
      <c r="D15" s="2" t="s">
        <v>31</v>
      </c>
      <c r="E15" s="8">
        <f>5.21+0.15</f>
        <v>5.36</v>
      </c>
      <c r="F15" s="9" t="s">
        <v>21</v>
      </c>
      <c r="G15" s="8">
        <f>0.0371+0.022+0.0072</f>
        <v>6.6299999999999998E-2</v>
      </c>
      <c r="H15" s="10">
        <v>4.7E-2</v>
      </c>
      <c r="I15" s="11">
        <f t="shared" si="4"/>
        <v>5.6906441762854154</v>
      </c>
      <c r="J15" s="9" t="s">
        <v>22</v>
      </c>
      <c r="K15" s="8">
        <v>0</v>
      </c>
      <c r="L15" s="12">
        <v>0.01</v>
      </c>
      <c r="M15" s="11">
        <f t="shared" si="5"/>
        <v>5.7481254305913287</v>
      </c>
      <c r="N15" s="9"/>
      <c r="O15" s="8">
        <v>0</v>
      </c>
      <c r="P15" s="12">
        <v>0</v>
      </c>
      <c r="Q15" s="11">
        <f t="shared" si="6"/>
        <v>5.7481254305913287</v>
      </c>
      <c r="R15" s="16">
        <f>2708*(1-L15)</f>
        <v>2680.92</v>
      </c>
      <c r="S15" s="23">
        <f t="shared" si="1"/>
        <v>83108.52</v>
      </c>
      <c r="T15" s="25">
        <f t="shared" si="2"/>
        <v>3.1995082127453237E-2</v>
      </c>
      <c r="U15" s="11">
        <f t="shared" si="3"/>
        <v>0.18391174523067205</v>
      </c>
    </row>
    <row r="16" spans="1:21" x14ac:dyDescent="0.2">
      <c r="A16" s="15"/>
      <c r="B16" s="3" t="s">
        <v>32</v>
      </c>
      <c r="C16" s="13">
        <f t="shared" si="0"/>
        <v>4164.1400940930471</v>
      </c>
      <c r="D16" s="2" t="s">
        <v>16</v>
      </c>
      <c r="E16" s="8">
        <f>5.24+0.15</f>
        <v>5.3900000000000006</v>
      </c>
      <c r="F16" s="9" t="s">
        <v>23</v>
      </c>
      <c r="G16" s="8">
        <f>0.0351+0.0022+0.0072</f>
        <v>4.4499999999999998E-2</v>
      </c>
      <c r="H16" s="10">
        <v>4.3499999999999997E-2</v>
      </c>
      <c r="I16" s="11">
        <f t="shared" si="4"/>
        <v>5.6796280710925258</v>
      </c>
      <c r="J16" s="9" t="s">
        <v>22</v>
      </c>
      <c r="K16" s="8">
        <v>0</v>
      </c>
      <c r="L16" s="12">
        <v>0.01</v>
      </c>
      <c r="M16" s="11">
        <f t="shared" si="5"/>
        <v>5.7369980516086123</v>
      </c>
      <c r="N16" s="9"/>
      <c r="O16" s="8">
        <v>0</v>
      </c>
      <c r="P16" s="12">
        <v>0</v>
      </c>
      <c r="Q16" s="11">
        <f t="shared" si="6"/>
        <v>5.7369980516086123</v>
      </c>
      <c r="R16" s="16">
        <f>3983*(1-L16)</f>
        <v>3943.17</v>
      </c>
      <c r="S16" s="23">
        <f t="shared" si="1"/>
        <v>122238.27</v>
      </c>
      <c r="T16" s="25">
        <f t="shared" si="2"/>
        <v>4.7059236378746767E-2</v>
      </c>
      <c r="U16" s="11">
        <f t="shared" si="3"/>
        <v>0.26997874741505934</v>
      </c>
    </row>
    <row r="17" spans="1:21" x14ac:dyDescent="0.2">
      <c r="A17" s="15"/>
      <c r="B17" s="3" t="s">
        <v>33</v>
      </c>
      <c r="C17" s="13">
        <f t="shared" si="0"/>
        <v>9612.9435022370199</v>
      </c>
      <c r="D17" s="2" t="s">
        <v>19</v>
      </c>
      <c r="E17" s="8">
        <f>5.29+0.15</f>
        <v>5.44</v>
      </c>
      <c r="F17" s="9" t="s">
        <v>24</v>
      </c>
      <c r="G17" s="8">
        <f>0.0325+0.0022+0.0072</f>
        <v>4.19E-2</v>
      </c>
      <c r="H17" s="10">
        <v>3.8899999999999997E-2</v>
      </c>
      <c r="I17" s="11">
        <f t="shared" si="4"/>
        <v>5.702081042555406</v>
      </c>
      <c r="J17" s="9" t="s">
        <v>22</v>
      </c>
      <c r="K17" s="8">
        <v>0</v>
      </c>
      <c r="L17" s="12">
        <v>0.01</v>
      </c>
      <c r="M17" s="11">
        <f t="shared" si="5"/>
        <v>5.7596778207630361</v>
      </c>
      <c r="N17" s="9"/>
      <c r="O17" s="8">
        <v>0</v>
      </c>
      <c r="P17" s="12">
        <v>0</v>
      </c>
      <c r="Q17" s="11">
        <f t="shared" si="6"/>
        <v>5.7596778207630361</v>
      </c>
      <c r="R17" s="16">
        <f>9239*(1-L17)</f>
        <v>9146.61</v>
      </c>
      <c r="S17" s="23">
        <f t="shared" si="1"/>
        <v>283544.91000000003</v>
      </c>
      <c r="T17" s="25">
        <f t="shared" si="2"/>
        <v>0.1091589969629027</v>
      </c>
      <c r="U17" s="11">
        <f t="shared" si="3"/>
        <v>0.62872065374397024</v>
      </c>
    </row>
    <row r="18" spans="1:21" x14ac:dyDescent="0.2">
      <c r="A18" s="15" t="s">
        <v>43</v>
      </c>
      <c r="B18" s="3" t="s">
        <v>33</v>
      </c>
      <c r="C18" s="13">
        <f t="shared" si="0"/>
        <v>5826.6569555717406</v>
      </c>
      <c r="D18" s="2" t="s">
        <v>19</v>
      </c>
      <c r="E18" s="8">
        <f>5.29+0.15</f>
        <v>5.44</v>
      </c>
      <c r="F18" s="9" t="s">
        <v>24</v>
      </c>
      <c r="G18" s="8">
        <f>0.0325+0.0022+0.0072</f>
        <v>4.19E-2</v>
      </c>
      <c r="H18" s="10">
        <v>3.8899999999999997E-2</v>
      </c>
      <c r="I18" s="11">
        <f>+E18/(1-H18)+G18</f>
        <v>5.702081042555406</v>
      </c>
      <c r="J18" s="9" t="s">
        <v>22</v>
      </c>
      <c r="K18" s="8">
        <v>0</v>
      </c>
      <c r="L18" s="12">
        <v>0.01</v>
      </c>
      <c r="M18" s="11">
        <f>+I18/(1-L18)+K18</f>
        <v>5.7596778207630361</v>
      </c>
      <c r="N18" s="9"/>
      <c r="O18" s="8">
        <v>0</v>
      </c>
      <c r="P18" s="12">
        <v>0</v>
      </c>
      <c r="Q18" s="11">
        <f>+M18/(1-P18)+O18</f>
        <v>5.7596778207630361</v>
      </c>
      <c r="R18" s="16">
        <f>5600*(1-L18)</f>
        <v>5544</v>
      </c>
      <c r="S18" s="13">
        <f t="shared" si="1"/>
        <v>171864</v>
      </c>
      <c r="T18" s="25">
        <f t="shared" si="2"/>
        <v>6.6164128476269624E-2</v>
      </c>
      <c r="U18" s="11">
        <f t="shared" si="3"/>
        <v>0.38108406331488615</v>
      </c>
    </row>
    <row r="19" spans="1:21" x14ac:dyDescent="0.2">
      <c r="A19" s="15"/>
      <c r="B19" s="3" t="s">
        <v>44</v>
      </c>
      <c r="C19" s="13">
        <f t="shared" si="0"/>
        <v>8637.3270120672132</v>
      </c>
      <c r="D19" s="2" t="s">
        <v>13</v>
      </c>
      <c r="E19" s="8">
        <f>5.172+0.15</f>
        <v>5.3220000000000001</v>
      </c>
      <c r="F19" s="9" t="s">
        <v>14</v>
      </c>
      <c r="G19" s="8">
        <f>0.0881+0.0022</f>
        <v>9.0299999999999991E-2</v>
      </c>
      <c r="H19" s="10">
        <v>5.04E-2</v>
      </c>
      <c r="I19" s="11">
        <f>+E19/(1-H19)+G19</f>
        <v>5.6947650379106998</v>
      </c>
      <c r="J19" s="9" t="s">
        <v>11</v>
      </c>
      <c r="K19" s="8">
        <f>0.0391+0.0022+0.0072</f>
        <v>4.8500000000000001E-2</v>
      </c>
      <c r="L19" s="12">
        <v>2.2800000000000001E-2</v>
      </c>
      <c r="M19" s="11">
        <f>+I19/(1-L19)+K19</f>
        <v>5.8761351186151245</v>
      </c>
      <c r="N19" s="9" t="s">
        <v>12</v>
      </c>
      <c r="O19" s="8">
        <v>0</v>
      </c>
      <c r="P19" s="12">
        <v>2.5000000000000001E-3</v>
      </c>
      <c r="Q19" s="11">
        <f>+M19/(1-P19)+O19</f>
        <v>5.8908622743008765</v>
      </c>
      <c r="R19" s="16">
        <f>8015*(1-P19)</f>
        <v>7994.9625000000005</v>
      </c>
      <c r="S19" s="23">
        <f t="shared" si="1"/>
        <v>247843.83750000002</v>
      </c>
      <c r="T19" s="25">
        <f t="shared" si="2"/>
        <v>9.5414813494400758E-2</v>
      </c>
      <c r="U19" s="11">
        <f t="shared" si="3"/>
        <v>0.56207552522361959</v>
      </c>
    </row>
    <row r="20" spans="1:21" x14ac:dyDescent="0.2">
      <c r="A20" s="15"/>
      <c r="B20" s="3" t="s">
        <v>25</v>
      </c>
      <c r="C20" s="13">
        <f t="shared" si="0"/>
        <v>18151.146152879403</v>
      </c>
      <c r="D20" s="2" t="s">
        <v>26</v>
      </c>
      <c r="E20" s="8">
        <f>5.2595+0.15</f>
        <v>5.4095000000000004</v>
      </c>
      <c r="F20" s="9" t="s">
        <v>27</v>
      </c>
      <c r="G20" s="8">
        <f>0.0388+0.0022</f>
        <v>4.1000000000000002E-2</v>
      </c>
      <c r="H20" s="10">
        <v>6.0299999999999998E-3</v>
      </c>
      <c r="I20" s="11">
        <f>+E20/(1-H20)+G20</f>
        <v>5.4833171725504801</v>
      </c>
      <c r="J20" s="9" t="s">
        <v>28</v>
      </c>
      <c r="K20" s="8">
        <f>0.017+0.0022</f>
        <v>1.9200000000000002E-2</v>
      </c>
      <c r="L20" s="12">
        <v>2.8199999999999999E-2</v>
      </c>
      <c r="M20" s="11">
        <f>+I20/(1-L20)+K20</f>
        <v>5.6616338058761881</v>
      </c>
      <c r="N20" s="9" t="s">
        <v>29</v>
      </c>
      <c r="O20" s="8">
        <f>0.0132+0.0022+0.0072</f>
        <v>2.2600000000000002E-2</v>
      </c>
      <c r="P20" s="12">
        <v>2.1839999999999998E-2</v>
      </c>
      <c r="Q20" s="11">
        <f>+M20/(1-P20)+O20</f>
        <v>5.8106447021716159</v>
      </c>
      <c r="R20" s="16">
        <v>17150</v>
      </c>
      <c r="S20" s="23">
        <f t="shared" si="1"/>
        <v>531650</v>
      </c>
      <c r="T20" s="25">
        <f t="shared" si="2"/>
        <v>0.20467438733189464</v>
      </c>
      <c r="U20" s="11">
        <f t="shared" si="3"/>
        <v>1.1892901444202948</v>
      </c>
    </row>
    <row r="21" spans="1:21" x14ac:dyDescent="0.2">
      <c r="A21" s="15" t="s">
        <v>45</v>
      </c>
      <c r="B21" s="3" t="s">
        <v>25</v>
      </c>
      <c r="C21" s="13">
        <f t="shared" si="0"/>
        <v>23849.441831427666</v>
      </c>
      <c r="D21" s="2" t="s">
        <v>26</v>
      </c>
      <c r="E21" s="8">
        <f>5.2595+0.15</f>
        <v>5.4095000000000004</v>
      </c>
      <c r="F21" s="9" t="s">
        <v>27</v>
      </c>
      <c r="G21" s="8">
        <f>0.0388+0.0022</f>
        <v>4.1000000000000002E-2</v>
      </c>
      <c r="H21" s="10">
        <v>6.0299999999999998E-3</v>
      </c>
      <c r="I21" s="11">
        <f>+E21/(1-H21)+G21</f>
        <v>5.4833171725504801</v>
      </c>
      <c r="J21" s="9" t="s">
        <v>28</v>
      </c>
      <c r="K21" s="8">
        <f>0.017+0.0022</f>
        <v>1.9200000000000002E-2</v>
      </c>
      <c r="L21" s="12">
        <v>2.8199999999999999E-2</v>
      </c>
      <c r="M21" s="11">
        <f>+I21/(1-L21)+K21</f>
        <v>5.6616338058761881</v>
      </c>
      <c r="N21" s="9" t="s">
        <v>29</v>
      </c>
      <c r="O21" s="8">
        <f>0.0132+0.0022+0.0072</f>
        <v>2.2600000000000002E-2</v>
      </c>
      <c r="P21" s="12">
        <v>2.1839999999999998E-2</v>
      </c>
      <c r="Q21" s="11">
        <f>+M21/(1-P21)+O21</f>
        <v>5.8106447021716159</v>
      </c>
      <c r="R21" s="16">
        <f>39684-R20</f>
        <v>22534</v>
      </c>
      <c r="S21" s="23">
        <f t="shared" si="1"/>
        <v>698554</v>
      </c>
      <c r="T21" s="25">
        <f t="shared" si="2"/>
        <v>0.26892901715084044</v>
      </c>
      <c r="U21" s="11">
        <f t="shared" si="3"/>
        <v>1.5626509687677506</v>
      </c>
    </row>
    <row r="22" spans="1:21" x14ac:dyDescent="0.2">
      <c r="A22" s="15"/>
      <c r="B22" s="15"/>
      <c r="C22" s="15"/>
      <c r="D22" s="5"/>
      <c r="E22" s="6"/>
      <c r="F22" s="7"/>
      <c r="G22" s="6"/>
      <c r="H22" s="6"/>
      <c r="I22" s="6"/>
      <c r="J22" s="7"/>
      <c r="K22" s="6"/>
      <c r="L22" s="6"/>
      <c r="M22" s="6"/>
      <c r="N22" s="7"/>
      <c r="O22" s="6"/>
      <c r="P22" s="6"/>
      <c r="Q22" s="6"/>
      <c r="R22" s="6"/>
      <c r="S22" s="6"/>
    </row>
    <row r="23" spans="1:21" x14ac:dyDescent="0.2">
      <c r="A23" s="15"/>
      <c r="B23" s="15"/>
      <c r="C23" s="15"/>
      <c r="D23" s="5"/>
      <c r="E23" s="6"/>
      <c r="F23" s="7"/>
      <c r="G23" s="6"/>
      <c r="H23" s="6"/>
      <c r="I23" s="6"/>
      <c r="J23" s="7"/>
      <c r="K23" s="6"/>
      <c r="L23" s="6"/>
      <c r="M23" s="6"/>
      <c r="N23" s="7"/>
      <c r="O23" s="6"/>
      <c r="P23" s="6"/>
      <c r="Q23" s="6"/>
      <c r="R23" s="6"/>
      <c r="S23" s="17">
        <f>SUM(S9:S21)</f>
        <v>2597540.4491519998</v>
      </c>
      <c r="T23" s="25">
        <f t="shared" si="2"/>
        <v>1</v>
      </c>
    </row>
    <row r="24" spans="1:21" ht="25.5" x14ac:dyDescent="0.2">
      <c r="A24" s="15" t="s">
        <v>47</v>
      </c>
      <c r="B24" s="15"/>
      <c r="C24" s="15"/>
      <c r="D24" s="5"/>
      <c r="E24" s="6"/>
      <c r="F24" s="7"/>
      <c r="G24" s="6"/>
      <c r="H24" s="6"/>
      <c r="I24" s="6"/>
      <c r="J24" s="7"/>
      <c r="K24" s="6"/>
      <c r="L24" s="6"/>
      <c r="M24" s="6"/>
      <c r="N24" s="7"/>
      <c r="O24" s="6"/>
      <c r="P24" s="6"/>
      <c r="Q24" s="18" t="s">
        <v>48</v>
      </c>
      <c r="R24" s="6"/>
      <c r="S24" s="6"/>
    </row>
    <row r="25" spans="1:21" x14ac:dyDescent="0.2">
      <c r="Q25" s="3" t="s">
        <v>49</v>
      </c>
      <c r="S25" s="16">
        <v>-514569</v>
      </c>
      <c r="T25" s="23"/>
    </row>
    <row r="26" spans="1:21" x14ac:dyDescent="0.2">
      <c r="Q26" s="3" t="s">
        <v>58</v>
      </c>
      <c r="S26" s="16">
        <v>-157358</v>
      </c>
      <c r="T26" s="23"/>
    </row>
    <row r="27" spans="1:21" x14ac:dyDescent="0.2">
      <c r="Q27" s="3" t="s">
        <v>50</v>
      </c>
      <c r="S27" s="16">
        <v>-188500</v>
      </c>
      <c r="T27" s="23"/>
    </row>
    <row r="28" spans="1:21" x14ac:dyDescent="0.2">
      <c r="Q28" s="3" t="s">
        <v>51</v>
      </c>
      <c r="S28" s="16">
        <v>-102300</v>
      </c>
      <c r="T28" s="23"/>
    </row>
    <row r="29" spans="1:21" x14ac:dyDescent="0.2">
      <c r="Q29" s="19" t="s">
        <v>52</v>
      </c>
      <c r="R29" s="19"/>
      <c r="S29" s="20">
        <v>-8647</v>
      </c>
      <c r="T29" s="23"/>
    </row>
    <row r="30" spans="1:21" x14ac:dyDescent="0.2">
      <c r="Q30" s="3" t="s">
        <v>53</v>
      </c>
      <c r="S30" s="21">
        <f>+S23+SUM(S25:S29)</f>
        <v>1626166.4491519998</v>
      </c>
    </row>
    <row r="32" spans="1:21" x14ac:dyDescent="0.2">
      <c r="Q32" s="3" t="s">
        <v>54</v>
      </c>
    </row>
    <row r="33" spans="17:20" x14ac:dyDescent="0.2">
      <c r="Q33" s="3" t="s">
        <v>55</v>
      </c>
      <c r="S33" s="16">
        <v>0</v>
      </c>
    </row>
    <row r="34" spans="17:20" x14ac:dyDescent="0.2">
      <c r="Q34" s="3" t="s">
        <v>57</v>
      </c>
      <c r="S34" s="16">
        <f>4000*31</f>
        <v>124000</v>
      </c>
      <c r="T34" s="24"/>
    </row>
    <row r="35" spans="17:20" x14ac:dyDescent="0.2">
      <c r="Q35" s="19" t="s">
        <v>56</v>
      </c>
      <c r="R35" s="19"/>
      <c r="S35" s="20">
        <f>13500*31</f>
        <v>418500</v>
      </c>
    </row>
    <row r="36" spans="17:20" x14ac:dyDescent="0.2">
      <c r="Q36" s="3" t="s">
        <v>59</v>
      </c>
      <c r="S36" s="22">
        <f>+S30+SUM(S33:S35)</f>
        <v>2168666.4491519998</v>
      </c>
    </row>
    <row r="37" spans="17:20" ht="13.5" thickBot="1" x14ac:dyDescent="0.25"/>
    <row r="38" spans="17:20" ht="13.5" thickBot="1" x14ac:dyDescent="0.25">
      <c r="Q38" s="26" t="s">
        <v>62</v>
      </c>
      <c r="R38" s="14"/>
      <c r="S38" s="14"/>
      <c r="T38" s="27">
        <f>SUM(U9:U21)</f>
        <v>5.7944255919149441</v>
      </c>
    </row>
  </sheetData>
  <pageMargins left="0.75" right="0.75" top="1" bottom="1" header="0.5" footer="0.5"/>
  <pageSetup scale="3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mbreese</dc:creator>
  <cp:lastModifiedBy>Jan Havlíček</cp:lastModifiedBy>
  <cp:lastPrinted>2000-09-29T16:31:51Z</cp:lastPrinted>
  <dcterms:created xsi:type="dcterms:W3CDTF">2000-09-29T15:55:14Z</dcterms:created>
  <dcterms:modified xsi:type="dcterms:W3CDTF">2023-09-14T19:11:42Z</dcterms:modified>
</cp:coreProperties>
</file>