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80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EAD14B-0760-482E-A3D1-1921F53F70BE}" xr6:coauthVersionLast="47" xr6:coauthVersionMax="47" xr10:uidLastSave="{00000000-0000-0000-0000-000000000000}"/>
  <bookViews>
    <workbookView xWindow="-120" yWindow="-120" windowWidth="38640" windowHeight="15720" tabRatio="465" firstSheet="3" activeTab="5"/>
  </bookViews>
  <sheets>
    <sheet name="IT &amp; Pooling" sheetId="10" r:id="rId1"/>
    <sheet name="CES IT" sheetId="18" r:id="rId2"/>
    <sheet name="Mrkt East Capacity" sheetId="19" r:id="rId3"/>
    <sheet name="East Capacity" sheetId="17" r:id="rId4"/>
    <sheet name="Matrix Aug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Cashout" sheetId="7" r:id="rId11"/>
    <sheet name="Sheet2" sheetId="15" r:id="rId12"/>
    <sheet name="Transport Deal Tickets" sheetId="8" r:id="rId13"/>
  </sheets>
  <definedNames>
    <definedName name="_xlnm.Print_Area" localSheetId="9">Basis!$A$33:$I$42</definedName>
    <definedName name="_xlnm.Print_Area" localSheetId="4">'Matrix Aug'!$A$3:$L$67</definedName>
    <definedName name="_xlnm.Print_Area" localSheetId="2">'Mrkt East Capacity'!$A$34:$U$46</definedName>
    <definedName name="_xlnm.Print_Area" localSheetId="5">Rates!$S$1:$X$72</definedName>
    <definedName name="_xlnm.Print_Area" localSheetId="12">'Transport Deal Tickets'!$A$13:$I$50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I13" i="17"/>
  <c r="O13" i="17"/>
  <c r="S13" i="17"/>
  <c r="O14" i="17"/>
  <c r="S14" i="17"/>
  <c r="I15" i="17"/>
  <c r="O15" i="17"/>
  <c r="S15" i="17"/>
  <c r="I16" i="17"/>
  <c r="O16" i="17"/>
  <c r="S16" i="17"/>
  <c r="I17" i="17"/>
  <c r="O17" i="17"/>
  <c r="S17" i="17"/>
  <c r="I18" i="17"/>
  <c r="O18" i="17"/>
  <c r="S18" i="17"/>
  <c r="I19" i="17"/>
  <c r="O19" i="17"/>
  <c r="S19" i="17"/>
  <c r="I20" i="17"/>
  <c r="O20" i="17"/>
  <c r="S20" i="17"/>
  <c r="I21" i="17"/>
  <c r="O21" i="17"/>
  <c r="S21" i="17"/>
  <c r="I22" i="17"/>
  <c r="O22" i="17"/>
  <c r="S22" i="17"/>
  <c r="O23" i="17"/>
  <c r="S23" i="17"/>
  <c r="I24" i="17"/>
  <c r="S24" i="17"/>
  <c r="I25" i="17"/>
  <c r="O25" i="17"/>
  <c r="S25" i="17"/>
  <c r="I26" i="17"/>
  <c r="O26" i="17"/>
  <c r="S26" i="17"/>
  <c r="Q28" i="17"/>
  <c r="S28" i="17"/>
  <c r="T28" i="17"/>
  <c r="S29" i="17"/>
  <c r="S30" i="17"/>
  <c r="O33" i="17"/>
  <c r="Q35" i="17"/>
  <c r="S35" i="17"/>
  <c r="S37" i="17"/>
  <c r="I40" i="17"/>
  <c r="O40" i="17"/>
  <c r="S40" i="17"/>
  <c r="I41" i="17"/>
  <c r="O41" i="17"/>
  <c r="S41" i="17"/>
  <c r="I42" i="17"/>
  <c r="O42" i="17"/>
  <c r="S42" i="17"/>
  <c r="I43" i="17"/>
  <c r="O43" i="17"/>
  <c r="S43" i="17"/>
  <c r="I44" i="17"/>
  <c r="O44" i="17"/>
  <c r="S44" i="17"/>
  <c r="O46" i="17"/>
  <c r="S46" i="17"/>
  <c r="I47" i="17"/>
  <c r="O47" i="17"/>
  <c r="S47" i="17"/>
  <c r="I48" i="17"/>
  <c r="O48" i="17"/>
  <c r="S48" i="17"/>
  <c r="I49" i="17"/>
  <c r="O49" i="17"/>
  <c r="S49" i="17"/>
  <c r="I50" i="17"/>
  <c r="O50" i="17"/>
  <c r="S50" i="17"/>
  <c r="S51" i="17"/>
  <c r="I52" i="17"/>
  <c r="O52" i="17"/>
  <c r="S52" i="17"/>
  <c r="I53" i="17"/>
  <c r="O53" i="17"/>
  <c r="S53" i="17"/>
  <c r="I54" i="17"/>
  <c r="O54" i="17"/>
  <c r="S54" i="17"/>
  <c r="I55" i="17"/>
  <c r="O55" i="17"/>
  <c r="S55" i="17"/>
  <c r="I56" i="17"/>
  <c r="O56" i="17"/>
  <c r="S56" i="17"/>
  <c r="S57" i="17"/>
  <c r="I58" i="17"/>
  <c r="O58" i="17"/>
  <c r="S58" i="17"/>
  <c r="I59" i="17"/>
  <c r="O59" i="17"/>
  <c r="S59" i="17"/>
  <c r="I60" i="17"/>
  <c r="O60" i="17"/>
  <c r="S60" i="17"/>
  <c r="Q63" i="17"/>
  <c r="S63" i="17"/>
  <c r="S64" i="17"/>
  <c r="S65" i="17"/>
  <c r="O68" i="17"/>
  <c r="S68" i="17"/>
  <c r="T69" i="17"/>
  <c r="Q70" i="17"/>
  <c r="S70" i="17"/>
  <c r="S72" i="17"/>
  <c r="I75" i="17"/>
  <c r="S75" i="17"/>
  <c r="I76" i="17"/>
  <c r="S76" i="17"/>
  <c r="S77" i="17"/>
  <c r="S78" i="17"/>
  <c r="S79" i="17"/>
  <c r="S80" i="17"/>
  <c r="Q81" i="17"/>
  <c r="S81" i="17"/>
  <c r="X81" i="17"/>
  <c r="Y81" i="17"/>
  <c r="Z81" i="17"/>
  <c r="AA81" i="17"/>
  <c r="AB81" i="17"/>
  <c r="AC81" i="17"/>
  <c r="AD81" i="17"/>
  <c r="AF81" i="17"/>
  <c r="AG81" i="17"/>
  <c r="AH81" i="17"/>
  <c r="AI81" i="17"/>
  <c r="I82" i="17"/>
  <c r="O82" i="17"/>
  <c r="S82" i="17"/>
  <c r="O83" i="17"/>
  <c r="S83" i="17"/>
  <c r="I84" i="17"/>
  <c r="O84" i="17"/>
  <c r="S84" i="17"/>
  <c r="I85" i="17"/>
  <c r="O85" i="17"/>
  <c r="S85" i="17"/>
  <c r="I86" i="17"/>
  <c r="O86" i="17"/>
  <c r="S86" i="17"/>
  <c r="O87" i="17"/>
  <c r="O88" i="17"/>
  <c r="O89" i="17"/>
  <c r="S89" i="17"/>
  <c r="O90" i="17"/>
  <c r="S90" i="17"/>
  <c r="O92" i="17"/>
  <c r="O94" i="17"/>
  <c r="S94" i="17"/>
  <c r="O95" i="17"/>
  <c r="S95" i="17"/>
  <c r="O96" i="17"/>
  <c r="S96" i="17"/>
  <c r="O97" i="17"/>
  <c r="S97" i="17"/>
  <c r="I98" i="17"/>
  <c r="O98" i="17"/>
  <c r="S98" i="17"/>
  <c r="I99" i="17"/>
  <c r="O99" i="17"/>
  <c r="S99" i="17"/>
  <c r="O100" i="17"/>
  <c r="S100" i="17"/>
  <c r="O101" i="17"/>
  <c r="S101" i="17"/>
  <c r="O102" i="17"/>
  <c r="O103" i="17"/>
  <c r="S103" i="17"/>
  <c r="O104" i="17"/>
  <c r="S104" i="17"/>
  <c r="I105" i="17"/>
  <c r="S105" i="17"/>
  <c r="I106" i="17"/>
  <c r="O106" i="17"/>
  <c r="S106" i="17"/>
  <c r="O107" i="17"/>
  <c r="O108" i="17"/>
  <c r="O109" i="17"/>
  <c r="Q109" i="17"/>
  <c r="S109" i="17"/>
  <c r="X109" i="17"/>
  <c r="Y109" i="17"/>
  <c r="Z109" i="17"/>
  <c r="AA109" i="17"/>
  <c r="AB109" i="17"/>
  <c r="AC109" i="17"/>
  <c r="AD109" i="17"/>
  <c r="AE109" i="17"/>
  <c r="AF109" i="17"/>
  <c r="AG109" i="17"/>
  <c r="AH109" i="17"/>
  <c r="AI109" i="17"/>
  <c r="O112" i="17"/>
  <c r="S112" i="17"/>
  <c r="O113" i="17"/>
  <c r="S113" i="17"/>
  <c r="S114" i="17"/>
  <c r="S115" i="17"/>
  <c r="S116" i="17"/>
  <c r="I117" i="17"/>
  <c r="O117" i="17"/>
  <c r="S117" i="17"/>
  <c r="T118" i="17"/>
  <c r="Q119" i="17"/>
  <c r="S119" i="17"/>
  <c r="S120" i="17"/>
  <c r="S121" i="17"/>
  <c r="I124" i="17"/>
  <c r="O124" i="17"/>
  <c r="S124" i="17"/>
  <c r="I125" i="17"/>
  <c r="O125" i="17"/>
  <c r="S125" i="17"/>
  <c r="I126" i="17"/>
  <c r="O126" i="17"/>
  <c r="S126" i="17"/>
  <c r="I127" i="17"/>
  <c r="O127" i="17"/>
  <c r="S127" i="17"/>
  <c r="I128" i="17"/>
  <c r="O128" i="17"/>
  <c r="S128" i="17"/>
  <c r="I129" i="17"/>
  <c r="O129" i="17"/>
  <c r="S129" i="17"/>
  <c r="I130" i="17"/>
  <c r="O130" i="17"/>
  <c r="S130" i="17"/>
  <c r="I131" i="17"/>
  <c r="O131" i="17"/>
  <c r="S131" i="17"/>
  <c r="I132" i="17"/>
  <c r="O132" i="17"/>
  <c r="S132" i="17"/>
  <c r="I133" i="17"/>
  <c r="O133" i="17"/>
  <c r="S133" i="17"/>
  <c r="Q135" i="17"/>
  <c r="S135" i="17"/>
  <c r="S136" i="17"/>
  <c r="S137" i="17"/>
  <c r="S140" i="17"/>
  <c r="S141" i="17"/>
  <c r="S142" i="17"/>
  <c r="Q144" i="17"/>
  <c r="S144" i="17"/>
  <c r="S146" i="17"/>
  <c r="I149" i="17"/>
  <c r="S149" i="17"/>
  <c r="I150" i="17"/>
  <c r="I151" i="17"/>
  <c r="S151" i="17"/>
  <c r="I152" i="17"/>
  <c r="S152" i="17"/>
  <c r="I153" i="17"/>
  <c r="S153" i="17"/>
  <c r="I154" i="17"/>
  <c r="S154" i="17"/>
  <c r="I155" i="17"/>
  <c r="S155" i="17"/>
  <c r="I156" i="17"/>
  <c r="S156" i="17"/>
  <c r="I157" i="17"/>
  <c r="S157" i="17"/>
  <c r="I158" i="17"/>
  <c r="S158" i="17"/>
  <c r="I159" i="17"/>
  <c r="S159" i="17"/>
  <c r="I160" i="17"/>
  <c r="S160" i="17"/>
  <c r="I161" i="17"/>
  <c r="I162" i="17"/>
  <c r="S162" i="17"/>
  <c r="I163" i="17"/>
  <c r="S163" i="17"/>
  <c r="I164" i="17"/>
  <c r="S164" i="17"/>
  <c r="I165" i="17"/>
  <c r="S165" i="17"/>
  <c r="I166" i="17"/>
  <c r="S166" i="17"/>
  <c r="I167" i="17"/>
  <c r="S167" i="17"/>
  <c r="I168" i="17"/>
  <c r="S168" i="17"/>
  <c r="I169" i="17"/>
  <c r="S169" i="17"/>
  <c r="I170" i="17"/>
  <c r="S170" i="17"/>
  <c r="I171" i="17"/>
  <c r="S171" i="17"/>
  <c r="I172" i="17"/>
  <c r="S172" i="17"/>
  <c r="I173" i="17"/>
  <c r="S173" i="17"/>
  <c r="I174" i="17"/>
  <c r="S174" i="17"/>
  <c r="I175" i="17"/>
  <c r="S175" i="17"/>
  <c r="I176" i="17"/>
  <c r="S176" i="17"/>
  <c r="Q178" i="17"/>
  <c r="S178" i="17"/>
  <c r="S179" i="17"/>
  <c r="S180" i="17"/>
  <c r="I183" i="17"/>
  <c r="S183" i="17"/>
  <c r="I184" i="17"/>
  <c r="S184" i="17"/>
  <c r="Q186" i="17"/>
  <c r="S186" i="17"/>
  <c r="S188" i="17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G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B59" i="12"/>
  <c r="E59" i="12"/>
  <c r="B60" i="12"/>
  <c r="E60" i="12"/>
  <c r="K60" i="12"/>
  <c r="B61" i="12"/>
  <c r="E61" i="12"/>
  <c r="B62" i="12"/>
  <c r="E62" i="12"/>
  <c r="B63" i="12"/>
  <c r="E63" i="12"/>
  <c r="B64" i="12"/>
  <c r="B65" i="12"/>
  <c r="E65" i="12"/>
  <c r="I12" i="19"/>
  <c r="O12" i="19"/>
  <c r="S12" i="19"/>
  <c r="I13" i="19"/>
  <c r="O13" i="19"/>
  <c r="S13" i="19"/>
  <c r="I14" i="19"/>
  <c r="O14" i="19"/>
  <c r="S14" i="19"/>
  <c r="I15" i="19"/>
  <c r="O15" i="19"/>
  <c r="S15" i="19"/>
  <c r="I16" i="19"/>
  <c r="O16" i="19"/>
  <c r="Q18" i="19"/>
  <c r="S18" i="19"/>
  <c r="T18" i="19"/>
  <c r="S20" i="19"/>
  <c r="O23" i="19"/>
  <c r="S23" i="19"/>
  <c r="O24" i="19"/>
  <c r="S24" i="19"/>
  <c r="O25" i="19"/>
  <c r="S25" i="19"/>
  <c r="O26" i="19"/>
  <c r="S26" i="19"/>
  <c r="I27" i="19"/>
  <c r="O27" i="19"/>
  <c r="S27" i="19"/>
  <c r="I28" i="19"/>
  <c r="O28" i="19"/>
  <c r="T29" i="19"/>
  <c r="Q30" i="19"/>
  <c r="S30" i="19"/>
  <c r="S32" i="19"/>
  <c r="O35" i="19"/>
  <c r="S35" i="19"/>
  <c r="I36" i="19"/>
  <c r="O36" i="19"/>
  <c r="S36" i="19"/>
  <c r="I37" i="19"/>
  <c r="O37" i="19"/>
  <c r="S37" i="19"/>
  <c r="I38" i="19"/>
  <c r="O38" i="19"/>
  <c r="S38" i="19"/>
  <c r="I39" i="19"/>
  <c r="O39" i="19"/>
  <c r="S39" i="19"/>
  <c r="I40" i="19"/>
  <c r="O40" i="19"/>
  <c r="S40" i="19"/>
  <c r="I41" i="19"/>
  <c r="O41" i="19"/>
  <c r="I42" i="19"/>
  <c r="O42" i="19"/>
  <c r="S42" i="19"/>
  <c r="I43" i="19"/>
  <c r="O43" i="19"/>
  <c r="S43" i="19"/>
  <c r="I44" i="19"/>
  <c r="O44" i="19"/>
  <c r="S44" i="19"/>
  <c r="I45" i="19"/>
  <c r="O45" i="19"/>
  <c r="S45" i="19"/>
  <c r="S46" i="19"/>
  <c r="T46" i="19"/>
  <c r="I47" i="19"/>
  <c r="O47" i="19"/>
  <c r="S47" i="19"/>
  <c r="I48" i="19"/>
  <c r="J48" i="19"/>
  <c r="S48" i="19"/>
  <c r="O49" i="19"/>
  <c r="S49" i="19"/>
  <c r="Q51" i="19"/>
  <c r="S51" i="19"/>
  <c r="S52" i="19"/>
  <c r="S53" i="19"/>
  <c r="O56" i="19"/>
  <c r="S56" i="19"/>
  <c r="Q58" i="19"/>
  <c r="S58" i="19"/>
  <c r="S60" i="19"/>
  <c r="I63" i="19"/>
  <c r="O63" i="19"/>
  <c r="S63" i="19"/>
  <c r="I64" i="19"/>
  <c r="O64" i="19"/>
  <c r="S64" i="19"/>
  <c r="Q66" i="19"/>
  <c r="S66" i="19"/>
  <c r="S67" i="19"/>
  <c r="S68" i="19"/>
  <c r="I71" i="19"/>
  <c r="O71" i="19"/>
  <c r="S71" i="19"/>
  <c r="I72" i="19"/>
  <c r="O72" i="19"/>
  <c r="S72" i="19"/>
  <c r="O73" i="19"/>
  <c r="S73" i="19"/>
  <c r="O74" i="19"/>
  <c r="S74" i="19"/>
  <c r="T75" i="19"/>
  <c r="Q76" i="19"/>
  <c r="S76" i="19"/>
  <c r="S77" i="19"/>
  <c r="S78" i="19"/>
  <c r="I81" i="19"/>
  <c r="O81" i="19"/>
  <c r="S81" i="19"/>
  <c r="I82" i="19"/>
  <c r="O82" i="19"/>
  <c r="S82" i="19"/>
  <c r="I83" i="19"/>
  <c r="O83" i="19"/>
  <c r="S83" i="19"/>
  <c r="O84" i="19"/>
  <c r="S84" i="19"/>
  <c r="I85" i="19"/>
  <c r="S85" i="19"/>
  <c r="I86" i="19"/>
  <c r="S86" i="19"/>
  <c r="S87" i="19"/>
  <c r="S88" i="19"/>
  <c r="S89" i="19"/>
  <c r="I90" i="19"/>
  <c r="S90" i="19"/>
  <c r="T91" i="19"/>
  <c r="C92" i="19"/>
  <c r="Q92" i="19"/>
  <c r="S92" i="19"/>
  <c r="S93" i="19"/>
  <c r="S94" i="19"/>
  <c r="I97" i="19"/>
  <c r="S97" i="19"/>
  <c r="I98" i="19"/>
  <c r="S98" i="19"/>
  <c r="Q100" i="19"/>
  <c r="S100" i="19"/>
  <c r="S102" i="19"/>
  <c r="S106" i="19"/>
  <c r="S107" i="19"/>
  <c r="S108" i="19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E3" i="5"/>
  <c r="N3" i="5"/>
  <c r="AC3" i="5"/>
  <c r="AL3" i="5"/>
  <c r="AO3" i="5"/>
  <c r="AR3" i="5"/>
  <c r="E4" i="5"/>
  <c r="N4" i="5"/>
  <c r="W4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<sst xmlns="http://schemas.openxmlformats.org/spreadsheetml/2006/main" count="4129" uniqueCount="1126">
  <si>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</si>
  <si>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</si>
  <si>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</si>
  <si>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</si>
  <si>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</si>
  <si>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</si>
  <si>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</si>
  <si>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</si>
  <si>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</si>
  <si>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</si>
  <si>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</si>
  <si>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</si>
  <si>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</si>
  <si>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</si>
  <si>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</si>
  <si>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</si>
  <si>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</si>
  <si>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</si>
  <si>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</si>
  <si>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</si>
  <si>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</si>
  <si>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</si>
  <si>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</si>
  <si>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</si>
  <si>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</si>
  <si>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</si>
  <si>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</si>
  <si>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</si>
  <si>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</si>
  <si>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</si>
  <si>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</si>
  <si>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</si>
  <si>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</si>
  <si>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</si>
  <si>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</si>
  <si>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</si>
  <si>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</si>
  <si>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</si>
  <si>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</si>
  <si>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</si>
  <si>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</si>
  <si>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</si>
  <si>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</si>
  <si>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</si>
  <si>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</si>
  <si>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</si>
  <si>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</si>
  <si>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</si>
  <si>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</si>
  <si>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</si>
  <si>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</si>
  <si>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</si>
  <si>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</si>
  <si>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</si>
  <si>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</si>
  <si>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</si>
  <si>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</si>
  <si>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</si>
  <si>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</si>
  <si>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</si>
  <si>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</si>
  <si>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</si>
  <si>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</si>
  <si>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</si>
  <si>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</si>
  <si>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</si>
  <si>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</si>
  <si>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</si>
  <si>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</si>
  <si>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</si>
  <si>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</si>
  <si>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</si>
  <si>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</si>
  <si>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</si>
  <si>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</si>
  <si>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</si>
  <si>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</si>
  <si>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</si>
  <si>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</si>
  <si>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</si>
  <si>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</si>
  <si>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</si>
  <si>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</si>
  <si>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</si>
  <si>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</si>
  <si>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</si>
  <si>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</si>
  <si>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</si>
  <si>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</si>
  <si>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</si>
  <si>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</si>
  <si>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</si>
  <si>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</si>
  <si>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</si>
  <si>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</si>
  <si>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</si>
  <si>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</si>
  <si>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</si>
  <si>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</si>
  <si>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</si>
  <si>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</si>
  <si>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</si>
  <si>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</si>
  <si>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</si>
  <si>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</si>
  <si>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</si>
  <si>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</si>
  <si>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</si>
  <si>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</si>
  <si>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</si>
  <si>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</si>
  <si>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</si>
  <si>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</si>
  <si>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</si>
  <si>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</si>
  <si>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</si>
  <si>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</si>
  <si>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</si>
  <si>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</si>
  <si>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</si>
  <si>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</si>
  <si>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</si>
  <si>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</si>
  <si>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</si>
  <si>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</si>
  <si>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</si>
  <si>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</si>
  <si>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</si>
  <si>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</si>
  <si>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</si>
  <si>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</si>
  <si>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</si>
  <si>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</si>
  <si>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</si>
  <si>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</si>
  <si>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</si>
  <si>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</si>
  <si>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</si>
  <si>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</si>
  <si>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</si>
  <si>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</si>
  <si>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</si>
  <si>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</si>
  <si>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</si>
  <si>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</si>
  <si>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</si>
  <si>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</si>
  <si>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</si>
  <si>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</si>
  <si>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</si>
  <si>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</si>
  <si>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</si>
  <si>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</si>
  <si>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</si>
  <si>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</si>
  <si>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</si>
  <si>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</si>
  <si>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</si>
  <si>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</si>
  <si>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</si>
  <si>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</si>
  <si>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</si>
  <si>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</si>
  <si>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</si>
  <si>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</si>
  <si>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</si>
  <si>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</si>
  <si>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</si>
  <si>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</si>
  <si>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</si>
  <si>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</si>
  <si>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</si>
  <si>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</si>
  <si>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</si>
  <si>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</si>
  <si>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</si>
  <si>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</si>
  <si>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</si>
  <si>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</si>
  <si>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</si>
  <si>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</si>
  <si>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</si>
  <si>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</si>
  <si>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</si>
  <si>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</si>
  <si>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</si>
  <si>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</si>
  <si>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</si>
  <si>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</si>
  <si>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</si>
  <si>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</si>
  <si>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</si>
  <si>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</si>
  <si>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</si>
  <si>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</si>
  <si>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</si>
  <si>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</si>
  <si>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</si>
  <si>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</si>
  <si>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</si>
  <si>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</si>
  <si>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</si>
  <si>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</si>
  <si>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</si>
  <si>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</si>
  <si>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</si>
  <si>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</si>
  <si>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</si>
  <si>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</si>
  <si>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</si>
  <si>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</si>
  <si>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</si>
  <si>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</si>
  <si>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</si>
  <si>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</si>
  <si>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</si>
  <si>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</si>
  <si>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</si>
  <si>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</si>
  <si>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</si>
  <si>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</si>
  <si>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</si>
  <si>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</si>
  <si>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</si>
  <si>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</si>
  <si>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</si>
  <si>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</si>
  <si>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</si>
  <si>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</si>
  <si>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</si>
  <si>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</si>
  <si>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</si>
  <si>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</si>
  <si>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</si>
  <si>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</si>
  <si>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</si>
  <si>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</si>
  <si>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</si>
  <si>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</si>
  <si>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</si>
  <si>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</si>
  <si>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</si>
  <si>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</si>
  <si>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</si>
  <si>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</si>
  <si>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</si>
  <si>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</si>
  <si>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</si>
  <si>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</si>
  <si>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</si>
  <si>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</si>
  <si>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</si>
  <si>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</si>
  <si>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</si>
  <si>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</si>
  <si>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</si>
  <si>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</si>
  <si>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</si>
  <si>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</si>
  <si>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</si>
  <si>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</si>
  <si>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</si>
  <si>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</si>
  <si>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</si>
  <si>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</si>
  <si>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</si>
  <si>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</si>
  <si>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</si>
  <si>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</si>
  <si>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</si>
  <si>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</si>
  <si>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</si>
  <si>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</si>
  <si>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</si>
  <si>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</si>
  <si>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</si>
  <si>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</si>
  <si>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</si>
  <si>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</si>
  <si>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</si>
  <si>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</si>
  <si>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</si>
  <si>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</si>
  <si>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</si>
  <si>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</si>
  <si>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</si>
  <si>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</si>
  <si>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</si>
  <si>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</si>
  <si>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</si>
  <si>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</si>
  <si>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</si>
  <si>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</si>
  <si>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</si>
  <si>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</si>
  <si>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</si>
  <si>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</si>
  <si>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</si>
  <si>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</si>
  <si>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</si>
  <si>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</si>
  <si>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</si>
  <si>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</si>
  <si>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</si>
  <si>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</si>
  <si>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</si>
  <si>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</si>
  <si>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</si>
  <si>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</si>
  <si>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</si>
  <si>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</si>
  <si>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</si>
  <si>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</si>
  <si>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</si>
  <si>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</si>
  <si>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</si>
  <si>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</si>
  <si>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</si>
  <si>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</si>
  <si>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</si>
  <si>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</si>
  <si>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</si>
  <si>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</si>
  <si>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</si>
  <si>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</si>
  <si>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</si>
  <si>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</si>
  <si>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</si>
  <si>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</si>
  <si>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</si>
  <si>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</si>
  <si>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</si>
  <si>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</si>
  <si>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</si>
  <si>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</si>
  <si>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</si>
  <si>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</si>
  <si>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</si>
  <si>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</si>
  <si>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</si>
  <si>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</si>
  <si>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</si>
  <si>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</si>
  <si>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</si>
  <si>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</si>
  <si>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</si>
  <si>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</si>
  <si>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</si>
  <si>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</si>
  <si>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</si>
  <si>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</si>
  <si>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</si>
  <si>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</si>
  <si>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</si>
  <si>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</si>
  <si>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</si>
  <si>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</si>
  <si>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</si>
  <si>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</si>
  <si>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</si>
  <si>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</si>
  <si>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</si>
  <si>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</si>
  <si>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</si>
  <si>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</si>
  <si>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</si>
  <si>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</si>
  <si>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</si>
  <si>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</si>
  <si>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</si>
  <si>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</si>
  <si>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</si>
  <si>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</si>
  <si>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</si>
  <si>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</si>
  <si>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</si>
  <si>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</si>
  <si>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</si>
  <si>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</si>
  <si>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</si>
  <si>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</si>
  <si>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</si>
  <si>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</si>
  <si>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</si>
  <si>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</si>
  <si>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</si>
  <si>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</si>
  <si>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</si>
  <si>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</si>
  <si>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</si>
  <si>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</si>
  <si>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</si>
  <si>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</si>
  <si>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</si>
  <si>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</si>
  <si>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</si>
  <si>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</si>
  <si>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</si>
  <si>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</si>
  <si>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</si>
  <si>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</si>
  <si>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</si>
  <si>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</si>
  <si>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</si>
  <si>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</si>
  <si>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</si>
  <si>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</si>
  <si>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</si>
  <si>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</si>
  <si>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</si>
  <si>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</si>
  <si>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</si>
  <si>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</si>
  <si>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</si>
  <si>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</si>
  <si>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</si>
  <si>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</si>
  <si>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</si>
  <si>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</si>
  <si>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</si>
  <si>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</si>
  <si>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</si>
  <si>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</si>
  <si>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</si>
  <si>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</si>
  <si>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</si>
  <si>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</si>
  <si>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</si>
  <si>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</si>
  <si>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</si>
  <si>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</si>
  <si>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</si>
  <si>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</si>
  <si>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</si>
  <si>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</si>
  <si>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</si>
  <si>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</si>
  <si>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</si>
  <si>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</si>
  <si>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</si>
  <si>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</si>
  <si>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</si>
  <si>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</si>
  <si>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</si>
  <si>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</si>
  <si>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</si>
  <si>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</si>
  <si>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</si>
  <si>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</si>
  <si>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</si>
  <si>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</si>
  <si>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</si>
  <si>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</si>
  <si>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</si>
  <si>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</si>
  <si>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</si>
  <si>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</si>
  <si>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</si>
  <si>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</si>
  <si>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</si>
  <si>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</si>
  <si>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</si>
  <si>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</si>
  <si>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</si>
  <si>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</si>
  <si>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</si>
  <si>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</si>
  <si>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</si>
  <si>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</si>
  <si>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</si>
  <si>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</si>
  <si>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</si>
  <si>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</si>
  <si>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</si>
  <si>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</si>
  <si>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</si>
  <si>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</si>
  <si>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</si>
  <si>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</si>
  <si>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</si>
  <si>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</si>
  <si>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</si>
  <si>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</si>
  <si>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</si>
  <si>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</si>
  <si>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</si>
  <si>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</si>
  <si>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</si>
  <si>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</si>
  <si>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</si>
  <si>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</si>
  <si>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</si>
  <si>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</si>
  <si>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</si>
  <si>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</si>
  <si>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</si>
  <si>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</si>
  <si>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</si>
  <si>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</si>
  <si>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</si>
  <si>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</si>
  <si>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</si>
  <si>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</si>
  <si>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</si>
  <si>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</si>
  <si>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</si>
  <si>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</si>
  <si>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</si>
  <si>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</si>
  <si>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</si>
  <si>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</si>
  <si>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</si>
  <si>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</si>
  <si>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</si>
  <si>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</si>
  <si>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</si>
  <si>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</si>
  <si>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</si>
  <si>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</si>
  <si>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</si>
  <si>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</si>
  <si>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</si>
  <si>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</si>
  <si>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</si>
  <si>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</si>
  <si>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</si>
  <si>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</si>
  <si>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</si>
  <si>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</si>
  <si>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</si>
  <si>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</si>
  <si>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</si>
  <si>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</si>
  <si>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</si>
  <si>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</si>
  <si>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</si>
  <si>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</si>
  <si>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</si>
  <si>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</si>
  <si>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</si>
  <si>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</si>
  <si>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</si>
  <si>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</si>
  <si>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</si>
  <si>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</si>
  <si>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</si>
  <si>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</si>
  <si>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</si>
  <si>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</si>
  <si>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</si>
  <si>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</si>
  <si>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</si>
  <si>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</si>
  <si>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</si>
  <si>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</si>
  <si>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</si>
  <si>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</si>
  <si>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</si>
  <si>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</si>
  <si>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</si>
  <si>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</si>
  <si>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</si>
  <si>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</si>
  <si>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</si>
  <si>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</si>
  <si>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</si>
  <si>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</si>
  <si>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</si>
  <si>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</si>
  <si>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</si>
  <si>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</si>
  <si>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</si>
  <si>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</si>
  <si>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</si>
  <si>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</si>
  <si>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</si>
  <si>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</si>
  <si>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</si>
  <si>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</si>
  <si>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</si>
  <si>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</si>
  <si>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</si>
  <si>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Reliant - Entex</t>
  </si>
  <si>
    <t>FS-MA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</si>
  <si>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</si>
  <si>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</si>
  <si>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</si>
  <si>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</si>
  <si>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</si>
  <si>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</si>
  <si>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</si>
  <si>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</si>
  <si>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</si>
  <si>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</si>
  <si>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</si>
  <si>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</si>
  <si>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</si>
  <si>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</si>
  <si>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</si>
  <si>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</si>
  <si>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</si>
  <si>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</si>
  <si>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</si>
  <si>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Segment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</si>
  <si>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</si>
  <si>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</si>
  <si>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</si>
  <si>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</si>
  <si>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</si>
  <si>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</si>
  <si>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</si>
  <si>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</si>
  <si>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</si>
  <si>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</si>
  <si>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</si>
  <si>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</si>
  <si>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</si>
  <si>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</si>
  <si>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</si>
  <si>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</si>
  <si>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</si>
  <si>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</si>
  <si>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</si>
  <si>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</si>
  <si>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</si>
  <si>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</si>
  <si>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</si>
  <si>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</si>
  <si>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</si>
  <si>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</si>
  <si>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</si>
  <si>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</si>
  <si>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</si>
  <si>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</si>
  <si>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</si>
  <si>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</si>
  <si>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CES</t>
  </si>
  <si>
    <t>0/1</t>
  </si>
  <si>
    <t>MidCoast</t>
  </si>
  <si>
    <t>Sheffield</t>
  </si>
  <si>
    <t>Cherokee</t>
  </si>
  <si>
    <t>Huntsville</t>
  </si>
  <si>
    <t>Decatur</t>
  </si>
  <si>
    <t>entex strg</t>
  </si>
  <si>
    <t>reimbursed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</si>
  <si>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</si>
  <si>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</si>
  <si>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</si>
  <si>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</si>
  <si>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</si>
  <si>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</si>
  <si>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</si>
  <si>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</si>
  <si>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</si>
  <si>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</si>
  <si>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</si>
  <si>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</si>
  <si>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</si>
  <si>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</si>
  <si>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</si>
  <si>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</si>
  <si>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</si>
  <si>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</si>
  <si>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</si>
  <si>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</si>
  <si>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</si>
  <si>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</si>
  <si>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</si>
  <si>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</si>
  <si>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</si>
  <si>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</si>
  <si>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</si>
  <si>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</si>
  <si>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</si>
  <si>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</si>
  <si>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</si>
  <si>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</si>
  <si>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</si>
  <si>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</si>
  <si>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</si>
  <si>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</si>
  <si>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</si>
  <si>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</si>
  <si>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</si>
  <si>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</si>
  <si>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</si>
  <si>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</si>
  <si>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</si>
  <si>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</si>
  <si>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</si>
  <si>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</si>
  <si>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</si>
  <si>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</si>
  <si>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</si>
  <si>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</si>
  <si>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</si>
  <si>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</si>
  <si>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</si>
  <si>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</si>
  <si>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</si>
  <si>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</si>
  <si>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</si>
  <si>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</si>
  <si>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</si>
  <si>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Broad run</t>
  </si>
  <si>
    <t>CALP</t>
  </si>
  <si>
    <t>Type</t>
  </si>
  <si>
    <t>FTS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</si>
  <si>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</si>
  <si>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</si>
  <si>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</si>
  <si>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</si>
  <si>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</si>
  <si>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</si>
  <si>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</si>
  <si>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</si>
  <si>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</si>
  <si>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</si>
  <si>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</si>
  <si>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</si>
  <si>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</si>
  <si>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</si>
  <si>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</si>
  <si>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</si>
  <si>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</si>
  <si>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</si>
  <si>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</si>
  <si>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</si>
  <si>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</si>
  <si>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</si>
  <si>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</si>
  <si>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</si>
  <si>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</si>
  <si>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</si>
  <si>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</si>
  <si>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</si>
  <si>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</si>
  <si>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</si>
  <si>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</si>
  <si>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</si>
  <si>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</si>
  <si>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</si>
  <si>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</si>
  <si>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</si>
  <si>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</si>
  <si>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</si>
  <si>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</si>
  <si>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</si>
  <si>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</si>
  <si>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</si>
  <si>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</si>
  <si>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</si>
  <si>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</si>
  <si>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</si>
  <si>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</si>
  <si>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</si>
  <si>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</si>
  <si>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</si>
  <si>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</si>
  <si>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</si>
  <si>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</si>
  <si>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</si>
  <si>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</si>
  <si>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</si>
  <si>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</si>
  <si>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</si>
  <si>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</si>
  <si>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</si>
  <si>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</si>
  <si>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</si>
  <si>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</si>
  <si>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</si>
  <si>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</si>
  <si>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</si>
  <si>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</si>
  <si>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</si>
  <si>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</si>
  <si>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</si>
  <si>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</si>
  <si>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</si>
  <si>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</si>
  <si>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</si>
  <si>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</si>
  <si>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</si>
  <si>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</si>
  <si>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</si>
  <si>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</si>
  <si>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</si>
  <si>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</si>
  <si>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</si>
  <si>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</si>
  <si>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</si>
  <si>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</si>
  <si>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</si>
  <si>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</si>
  <si>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</si>
  <si>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</si>
  <si>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</si>
  <si>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</si>
  <si>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</si>
  <si>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</si>
  <si>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</si>
  <si>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</si>
  <si>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</si>
  <si>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</si>
  <si>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</si>
  <si>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</si>
  <si>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</si>
  <si>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</si>
  <si>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</si>
  <si>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</si>
  <si>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</si>
  <si>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</si>
  <si>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</si>
  <si>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</si>
  <si>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</si>
  <si>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Station 62</t>
  </si>
  <si>
    <t>Utos</t>
  </si>
  <si>
    <t>3.4271 / .7537</t>
  </si>
  <si>
    <t>#18944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</si>
  <si>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</si>
  <si>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</si>
  <si>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</si>
  <si>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</si>
  <si>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</si>
  <si>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</si>
  <si>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</si>
  <si>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</si>
  <si>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</si>
  <si>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</si>
  <si>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</si>
  <si>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</si>
  <si>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</si>
  <si>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</si>
  <si>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</si>
  <si>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</si>
  <si>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</si>
  <si>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</si>
  <si>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</si>
  <si>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</si>
  <si>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</si>
  <si>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</si>
  <si>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</si>
  <si>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</si>
  <si>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</si>
  <si>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</si>
  <si>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</si>
  <si>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</si>
  <si>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</si>
  <si>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</si>
  <si>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</si>
  <si>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</si>
  <si>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</si>
  <si>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</si>
  <si>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</si>
  <si>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</si>
  <si>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</si>
  <si>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</si>
  <si>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</si>
  <si>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</si>
  <si>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</si>
  <si>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</si>
  <si>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</si>
  <si>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</si>
  <si>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</si>
  <si>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</si>
  <si>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>Energynorth</t>
  </si>
  <si>
    <t>Y</t>
  </si>
  <si>
    <t>Centerville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</si>
  <si>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</si>
  <si>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</si>
  <si>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</si>
  <si>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</si>
  <si>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</si>
  <si>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</si>
  <si>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</si>
  <si>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</si>
  <si>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</si>
  <si>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</si>
  <si>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</si>
  <si>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</si>
  <si>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</si>
  <si>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</si>
  <si>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NYSEG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</si>
  <si>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</si>
  <si>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</si>
  <si>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</si>
  <si>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</si>
  <si>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</si>
  <si>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</si>
  <si>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</si>
  <si>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</si>
  <si>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</si>
  <si>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</si>
  <si>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</si>
  <si>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</si>
  <si>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</si>
  <si>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</si>
  <si>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</si>
  <si>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</si>
  <si>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</si>
  <si>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</si>
  <si>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</si>
  <si>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</si>
  <si>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</si>
  <si>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</si>
  <si>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</si>
  <si>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</si>
  <si>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</si>
  <si>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</si>
  <si>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</si>
  <si>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</si>
  <si>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</si>
  <si>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</si>
  <si>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</si>
  <si>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</si>
  <si>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</si>
  <si>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</si>
  <si>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</si>
  <si>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</si>
  <si>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</si>
  <si>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</si>
  <si>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 xml:space="preserve"> 252056 / 252057</t>
  </si>
  <si>
    <t>Bug</t>
  </si>
  <si>
    <t>Telescoped</t>
  </si>
  <si>
    <t>6558 BUG</t>
  </si>
  <si>
    <t>3.4708 / .7537</t>
  </si>
  <si>
    <t>#19328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</si>
  <si>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</si>
  <si>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</si>
  <si>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</si>
  <si>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</si>
  <si>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</si>
  <si>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</si>
  <si>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</si>
  <si>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</si>
  <si>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</si>
  <si>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</si>
  <si>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>Sabinsville (TGP)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</si>
  <si>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</si>
  <si>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</si>
  <si>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</si>
  <si>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</si>
  <si>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</si>
  <si>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</si>
  <si>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</si>
  <si>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</si>
  <si>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</si>
  <si>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</si>
  <si>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</si>
  <si>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</si>
  <si>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</si>
  <si>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</si>
  <si>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</si>
  <si>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</si>
  <si>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</si>
  <si>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</si>
  <si>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</si>
  <si>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</si>
  <si>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</si>
  <si>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</si>
  <si>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</si>
  <si>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</si>
  <si>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</si>
  <si>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</si>
  <si>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</si>
  <si>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</si>
  <si>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</si>
  <si>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</si>
  <si>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</si>
  <si>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</si>
  <si>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</si>
  <si>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</si>
  <si>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</si>
  <si>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</si>
  <si>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</si>
  <si>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</si>
  <si>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TET Stor.</t>
  </si>
  <si>
    <t>MGAG</t>
  </si>
  <si>
    <t>Z3</t>
  </si>
  <si>
    <t>Z4</t>
  </si>
  <si>
    <t>Caladonia</t>
  </si>
  <si>
    <t>fuel(.603)</t>
  </si>
  <si>
    <t>fuel(2.82)</t>
  </si>
  <si>
    <t>fuel(.489)</t>
  </si>
  <si>
    <t>eff 10/1/2000</t>
  </si>
  <si>
    <t xml:space="preserve">Buy </t>
  </si>
  <si>
    <t>30RV - Richmond</t>
  </si>
  <si>
    <t>Dynegy - released month to month</t>
  </si>
  <si>
    <t>23N-7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</si>
  <si>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</si>
  <si>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</si>
  <si>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</si>
  <si>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</si>
  <si>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</si>
  <si>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</si>
  <si>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</si>
  <si>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</si>
  <si>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</si>
  <si>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</si>
  <si>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</si>
  <si>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</si>
  <si>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>etx</t>
  </si>
  <si>
    <t>3.5115 / .7537</t>
  </si>
  <si>
    <t>#19799</t>
  </si>
  <si>
    <t>Lilco</t>
  </si>
  <si>
    <t>6382 Lilco</t>
  </si>
  <si>
    <t>3.5116 / .7537</t>
  </si>
  <si>
    <t>#19800</t>
  </si>
  <si>
    <t xml:space="preserve">           Algonquin</t>
  </si>
  <si>
    <t xml:space="preserve">    Commodity and Fuel</t>
  </si>
  <si>
    <t>$.02 Volumetric Rate effective 6/1/2000 - 7/7/2000</t>
  </si>
  <si>
    <t>801 - Leach</t>
  </si>
  <si>
    <t>4 BG&amp;E</t>
  </si>
  <si>
    <t>ENA purchased from CES</t>
  </si>
  <si>
    <t>UGI/Gas Mark</t>
  </si>
  <si>
    <t>3.5318 / 3.4367</t>
  </si>
  <si>
    <t>#019885-3 schedule on k#3.4367</t>
  </si>
  <si>
    <t>Each</t>
  </si>
  <si>
    <t>to All</t>
  </si>
  <si>
    <t>FTS-1</t>
  </si>
  <si>
    <t>Belfry</t>
  </si>
  <si>
    <t>Wholesale</t>
  </si>
  <si>
    <t>Total Market East Demand</t>
  </si>
  <si>
    <t>Tot Reimbursements</t>
  </si>
  <si>
    <t>PP&amp;L</t>
  </si>
  <si>
    <t>Buy as ENA</t>
  </si>
  <si>
    <t>Buy as EADM</t>
  </si>
  <si>
    <t>Sell as EADM</t>
  </si>
  <si>
    <t>Nat Fuel will bill ENA $.125 x 1,000,000 total, this charge will be split up over 3 months.</t>
  </si>
  <si>
    <t>(6-5)  FT</t>
  </si>
  <si>
    <t>fuel(1.27%)</t>
  </si>
  <si>
    <t>13.36, see deal 224102</t>
  </si>
  <si>
    <t>Park</t>
  </si>
  <si>
    <t>PPL</t>
  </si>
  <si>
    <t>#6563 PPL</t>
  </si>
  <si>
    <t>#60002 Leidy</t>
  </si>
  <si>
    <t>#20800 PP&amp;L</t>
  </si>
  <si>
    <t>Month to Month</t>
  </si>
  <si>
    <t>released month to month</t>
  </si>
  <si>
    <t>Released month to month</t>
  </si>
  <si>
    <t>Month to month</t>
  </si>
  <si>
    <t>Released month to month May thru Oct</t>
  </si>
  <si>
    <t>318498/318507</t>
  </si>
  <si>
    <t>La Gas Serv</t>
  </si>
  <si>
    <t>Russelville</t>
  </si>
  <si>
    <t>Call Nira 713-767-8148 or Marilyn 767-6324</t>
  </si>
  <si>
    <t>Dynegy cap. released month to month 7500@.02</t>
  </si>
  <si>
    <t>Term Cap</t>
  </si>
  <si>
    <t>fuel(0.4)</t>
  </si>
  <si>
    <t>fuel(0.2)</t>
  </si>
  <si>
    <t>Market East Desk Transportation Capacity for August, 2000</t>
  </si>
  <si>
    <t>East Desk Transportation Capacity for August, 2000</t>
  </si>
  <si>
    <t>#14068</t>
  </si>
  <si>
    <t>9/1/200</t>
  </si>
  <si>
    <t>#21031</t>
  </si>
  <si>
    <t>Do not enter in Sitara</t>
  </si>
  <si>
    <t>#21049</t>
  </si>
  <si>
    <t>#21053</t>
  </si>
  <si>
    <t xml:space="preserve"> 343867 / 343869</t>
  </si>
  <si>
    <t>#16179, segmented through October</t>
  </si>
  <si>
    <t xml:space="preserve"> 3.6385 / .7537</t>
  </si>
  <si>
    <t>3.6369 / .7537</t>
  </si>
  <si>
    <t>IGS</t>
  </si>
  <si>
    <t>#17298</t>
  </si>
  <si>
    <t>O02354</t>
  </si>
  <si>
    <t>N02355</t>
  </si>
  <si>
    <t>3.6482 / .7537</t>
  </si>
  <si>
    <t>3.6479 / .7537</t>
  </si>
  <si>
    <t>3.6477 / .7537</t>
  </si>
  <si>
    <t>3.6476 / .7537</t>
  </si>
  <si>
    <t>3.6475 / .7537</t>
  </si>
  <si>
    <t>3.6474 / .7537</t>
  </si>
  <si>
    <t>3.6473 / .7537</t>
  </si>
  <si>
    <t>3.6472 / .7537</t>
  </si>
  <si>
    <t>3.6470 / .7537</t>
  </si>
  <si>
    <t>3.6468 / .7537</t>
  </si>
  <si>
    <t>3.6467 / .7537</t>
  </si>
  <si>
    <t>3.6466 / .7537</t>
  </si>
  <si>
    <t>3.6464 / .7537</t>
  </si>
  <si>
    <t>#21135</t>
  </si>
  <si>
    <t>#21138</t>
  </si>
  <si>
    <t>#21140</t>
  </si>
  <si>
    <t>#21141</t>
  </si>
  <si>
    <t>#21142</t>
  </si>
  <si>
    <t>#21143</t>
  </si>
  <si>
    <t>#21144</t>
  </si>
  <si>
    <t>#21145</t>
  </si>
  <si>
    <t>#21147</t>
  </si>
  <si>
    <t>#21149</t>
  </si>
  <si>
    <t>#21150</t>
  </si>
  <si>
    <t>#21151</t>
  </si>
  <si>
    <t>#21153</t>
  </si>
  <si>
    <t xml:space="preserve">#17324, Nat Fuel released to Enron Admin (#17313), I re-released the long haul to ECT </t>
  </si>
  <si>
    <t>348493 / 348495</t>
  </si>
  <si>
    <t xml:space="preserve">#17310, Nat Fuel released to Enron Admin (#17378), I re-released the long haul to ECT </t>
  </si>
  <si>
    <t xml:space="preserve">                CNG August Fuel Waivers</t>
  </si>
  <si>
    <t>El Paso</t>
  </si>
  <si>
    <t>347098/347100</t>
  </si>
  <si>
    <t>347101/347104</t>
  </si>
  <si>
    <t>347095/347097</t>
  </si>
  <si>
    <t>347088/347094</t>
  </si>
  <si>
    <t>800LEG</t>
  </si>
  <si>
    <t>800Leg</t>
  </si>
  <si>
    <t>#29578</t>
  </si>
  <si>
    <t>Singer</t>
  </si>
  <si>
    <t>sta 30</t>
  </si>
  <si>
    <t>sta 65</t>
  </si>
  <si>
    <t>3.6597/0.7537</t>
  </si>
  <si>
    <t>#21246</t>
  </si>
  <si>
    <t>Morrisville (TGP)</t>
  </si>
  <si>
    <t>Corning</t>
  </si>
  <si>
    <t>Han &amp; Bird</t>
  </si>
  <si>
    <t>30M 500</t>
  </si>
  <si>
    <t>20M 800</t>
  </si>
  <si>
    <t>8/12//00</t>
  </si>
  <si>
    <t>Tiered- FGT-.02/LIG .015/Tran .01</t>
  </si>
  <si>
    <t>Month</t>
  </si>
  <si>
    <t>Storage</t>
  </si>
  <si>
    <t>93036/229817</t>
  </si>
  <si>
    <t>Purchased directly from pipe.</t>
  </si>
  <si>
    <t>sta 45</t>
  </si>
  <si>
    <t>3.6638/0.7537</t>
  </si>
  <si>
    <t>#21318</t>
  </si>
  <si>
    <t>Henry Hub</t>
  </si>
  <si>
    <t>+.13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</si>
</sst>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0" formatCode="#,##0.000_);[Red]\(#,##0.000\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  <numFmt numFmtId="202" formatCode="&quot;$&quot;#,##0.000"/>
  </numFmts>
  <fonts count="27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4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15" fontId="19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5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12" fillId="0" borderId="20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1" xfId="1" applyNumberFormat="1" applyFont="1" applyFill="1" applyBorder="1"/>
    <xf numFmtId="177" fontId="12" fillId="0" borderId="6" xfId="1" applyNumberFormat="1" applyFont="1" applyFill="1" applyBorder="1"/>
    <xf numFmtId="0" fontId="12" fillId="0" borderId="15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5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8" borderId="0" xfId="0" applyNumberFormat="1" applyFont="1" applyFill="1" applyBorder="1" applyAlignment="1">
      <alignment horizontal="center"/>
    </xf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38" fontId="6" fillId="9" borderId="0" xfId="0" applyNumberFormat="1" applyFont="1" applyFill="1" applyAlignment="1">
      <alignment horizontal="right"/>
    </xf>
    <xf numFmtId="0" fontId="6" fillId="9" borderId="0" xfId="0" applyNumberFormat="1" applyFont="1" applyFill="1" applyAlignment="1">
      <alignment horizontal="center"/>
    </xf>
    <xf numFmtId="0" fontId="6" fillId="0" borderId="22" xfId="0" applyFont="1" applyFill="1" applyBorder="1"/>
    <xf numFmtId="0" fontId="6" fillId="0" borderId="23" xfId="0" applyFont="1" applyFill="1" applyBorder="1"/>
    <xf numFmtId="7" fontId="0" fillId="0" borderId="0" xfId="0" applyNumberFormat="1" applyFill="1" applyBorder="1"/>
    <xf numFmtId="0" fontId="12" fillId="0" borderId="24" xfId="0" applyFont="1" applyFill="1" applyBorder="1"/>
    <xf numFmtId="0" fontId="18" fillId="0" borderId="25" xfId="0" applyFont="1" applyFill="1" applyBorder="1" applyAlignment="1">
      <alignment horizontal="center"/>
    </xf>
    <xf numFmtId="0" fontId="12" fillId="0" borderId="26" xfId="0" applyFont="1" applyFill="1" applyBorder="1"/>
    <xf numFmtId="0" fontId="20" fillId="5" borderId="11" xfId="0" applyFont="1" applyFill="1" applyBorder="1"/>
    <xf numFmtId="164" fontId="15" fillId="0" borderId="25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7" xfId="0" applyFont="1" applyFill="1" applyBorder="1"/>
    <xf numFmtId="0" fontId="15" fillId="0" borderId="28" xfId="0" applyFont="1" applyFill="1" applyBorder="1"/>
    <xf numFmtId="0" fontId="15" fillId="0" borderId="27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29" xfId="1" applyNumberFormat="1" applyFont="1" applyFill="1" applyBorder="1"/>
    <xf numFmtId="175" fontId="15" fillId="0" borderId="30" xfId="1" applyNumberFormat="1" applyFont="1" applyFill="1" applyBorder="1"/>
    <xf numFmtId="0" fontId="15" fillId="0" borderId="31" xfId="0" applyFont="1" applyFill="1" applyBorder="1"/>
    <xf numFmtId="0" fontId="15" fillId="0" borderId="9" xfId="0" applyFont="1" applyFill="1" applyBorder="1"/>
    <xf numFmtId="0" fontId="8" fillId="0" borderId="27" xfId="0" applyFont="1" applyFill="1" applyBorder="1" applyAlignment="1">
      <alignment horizontal="left"/>
    </xf>
    <xf numFmtId="177" fontId="8" fillId="0" borderId="32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18" fillId="0" borderId="0" xfId="0" applyNumberFormat="1" applyFont="1" applyFill="1" applyBorder="1" applyAlignment="1">
      <alignment horizontal="center"/>
    </xf>
    <xf numFmtId="187" fontId="8" fillId="0" borderId="33" xfId="2" applyNumberFormat="1" applyFont="1" applyFill="1" applyBorder="1" applyAlignment="1">
      <alignment horizontal="center"/>
    </xf>
    <xf numFmtId="187" fontId="21" fillId="0" borderId="34" xfId="2" applyNumberFormat="1" applyFont="1" applyFill="1" applyBorder="1" applyAlignment="1">
      <alignment horizontal="center"/>
    </xf>
    <xf numFmtId="15" fontId="24" fillId="0" borderId="35" xfId="2" applyNumberFormat="1" applyFont="1" applyFill="1" applyBorder="1" applyAlignment="1">
      <alignment horizontal="center"/>
    </xf>
    <xf numFmtId="170" fontId="6" fillId="9" borderId="0" xfId="0" applyNumberFormat="1" applyFont="1" applyFill="1" applyAlignment="1">
      <alignment horizontal="center"/>
    </xf>
    <xf numFmtId="0" fontId="15" fillId="9" borderId="0" xfId="0" applyFont="1" applyFill="1"/>
    <xf numFmtId="0" fontId="6" fillId="0" borderId="32" xfId="0" applyFont="1" applyFill="1" applyBorder="1"/>
    <xf numFmtId="0" fontId="6" fillId="0" borderId="27" xfId="0" applyFont="1" applyFill="1" applyBorder="1"/>
    <xf numFmtId="0" fontId="6" fillId="0" borderId="36" xfId="0" applyFont="1" applyFill="1" applyBorder="1"/>
    <xf numFmtId="0" fontId="6" fillId="0" borderId="31" xfId="0" applyFont="1" applyFill="1" applyBorder="1"/>
    <xf numFmtId="171" fontId="6" fillId="0" borderId="0" xfId="2" applyNumberFormat="1" applyFont="1" applyFill="1" applyAlignment="1">
      <alignment horizontal="center"/>
    </xf>
    <xf numFmtId="171" fontId="6" fillId="0" borderId="0" xfId="2" applyNumberFormat="1" applyFont="1" applyFill="1" applyBorder="1" applyAlignment="1">
      <alignment horizontal="right"/>
    </xf>
    <xf numFmtId="164" fontId="6" fillId="0" borderId="0" xfId="0" quotePrefix="1" applyNumberFormat="1" applyFont="1" applyFill="1" applyAlignment="1">
      <alignment horizontal="center"/>
    </xf>
    <xf numFmtId="38" fontId="15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8" fontId="6" fillId="10" borderId="0" xfId="0" applyNumberFormat="1" applyFont="1" applyFill="1" applyBorder="1" applyAlignment="1">
      <alignment horizontal="right"/>
    </xf>
    <xf numFmtId="38" fontId="6" fillId="10" borderId="2" xfId="0" applyNumberFormat="1" applyFont="1" applyFill="1" applyBorder="1" applyAlignment="1">
      <alignment horizontal="right"/>
    </xf>
    <xf numFmtId="16" fontId="17" fillId="0" borderId="1" xfId="0" applyNumberFormat="1" applyFont="1" applyFill="1" applyBorder="1" applyAlignment="1">
      <alignment horizontal="left"/>
    </xf>
    <xf numFmtId="16" fontId="17" fillId="0" borderId="1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9" fontId="17" fillId="0" borderId="1" xfId="0" applyNumberFormat="1" applyFont="1" applyFill="1" applyBorder="1" applyAlignment="1">
      <alignment horizontal="center"/>
    </xf>
    <xf numFmtId="170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38" fontId="16" fillId="0" borderId="1" xfId="0" applyNumberFormat="1" applyFont="1" applyFill="1" applyBorder="1" applyAlignment="1">
      <alignment horizontal="right"/>
    </xf>
    <xf numFmtId="38" fontId="17" fillId="0" borderId="1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38" fontId="6" fillId="10" borderId="5" xfId="0" applyNumberFormat="1" applyFont="1" applyFill="1" applyBorder="1" applyAlignment="1">
      <alignment horizontal="right"/>
    </xf>
    <xf numFmtId="16" fontId="16" fillId="0" borderId="1" xfId="0" applyNumberFormat="1" applyFont="1" applyFill="1" applyBorder="1" applyAlignment="1">
      <alignment horizontal="left"/>
    </xf>
    <xf numFmtId="16" fontId="16" fillId="0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170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10" fontId="16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20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center"/>
    </xf>
    <xf numFmtId="201" fontId="6" fillId="0" borderId="0" xfId="1" quotePrefix="1" applyNumberFormat="1" applyFont="1" applyFill="1" applyBorder="1" applyAlignment="1">
      <alignment horizontal="left"/>
    </xf>
    <xf numFmtId="0" fontId="12" fillId="0" borderId="37" xfId="0" applyFont="1" applyFill="1" applyBorder="1"/>
    <xf numFmtId="0" fontId="15" fillId="0" borderId="19" xfId="0" applyFont="1" applyFill="1" applyBorder="1"/>
    <xf numFmtId="0" fontId="15" fillId="0" borderId="19" xfId="0" applyFont="1" applyFill="1" applyBorder="1" applyAlignment="1">
      <alignment horizontal="right"/>
    </xf>
    <xf numFmtId="0" fontId="15" fillId="0" borderId="6" xfId="0" applyFont="1" applyFill="1" applyBorder="1"/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0" fontId="12" fillId="0" borderId="0" xfId="0" applyFont="1" applyFill="1" applyAlignment="1">
      <alignment horizontal="center"/>
    </xf>
    <xf numFmtId="0" fontId="12" fillId="0" borderId="1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5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38" fontId="7" fillId="4" borderId="0" xfId="0" applyNumberFormat="1" applyFont="1" applyFill="1" applyAlignment="1">
      <alignment horizontal="center"/>
    </xf>
    <xf numFmtId="164" fontId="6" fillId="4" borderId="0" xfId="0" quotePrefix="1" applyNumberFormat="1" applyFont="1" applyFill="1" applyAlignment="1">
      <alignment horizontal="center"/>
    </xf>
    <xf numFmtId="0" fontId="0" fillId="4" borderId="0" xfId="0" applyFill="1"/>
    <xf numFmtId="171" fontId="6" fillId="11" borderId="0" xfId="2" applyNumberFormat="1" applyFont="1" applyFill="1" applyAlignment="1">
      <alignment horizontal="right"/>
    </xf>
    <xf numFmtId="38" fontId="6" fillId="12" borderId="0" xfId="0" applyNumberFormat="1" applyFont="1" applyFill="1" applyAlignment="1">
      <alignment horizontal="left"/>
    </xf>
    <xf numFmtId="1" fontId="6" fillId="11" borderId="0" xfId="0" quotePrefix="1" applyNumberFormat="1" applyFont="1" applyFill="1" applyAlignment="1">
      <alignment horizontal="center"/>
    </xf>
    <xf numFmtId="12" fontId="6" fillId="0" borderId="0" xfId="0" applyNumberFormat="1" applyFont="1" applyFill="1" applyAlignment="1">
      <alignment horizontal="center"/>
    </xf>
    <xf numFmtId="165" fontId="2" fillId="2" borderId="0" xfId="0" quotePrefix="1" applyNumberFormat="1" applyFont="1" applyFill="1" applyBorder="1" applyAlignment="1">
      <alignment horizontal="center"/>
    </xf>
    <xf numFmtId="1" fontId="6" fillId="9" borderId="0" xfId="0" applyNumberFormat="1" applyFont="1" applyFill="1" applyAlignment="1">
      <alignment horizontal="left"/>
    </xf>
    <xf numFmtId="14" fontId="6" fillId="3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8" fontId="7" fillId="2" borderId="0" xfId="0" applyNumberFormat="1" applyFont="1" applyFill="1" applyAlignment="1">
      <alignment horizontal="center"/>
    </xf>
    <xf numFmtId="164" fontId="6" fillId="2" borderId="0" xfId="0" quotePrefix="1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171" fontId="6" fillId="2" borderId="0" xfId="2" applyNumberFormat="1" applyFont="1" applyFill="1" applyBorder="1" applyAlignment="1">
      <alignment horizontal="righ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0" fontId="6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38" fontId="6" fillId="3" borderId="0" xfId="0" quotePrefix="1" applyNumberFormat="1" applyFont="1" applyFill="1" applyBorder="1" applyAlignment="1">
      <alignment horizontal="left"/>
    </xf>
    <xf numFmtId="171" fontId="6" fillId="3" borderId="0" xfId="2" applyNumberFormat="1" applyFont="1" applyFill="1" applyBorder="1" applyAlignment="1">
      <alignment horizontal="right"/>
    </xf>
    <xf numFmtId="38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0" fontId="15" fillId="3" borderId="0" xfId="0" applyFont="1" applyFill="1" applyBorder="1"/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44" fontId="6" fillId="2" borderId="0" xfId="2" applyFont="1" applyFill="1" applyAlignment="1">
      <alignment horizontal="left"/>
    </xf>
    <xf numFmtId="38" fontId="6" fillId="7" borderId="0" xfId="0" applyNumberFormat="1" applyFont="1" applyFill="1" applyAlignment="1">
      <alignment horizontal="left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0" fontId="15" fillId="7" borderId="0" xfId="0" applyFont="1" applyFill="1"/>
    <xf numFmtId="44" fontId="6" fillId="7" borderId="0" xfId="2" applyFont="1" applyFill="1" applyAlignment="1">
      <alignment horizontal="left"/>
    </xf>
    <xf numFmtId="170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right"/>
    </xf>
    <xf numFmtId="0" fontId="6" fillId="2" borderId="0" xfId="0" quotePrefix="1" applyNumberFormat="1" applyFont="1" applyFill="1" applyAlignment="1">
      <alignment horizontal="left"/>
    </xf>
    <xf numFmtId="180" fontId="6" fillId="2" borderId="0" xfId="0" applyNumberFormat="1" applyFont="1" applyFill="1" applyBorder="1" applyAlignment="1">
      <alignment horizontal="center"/>
    </xf>
    <xf numFmtId="0" fontId="6" fillId="2" borderId="0" xfId="1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2" borderId="0" xfId="2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8" fontId="6" fillId="2" borderId="0" xfId="0" applyNumberFormat="1" applyFont="1" applyFill="1" applyAlignment="1">
      <alignment horizontal="right"/>
    </xf>
    <xf numFmtId="8" fontId="6" fillId="9" borderId="0" xfId="0" applyNumberFormat="1" applyFont="1" applyFill="1" applyAlignment="1">
      <alignment horizontal="right"/>
    </xf>
    <xf numFmtId="0" fontId="15" fillId="0" borderId="38" xfId="0" applyFont="1" applyFill="1" applyBorder="1" applyAlignment="1">
      <alignment horizontal="right"/>
    </xf>
    <xf numFmtId="187" fontId="15" fillId="0" borderId="39" xfId="2" applyNumberFormat="1" applyFont="1" applyFill="1" applyBorder="1"/>
    <xf numFmtId="0" fontId="25" fillId="0" borderId="0" xfId="0" applyFont="1" applyFill="1" applyAlignment="1">
      <alignment horizontal="center"/>
    </xf>
    <xf numFmtId="202" fontId="26" fillId="0" borderId="38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RowHeight="12.75" x14ac:dyDescent="0.2"/>
  <cols>
    <col min="1" max="1" width="11.28515625" style="71" customWidth="1"/>
    <col min="2" max="2" width="12" style="75" customWidth="1"/>
    <col min="3" max="3" width="11.28515625" style="75" customWidth="1"/>
    <col min="4" max="4" width="14.42578125" style="72" customWidth="1"/>
    <col min="5" max="5" width="3.7109375" style="72" customWidth="1"/>
    <col min="6" max="6" width="11.28515625" style="71" customWidth="1"/>
    <col min="7" max="7" width="15.5703125" style="73" customWidth="1"/>
    <col min="8" max="8" width="14" style="73" customWidth="1"/>
    <col min="9" max="9" width="9.140625" style="71"/>
    <col min="10" max="10" width="13.7109375" style="71" customWidth="1"/>
    <col min="11" max="11" width="9.140625" style="71"/>
    <col min="12" max="12" width="12.42578125" style="71" customWidth="1"/>
    <col min="13" max="16384" width="9.140625" style="71"/>
  </cols>
  <sheetData>
    <row r="1" spans="1:10" x14ac:dyDescent="0.2">
      <c r="A1" s="74" t="s">
        <v>396</v>
      </c>
      <c r="D1" s="75"/>
      <c r="E1" s="75"/>
      <c r="F1" s="76"/>
      <c r="G1" s="74"/>
      <c r="H1" s="74"/>
      <c r="I1" s="77"/>
      <c r="J1" s="78"/>
    </row>
    <row r="2" spans="1:10" x14ac:dyDescent="0.2">
      <c r="A2" s="74"/>
      <c r="D2" s="152"/>
      <c r="E2" s="152"/>
      <c r="F2" s="76"/>
      <c r="G2" s="74"/>
      <c r="H2" s="74"/>
      <c r="I2" s="77"/>
      <c r="J2" s="78"/>
    </row>
    <row r="3" spans="1:10" x14ac:dyDescent="0.2">
      <c r="A3" s="74"/>
      <c r="D3" s="152"/>
      <c r="E3" s="152"/>
      <c r="F3" s="76"/>
      <c r="G3" s="74" t="s">
        <v>47</v>
      </c>
      <c r="H3" s="74" t="s">
        <v>47</v>
      </c>
      <c r="I3" s="77"/>
      <c r="J3" s="78"/>
    </row>
    <row r="4" spans="1:10" x14ac:dyDescent="0.2">
      <c r="A4" s="77"/>
      <c r="D4" s="75"/>
      <c r="E4" s="75"/>
      <c r="F4" s="76"/>
      <c r="G4" s="79"/>
      <c r="H4" s="74"/>
      <c r="I4" s="77"/>
      <c r="J4" s="78"/>
    </row>
    <row r="5" spans="1:10" x14ac:dyDescent="0.2">
      <c r="A5" s="80" t="s">
        <v>397</v>
      </c>
      <c r="B5" s="81" t="s">
        <v>399</v>
      </c>
      <c r="C5" s="81" t="s">
        <v>527</v>
      </c>
      <c r="D5" s="81" t="s">
        <v>407</v>
      </c>
      <c r="E5" s="81"/>
      <c r="F5" s="82" t="s">
        <v>286</v>
      </c>
      <c r="G5" s="83" t="s">
        <v>400</v>
      </c>
      <c r="H5" s="83" t="s">
        <v>401</v>
      </c>
      <c r="I5" s="80" t="s">
        <v>286</v>
      </c>
      <c r="J5" s="83" t="s">
        <v>404</v>
      </c>
    </row>
    <row r="6" spans="1:10" x14ac:dyDescent="0.2">
      <c r="A6" s="77" t="s">
        <v>398</v>
      </c>
      <c r="B6" s="75">
        <v>0.30509999999999998</v>
      </c>
      <c r="C6" s="75">
        <v>77177</v>
      </c>
      <c r="D6" s="75" t="s">
        <v>408</v>
      </c>
      <c r="E6" s="75"/>
      <c r="F6" s="76"/>
      <c r="G6" s="74" t="s">
        <v>402</v>
      </c>
      <c r="H6" s="74" t="s">
        <v>402</v>
      </c>
      <c r="I6" s="77" t="s">
        <v>403</v>
      </c>
      <c r="J6" s="74" t="s">
        <v>406</v>
      </c>
    </row>
    <row r="7" spans="1:10" x14ac:dyDescent="0.2">
      <c r="A7" s="77" t="s">
        <v>398</v>
      </c>
      <c r="B7" s="75">
        <v>0.49830000000000002</v>
      </c>
      <c r="C7" s="75">
        <v>77169</v>
      </c>
      <c r="D7" s="75" t="s">
        <v>408</v>
      </c>
      <c r="E7" s="75"/>
      <c r="F7" s="76"/>
      <c r="G7" s="74" t="s">
        <v>402</v>
      </c>
      <c r="H7" s="74" t="s">
        <v>402</v>
      </c>
      <c r="I7" s="77" t="s">
        <v>403</v>
      </c>
      <c r="J7" s="74" t="s">
        <v>405</v>
      </c>
    </row>
    <row r="8" spans="1:10" x14ac:dyDescent="0.2">
      <c r="A8" s="77" t="s">
        <v>398</v>
      </c>
      <c r="B8" s="75">
        <v>0.2999</v>
      </c>
      <c r="D8" s="75" t="s">
        <v>408</v>
      </c>
      <c r="E8" s="75"/>
      <c r="F8" s="76"/>
      <c r="G8" s="74" t="s">
        <v>402</v>
      </c>
      <c r="H8" s="74" t="s">
        <v>402</v>
      </c>
      <c r="I8" s="77" t="s">
        <v>403</v>
      </c>
      <c r="J8" s="74" t="s">
        <v>405</v>
      </c>
    </row>
    <row r="9" spans="1:10" x14ac:dyDescent="0.2">
      <c r="A9" s="77" t="s">
        <v>398</v>
      </c>
      <c r="B9" s="75">
        <v>0.27739999999999998</v>
      </c>
      <c r="C9" s="75">
        <v>77175</v>
      </c>
      <c r="D9" s="75" t="s">
        <v>408</v>
      </c>
      <c r="E9" s="75"/>
      <c r="F9" s="76"/>
      <c r="G9" s="74" t="s">
        <v>402</v>
      </c>
      <c r="H9" s="74" t="s">
        <v>402</v>
      </c>
      <c r="I9" s="77" t="s">
        <v>403</v>
      </c>
      <c r="J9" s="74" t="s">
        <v>405</v>
      </c>
    </row>
    <row r="10" spans="1:10" x14ac:dyDescent="0.2">
      <c r="A10" s="77" t="s">
        <v>398</v>
      </c>
      <c r="B10" s="75">
        <v>0.75370000000000004</v>
      </c>
      <c r="C10" s="75">
        <v>82420</v>
      </c>
      <c r="D10" s="75" t="s">
        <v>525</v>
      </c>
      <c r="E10" s="75"/>
      <c r="F10" s="76"/>
      <c r="G10" s="74" t="s">
        <v>402</v>
      </c>
      <c r="H10" s="74" t="s">
        <v>402</v>
      </c>
      <c r="I10" s="77" t="s">
        <v>403</v>
      </c>
      <c r="J10" s="74" t="s">
        <v>526</v>
      </c>
    </row>
    <row r="11" spans="1:10" x14ac:dyDescent="0.2">
      <c r="A11" s="77" t="s">
        <v>398</v>
      </c>
      <c r="B11" s="75">
        <v>3.073</v>
      </c>
      <c r="C11" s="75">
        <v>96503</v>
      </c>
      <c r="D11" s="75" t="s">
        <v>539</v>
      </c>
      <c r="E11" s="75"/>
      <c r="F11" s="76"/>
      <c r="G11" s="74" t="s">
        <v>402</v>
      </c>
      <c r="H11" s="74" t="s">
        <v>402</v>
      </c>
      <c r="I11" s="77" t="s">
        <v>403</v>
      </c>
      <c r="J11" s="74" t="s">
        <v>540</v>
      </c>
    </row>
    <row r="12" spans="1:10" x14ac:dyDescent="0.2">
      <c r="A12" s="77" t="s">
        <v>398</v>
      </c>
      <c r="B12" s="75">
        <v>1.8793</v>
      </c>
      <c r="C12" s="75">
        <v>104783</v>
      </c>
      <c r="D12" s="75" t="s">
        <v>554</v>
      </c>
      <c r="E12" s="75"/>
      <c r="F12" s="76"/>
      <c r="G12" s="74" t="s">
        <v>402</v>
      </c>
      <c r="H12" s="74" t="s">
        <v>402</v>
      </c>
      <c r="I12" s="77" t="s">
        <v>403</v>
      </c>
      <c r="J12" s="74" t="s">
        <v>555</v>
      </c>
    </row>
    <row r="13" spans="1:10" x14ac:dyDescent="0.2">
      <c r="A13" s="77" t="s">
        <v>398</v>
      </c>
      <c r="B13" s="75">
        <v>0.90469999999999995</v>
      </c>
      <c r="C13" s="75">
        <v>168466</v>
      </c>
      <c r="D13" s="75" t="s">
        <v>728</v>
      </c>
      <c r="E13" s="75"/>
      <c r="F13" s="76"/>
      <c r="G13" s="74" t="s">
        <v>402</v>
      </c>
      <c r="H13" s="74" t="s">
        <v>402</v>
      </c>
      <c r="I13" s="77" t="s">
        <v>403</v>
      </c>
      <c r="J13" s="74" t="s">
        <v>729</v>
      </c>
    </row>
    <row r="15" spans="1:10" x14ac:dyDescent="0.2">
      <c r="A15" s="71" t="s">
        <v>241</v>
      </c>
      <c r="B15" s="75">
        <v>2891</v>
      </c>
      <c r="D15" s="72" t="s">
        <v>408</v>
      </c>
      <c r="G15" s="73" t="s">
        <v>402</v>
      </c>
      <c r="H15" s="73" t="s">
        <v>402</v>
      </c>
    </row>
    <row r="16" spans="1:10" x14ac:dyDescent="0.2">
      <c r="A16" s="71" t="s">
        <v>241</v>
      </c>
      <c r="B16" s="75">
        <v>80045</v>
      </c>
      <c r="D16" s="72" t="s">
        <v>403</v>
      </c>
    </row>
    <row r="18" spans="1:10" x14ac:dyDescent="0.2">
      <c r="A18" s="71" t="s">
        <v>0</v>
      </c>
      <c r="B18" s="75" t="s">
        <v>425</v>
      </c>
      <c r="C18" s="75">
        <v>98243</v>
      </c>
      <c r="D18" s="72" t="s">
        <v>470</v>
      </c>
      <c r="G18" s="73" t="s">
        <v>402</v>
      </c>
      <c r="H18" s="73" t="s">
        <v>402</v>
      </c>
      <c r="J18" s="71" t="s">
        <v>471</v>
      </c>
    </row>
    <row r="19" spans="1:10" x14ac:dyDescent="0.2">
      <c r="A19" s="71" t="s">
        <v>0</v>
      </c>
      <c r="B19" s="75" t="s">
        <v>425</v>
      </c>
      <c r="C19" s="75">
        <v>98567</v>
      </c>
      <c r="D19" s="72" t="s">
        <v>535</v>
      </c>
      <c r="G19" s="73" t="s">
        <v>402</v>
      </c>
      <c r="H19" s="73" t="s">
        <v>402</v>
      </c>
      <c r="J19" s="71" t="s">
        <v>536</v>
      </c>
    </row>
    <row r="20" spans="1:10" x14ac:dyDescent="0.2">
      <c r="A20" s="71" t="s">
        <v>0</v>
      </c>
      <c r="B20" s="75">
        <v>600228</v>
      </c>
      <c r="C20" s="75">
        <v>77009</v>
      </c>
      <c r="D20" s="72" t="s">
        <v>537</v>
      </c>
      <c r="G20" s="73" t="s">
        <v>402</v>
      </c>
      <c r="H20" s="73" t="s">
        <v>402</v>
      </c>
      <c r="J20" s="71" t="s">
        <v>538</v>
      </c>
    </row>
    <row r="22" spans="1:10" x14ac:dyDescent="0.2">
      <c r="A22" s="71" t="s">
        <v>732</v>
      </c>
      <c r="B22" s="75" t="s">
        <v>733</v>
      </c>
      <c r="C22" s="75">
        <v>168569</v>
      </c>
      <c r="D22" s="72" t="s">
        <v>734</v>
      </c>
      <c r="G22" s="73" t="s">
        <v>402</v>
      </c>
      <c r="H22" s="73" t="s">
        <v>402</v>
      </c>
      <c r="J22" s="71" t="s">
        <v>731</v>
      </c>
    </row>
    <row r="24" spans="1:10" x14ac:dyDescent="0.2">
      <c r="A24" s="71" t="s">
        <v>409</v>
      </c>
      <c r="B24" s="75">
        <v>9310010</v>
      </c>
      <c r="D24" s="72" t="s">
        <v>410</v>
      </c>
    </row>
    <row r="26" spans="1:10" x14ac:dyDescent="0.2">
      <c r="A26" s="71" t="s">
        <v>27</v>
      </c>
      <c r="B26" s="75">
        <v>38641</v>
      </c>
      <c r="C26" s="75">
        <v>93039</v>
      </c>
      <c r="D26" s="72" t="s">
        <v>550</v>
      </c>
      <c r="J26" s="71" t="s">
        <v>551</v>
      </c>
    </row>
    <row r="27" spans="1:10" x14ac:dyDescent="0.2">
      <c r="A27" s="71" t="s">
        <v>27</v>
      </c>
      <c r="B27" s="75">
        <v>37556</v>
      </c>
      <c r="C27" s="75">
        <v>93037</v>
      </c>
      <c r="D27" s="72" t="s">
        <v>411</v>
      </c>
      <c r="J27" s="71" t="s">
        <v>412</v>
      </c>
    </row>
    <row r="28" spans="1:10" x14ac:dyDescent="0.2">
      <c r="A28" s="71" t="s">
        <v>27</v>
      </c>
      <c r="B28" s="75">
        <v>39229</v>
      </c>
      <c r="C28" s="75">
        <v>93030</v>
      </c>
      <c r="D28" s="72" t="s">
        <v>552</v>
      </c>
      <c r="J28" s="71" t="s">
        <v>553</v>
      </c>
    </row>
    <row r="31" spans="1:10" x14ac:dyDescent="0.2">
      <c r="A31" s="71" t="s">
        <v>413</v>
      </c>
      <c r="B31" s="75">
        <v>40998</v>
      </c>
      <c r="D31" s="72" t="s">
        <v>408</v>
      </c>
    </row>
    <row r="32" spans="1:10" x14ac:dyDescent="0.2">
      <c r="A32" s="71" t="s">
        <v>413</v>
      </c>
      <c r="B32" s="75">
        <v>38021</v>
      </c>
      <c r="C32" s="75">
        <v>166118</v>
      </c>
      <c r="D32" s="72" t="s">
        <v>730</v>
      </c>
      <c r="G32" s="73" t="s">
        <v>402</v>
      </c>
      <c r="H32" s="73" t="s">
        <v>402</v>
      </c>
      <c r="J32" s="71" t="s">
        <v>731</v>
      </c>
    </row>
    <row r="34" spans="1:24" x14ac:dyDescent="0.2">
      <c r="A34" s="71" t="s">
        <v>140</v>
      </c>
      <c r="B34" s="75" t="s">
        <v>542</v>
      </c>
      <c r="C34" s="75">
        <v>102637</v>
      </c>
      <c r="D34" s="72" t="s">
        <v>543</v>
      </c>
      <c r="F34" s="71">
        <v>60000</v>
      </c>
      <c r="J34" s="71" t="s">
        <v>544</v>
      </c>
    </row>
    <row r="35" spans="1:24" ht="13.5" customHeight="1" x14ac:dyDescent="0.2">
      <c r="A35" s="16" t="s">
        <v>67</v>
      </c>
      <c r="B35" s="18" t="s">
        <v>140</v>
      </c>
      <c r="C35" s="18" t="s">
        <v>140</v>
      </c>
      <c r="D35" s="19">
        <v>35065</v>
      </c>
      <c r="E35" s="19"/>
      <c r="F35" s="19" t="s">
        <v>501</v>
      </c>
      <c r="G35" s="16" t="s">
        <v>503</v>
      </c>
      <c r="H35" s="137">
        <v>50000</v>
      </c>
      <c r="I35" s="18"/>
      <c r="J35" s="24" t="e">
        <f>0/#REF!</f>
        <v>#REF!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 t="e">
        <f t="shared" ref="Q35:Q44" si="1">SUM(J35:O35)</f>
        <v>#REF!</v>
      </c>
      <c r="R35" s="33" t="s">
        <v>502</v>
      </c>
      <c r="S35" s="18">
        <v>85315</v>
      </c>
      <c r="T35" s="16"/>
      <c r="U35" s="25">
        <v>0</v>
      </c>
      <c r="V35" s="25">
        <v>0</v>
      </c>
      <c r="W35" s="139">
        <v>77853</v>
      </c>
      <c r="X35" s="139"/>
    </row>
    <row r="36" spans="1:24" ht="13.5" customHeight="1" x14ac:dyDescent="0.2">
      <c r="A36" s="16" t="s">
        <v>67</v>
      </c>
      <c r="B36" s="18" t="s">
        <v>140</v>
      </c>
      <c r="C36" s="18" t="s">
        <v>140</v>
      </c>
      <c r="D36" s="19">
        <v>35065</v>
      </c>
      <c r="E36" s="19"/>
      <c r="F36" s="19" t="s">
        <v>501</v>
      </c>
      <c r="G36" s="16" t="s">
        <v>504</v>
      </c>
      <c r="H36" s="137">
        <v>50001</v>
      </c>
      <c r="I36" s="18"/>
      <c r="J36" s="24" t="e">
        <f>0/#REF!</f>
        <v>#REF!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 t="e">
        <f t="shared" si="1"/>
        <v>#REF!</v>
      </c>
      <c r="R36" s="33" t="s">
        <v>508</v>
      </c>
      <c r="S36" s="18">
        <v>78123</v>
      </c>
      <c r="T36" s="16"/>
      <c r="U36" s="25">
        <v>0</v>
      </c>
      <c r="V36" s="25">
        <v>0</v>
      </c>
      <c r="W36" s="139">
        <v>77860</v>
      </c>
      <c r="X36" s="139"/>
    </row>
    <row r="37" spans="1:24" ht="13.5" customHeight="1" x14ac:dyDescent="0.2">
      <c r="A37" s="16" t="s">
        <v>67</v>
      </c>
      <c r="B37" s="18" t="s">
        <v>140</v>
      </c>
      <c r="C37" s="18" t="s">
        <v>140</v>
      </c>
      <c r="D37" s="19">
        <v>35065</v>
      </c>
      <c r="E37" s="19"/>
      <c r="F37" s="19" t="s">
        <v>501</v>
      </c>
      <c r="G37" s="16" t="s">
        <v>505</v>
      </c>
      <c r="H37" s="137">
        <v>50002</v>
      </c>
      <c r="I37" s="18"/>
      <c r="J37" s="24" t="e">
        <f>0/#REF!</f>
        <v>#REF!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 t="e">
        <f t="shared" si="1"/>
        <v>#REF!</v>
      </c>
      <c r="R37" s="33" t="s">
        <v>509</v>
      </c>
      <c r="S37" s="18">
        <v>77922</v>
      </c>
      <c r="T37" s="16"/>
      <c r="U37" s="25">
        <v>0</v>
      </c>
      <c r="V37" s="25">
        <v>0</v>
      </c>
      <c r="W37" s="139">
        <v>80517</v>
      </c>
      <c r="X37" s="139"/>
    </row>
    <row r="38" spans="1:24" ht="13.5" customHeight="1" x14ac:dyDescent="0.2">
      <c r="A38" s="16" t="s">
        <v>67</v>
      </c>
      <c r="B38" s="18" t="s">
        <v>140</v>
      </c>
      <c r="C38" s="18" t="s">
        <v>140</v>
      </c>
      <c r="D38" s="19">
        <v>35065</v>
      </c>
      <c r="E38" s="19"/>
      <c r="F38" s="19" t="s">
        <v>501</v>
      </c>
      <c r="G38" s="16" t="s">
        <v>506</v>
      </c>
      <c r="H38" s="137">
        <v>50003</v>
      </c>
      <c r="I38" s="18"/>
      <c r="J38" s="24" t="e">
        <f>0/#REF!</f>
        <v>#REF!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 t="e">
        <f t="shared" si="1"/>
        <v>#REF!</v>
      </c>
      <c r="R38" s="33" t="s">
        <v>510</v>
      </c>
      <c r="S38" s="18">
        <v>35087</v>
      </c>
      <c r="T38" s="16"/>
      <c r="U38" s="25">
        <v>0</v>
      </c>
      <c r="V38" s="25">
        <v>0</v>
      </c>
      <c r="W38" s="139">
        <v>80537</v>
      </c>
      <c r="X38" s="139"/>
    </row>
    <row r="39" spans="1:24" ht="13.5" customHeight="1" x14ac:dyDescent="0.2">
      <c r="A39" s="16" t="s">
        <v>67</v>
      </c>
      <c r="B39" s="18" t="s">
        <v>140</v>
      </c>
      <c r="C39" s="18" t="s">
        <v>140</v>
      </c>
      <c r="D39" s="19">
        <v>35065</v>
      </c>
      <c r="E39" s="19"/>
      <c r="F39" s="19" t="s">
        <v>501</v>
      </c>
      <c r="G39" s="16" t="s">
        <v>507</v>
      </c>
      <c r="H39" s="137">
        <v>50004</v>
      </c>
      <c r="I39" s="18"/>
      <c r="J39" s="24" t="e">
        <f>0/#REF!</f>
        <v>#REF!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 t="e">
        <f t="shared" si="1"/>
        <v>#REF!</v>
      </c>
      <c r="R39" s="33" t="s">
        <v>511</v>
      </c>
      <c r="S39" s="18">
        <v>39194</v>
      </c>
      <c r="T39" s="16"/>
      <c r="U39" s="25">
        <v>0</v>
      </c>
      <c r="V39" s="25">
        <v>0</v>
      </c>
      <c r="W39" s="139">
        <v>80538</v>
      </c>
      <c r="X39" s="139"/>
    </row>
    <row r="40" spans="1:24" ht="13.5" customHeight="1" x14ac:dyDescent="0.2">
      <c r="A40" s="16" t="s">
        <v>67</v>
      </c>
      <c r="B40" s="18" t="s">
        <v>140</v>
      </c>
      <c r="C40" s="18" t="s">
        <v>140</v>
      </c>
      <c r="D40" s="19">
        <v>35065</v>
      </c>
      <c r="E40" s="19"/>
      <c r="F40" s="19" t="s">
        <v>501</v>
      </c>
      <c r="G40" s="16" t="s">
        <v>512</v>
      </c>
      <c r="H40" s="137">
        <v>50000</v>
      </c>
      <c r="I40" s="18"/>
      <c r="J40" s="24" t="e">
        <f>0/#REF!</f>
        <v>#REF!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 t="e">
        <f t="shared" si="1"/>
        <v>#REF!</v>
      </c>
      <c r="R40" s="33" t="s">
        <v>517</v>
      </c>
      <c r="S40" s="18">
        <v>9185</v>
      </c>
      <c r="T40" s="16"/>
      <c r="U40" s="25">
        <v>0</v>
      </c>
      <c r="V40" s="25">
        <v>0</v>
      </c>
      <c r="W40" s="139">
        <v>77852</v>
      </c>
      <c r="X40" s="139"/>
    </row>
    <row r="41" spans="1:24" ht="13.5" customHeight="1" x14ac:dyDescent="0.2">
      <c r="A41" s="16" t="s">
        <v>67</v>
      </c>
      <c r="B41" s="18" t="s">
        <v>140</v>
      </c>
      <c r="C41" s="18" t="s">
        <v>140</v>
      </c>
      <c r="D41" s="19">
        <v>35065</v>
      </c>
      <c r="E41" s="19"/>
      <c r="F41" s="19" t="s">
        <v>501</v>
      </c>
      <c r="G41" s="16" t="s">
        <v>513</v>
      </c>
      <c r="H41" s="137">
        <v>50001</v>
      </c>
      <c r="I41" s="18"/>
      <c r="J41" s="24" t="e">
        <f>0/#REF!</f>
        <v>#REF!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 t="e">
        <f t="shared" si="1"/>
        <v>#REF!</v>
      </c>
      <c r="R41" s="33" t="s">
        <v>518</v>
      </c>
      <c r="S41" s="18">
        <v>16377</v>
      </c>
      <c r="T41" s="16"/>
      <c r="U41" s="25">
        <v>0</v>
      </c>
      <c r="V41" s="25">
        <v>0</v>
      </c>
      <c r="W41" s="139">
        <v>77858</v>
      </c>
      <c r="X41" s="139"/>
    </row>
    <row r="42" spans="1:24" ht="13.5" customHeight="1" x14ac:dyDescent="0.2">
      <c r="A42" s="16" t="s">
        <v>67</v>
      </c>
      <c r="B42" s="18" t="s">
        <v>140</v>
      </c>
      <c r="C42" s="18" t="s">
        <v>140</v>
      </c>
      <c r="D42" s="19">
        <v>35065</v>
      </c>
      <c r="E42" s="19"/>
      <c r="F42" s="19" t="s">
        <v>501</v>
      </c>
      <c r="G42" s="16" t="s">
        <v>514</v>
      </c>
      <c r="H42" s="137">
        <v>50002</v>
      </c>
      <c r="I42" s="18"/>
      <c r="J42" s="24" t="e">
        <f>0/#REF!</f>
        <v>#REF!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 t="e">
        <f t="shared" si="1"/>
        <v>#REF!</v>
      </c>
      <c r="R42" s="33" t="s">
        <v>519</v>
      </c>
      <c r="S42" s="18">
        <v>3578</v>
      </c>
      <c r="T42" s="16"/>
      <c r="U42" s="25">
        <v>0</v>
      </c>
      <c r="V42" s="25">
        <v>0</v>
      </c>
      <c r="W42" s="139">
        <v>77845</v>
      </c>
      <c r="X42" s="139"/>
    </row>
    <row r="43" spans="1:24" ht="13.5" customHeight="1" x14ac:dyDescent="0.2">
      <c r="A43" s="16" t="s">
        <v>67</v>
      </c>
      <c r="B43" s="18" t="s">
        <v>140</v>
      </c>
      <c r="C43" s="18" t="s">
        <v>140</v>
      </c>
      <c r="D43" s="19">
        <v>35065</v>
      </c>
      <c r="E43" s="19"/>
      <c r="F43" s="19" t="s">
        <v>501</v>
      </c>
      <c r="G43" s="16" t="s">
        <v>515</v>
      </c>
      <c r="H43" s="137">
        <v>50003</v>
      </c>
      <c r="I43" s="18"/>
      <c r="J43" s="24" t="e">
        <f>0/#REF!</f>
        <v>#REF!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 t="e">
        <f t="shared" si="1"/>
        <v>#REF!</v>
      </c>
      <c r="R43" s="33" t="s">
        <v>520</v>
      </c>
      <c r="S43" s="18">
        <v>6913</v>
      </c>
      <c r="T43" s="16"/>
      <c r="U43" s="25">
        <v>0</v>
      </c>
      <c r="V43" s="25">
        <v>0</v>
      </c>
      <c r="W43" s="139">
        <v>77848</v>
      </c>
      <c r="X43" s="139"/>
    </row>
    <row r="44" spans="1:24" ht="13.5" customHeight="1" x14ac:dyDescent="0.2">
      <c r="A44" s="16" t="s">
        <v>67</v>
      </c>
      <c r="B44" s="18" t="s">
        <v>140</v>
      </c>
      <c r="C44" s="18" t="s">
        <v>140</v>
      </c>
      <c r="D44" s="19">
        <v>35065</v>
      </c>
      <c r="E44" s="19"/>
      <c r="F44" s="19" t="s">
        <v>501</v>
      </c>
      <c r="G44" s="16" t="s">
        <v>516</v>
      </c>
      <c r="H44" s="137">
        <v>50004</v>
      </c>
      <c r="I44" s="18"/>
      <c r="J44" s="24" t="e">
        <f>0/#REF!</f>
        <v>#REF!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 t="e">
        <f t="shared" si="1"/>
        <v>#REF!</v>
      </c>
      <c r="R44" s="33" t="s">
        <v>521</v>
      </c>
      <c r="S44" s="18">
        <v>18556</v>
      </c>
      <c r="T44" s="16"/>
      <c r="U44" s="25">
        <v>0</v>
      </c>
      <c r="V44" s="25">
        <v>0</v>
      </c>
      <c r="W44" s="139">
        <v>77850</v>
      </c>
      <c r="X44" s="139"/>
    </row>
    <row r="46" spans="1:24" x14ac:dyDescent="0.2">
      <c r="A46" s="71" t="s">
        <v>545</v>
      </c>
      <c r="B46" s="75" t="s">
        <v>546</v>
      </c>
      <c r="C46" s="75">
        <v>104749</v>
      </c>
      <c r="D46" s="72" t="s">
        <v>547</v>
      </c>
      <c r="G46" s="73" t="s">
        <v>548</v>
      </c>
      <c r="J46" s="71" t="s">
        <v>549</v>
      </c>
    </row>
    <row r="47" spans="1:24" x14ac:dyDescent="0.2">
      <c r="A47" s="71" t="s">
        <v>545</v>
      </c>
      <c r="B47" s="75" t="s">
        <v>589</v>
      </c>
      <c r="C47" s="75">
        <v>82026</v>
      </c>
      <c r="D47" s="72" t="s">
        <v>408</v>
      </c>
      <c r="G47" s="73" t="s">
        <v>402</v>
      </c>
      <c r="H47" s="73" t="s">
        <v>402</v>
      </c>
    </row>
    <row r="49" spans="1:25" x14ac:dyDescent="0.2">
      <c r="A49" s="71" t="s">
        <v>574</v>
      </c>
      <c r="B49" s="75" t="s">
        <v>575</v>
      </c>
      <c r="C49" s="75">
        <v>117510</v>
      </c>
      <c r="D49" s="72" t="s">
        <v>408</v>
      </c>
      <c r="J49" s="71" t="s">
        <v>576</v>
      </c>
    </row>
    <row r="51" spans="1:25" x14ac:dyDescent="0.2">
      <c r="A51" s="71" t="s">
        <v>599</v>
      </c>
      <c r="B51" s="75">
        <v>15</v>
      </c>
      <c r="C51" s="75">
        <v>125711</v>
      </c>
      <c r="D51" s="72" t="s">
        <v>408</v>
      </c>
    </row>
    <row r="53" spans="1:25" x14ac:dyDescent="0.2">
      <c r="A53" s="71" t="s">
        <v>605</v>
      </c>
      <c r="B53" s="75" t="s">
        <v>606</v>
      </c>
      <c r="C53" s="75">
        <v>124109</v>
      </c>
      <c r="D53" s="72" t="s">
        <v>607</v>
      </c>
    </row>
    <row r="54" spans="1:25" x14ac:dyDescent="0.2">
      <c r="A54" s="71" t="s">
        <v>605</v>
      </c>
      <c r="B54" s="75" t="s">
        <v>608</v>
      </c>
      <c r="C54" s="75">
        <v>77753</v>
      </c>
      <c r="D54" s="72" t="s">
        <v>408</v>
      </c>
    </row>
    <row r="56" spans="1:25" x14ac:dyDescent="0.2">
      <c r="A56" s="71" t="s">
        <v>774</v>
      </c>
      <c r="B56" s="370" t="s">
        <v>775</v>
      </c>
      <c r="C56" s="75">
        <v>220796</v>
      </c>
      <c r="D56" s="72" t="s">
        <v>408</v>
      </c>
      <c r="F56" s="71" t="s">
        <v>711</v>
      </c>
      <c r="J56" s="71" t="s">
        <v>776</v>
      </c>
    </row>
    <row r="59" spans="1:25" x14ac:dyDescent="0.2">
      <c r="A59" s="16" t="s">
        <v>697</v>
      </c>
      <c r="B59" s="18" t="s">
        <v>22</v>
      </c>
      <c r="C59" s="18" t="s">
        <v>22</v>
      </c>
      <c r="D59" s="19" t="s">
        <v>711</v>
      </c>
      <c r="E59" s="19" t="s">
        <v>711</v>
      </c>
      <c r="F59" s="16" t="s">
        <v>712</v>
      </c>
      <c r="G59" s="16" t="s">
        <v>712</v>
      </c>
      <c r="H59" s="18" t="s">
        <v>408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29">
        <v>0</v>
      </c>
      <c r="O59" s="20">
        <f>SUM(I59:M59)</f>
        <v>2.2499999999999999E-2</v>
      </c>
      <c r="P59" s="294" t="s">
        <v>713</v>
      </c>
      <c r="Q59" s="294" t="s">
        <v>713</v>
      </c>
      <c r="R59" s="18">
        <v>0</v>
      </c>
      <c r="S59" s="16" t="s">
        <v>714</v>
      </c>
      <c r="T59" s="25">
        <f>I59*I$1*R59</f>
        <v>0</v>
      </c>
      <c r="U59" s="25"/>
      <c r="V59" s="347"/>
      <c r="W59" s="347">
        <v>145336</v>
      </c>
      <c r="X59" s="139"/>
      <c r="Y59" s="1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F41" sqref="F41"/>
    </sheetView>
  </sheetViews>
  <sheetFormatPr defaultRowHeight="12.75" x14ac:dyDescent="0.2"/>
  <cols>
    <col min="3" max="3" width="11.42578125" bestFit="1" customWidth="1"/>
    <col min="12" max="14" width="9.140625" style="129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352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0.30661444903143847</v>
      </c>
      <c r="F36" s="5">
        <f>+D36*E36</f>
        <v>5.2124456335344543E-2</v>
      </c>
      <c r="G36" s="5">
        <v>-0.06</v>
      </c>
      <c r="H36" s="5">
        <f>+G36*D36</f>
        <v>-1.0200000000000001E-2</v>
      </c>
      <c r="I36" s="5">
        <f>+F36+H36</f>
        <v>4.1924456335344543E-2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0.29384161569289163</v>
      </c>
      <c r="F37" s="5">
        <f>+D37*E37</f>
        <v>7.3460403923222908E-2</v>
      </c>
      <c r="G37" s="5">
        <v>-1.4999999999999999E-2</v>
      </c>
      <c r="H37" s="5">
        <f>+G37*D37</f>
        <v>-3.7499999999999999E-3</v>
      </c>
      <c r="I37" s="5">
        <f>+F37+H37</f>
        <v>6.9710403923222905E-2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0.28081570109151954</v>
      </c>
      <c r="F38" s="7">
        <f>+D38*E38</f>
        <v>0.16287310663308133</v>
      </c>
      <c r="G38" s="5">
        <v>1.7500000000000002E-2</v>
      </c>
      <c r="H38" s="5">
        <f>+G38*D38</f>
        <v>1.0150000000000001E-2</v>
      </c>
      <c r="I38" s="5">
        <f>+F38+H38</f>
        <v>0.17302310663308132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0.28845796689164882</v>
      </c>
      <c r="G39" s="1"/>
      <c r="H39" s="5">
        <f>SUM(H36:H38)</f>
        <v>-3.7999999999999996E-3</v>
      </c>
      <c r="I39" s="8">
        <f>SUM(I36:I38)</f>
        <v>0.28465796689164879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0.55000000000000004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0.26534203310835125</v>
      </c>
      <c r="J41" s="1"/>
      <c r="K41" s="48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8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0.33246840775063224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-4.2468407750632264E-2</v>
      </c>
      <c r="J62" s="1"/>
    </row>
    <row r="63" spans="1:10" x14ac:dyDescent="0.2">
      <c r="A63" s="1"/>
      <c r="B63" s="1" t="s">
        <v>41</v>
      </c>
      <c r="C63" s="9">
        <f>+Rates!H67</f>
        <v>0.28704488559189223</v>
      </c>
      <c r="D63" s="15">
        <v>-0.06</v>
      </c>
      <c r="E63" s="9">
        <v>0</v>
      </c>
      <c r="F63" s="9">
        <v>0.2175</v>
      </c>
      <c r="H63" s="1"/>
      <c r="I63" s="14">
        <f>+F63-D63-E63-C63</f>
        <v>-9.5448855918922604E-3</v>
      </c>
      <c r="J63" s="1"/>
    </row>
    <row r="64" spans="1:10" x14ac:dyDescent="0.2">
      <c r="A64" s="1"/>
      <c r="B64" s="1" t="s">
        <v>42</v>
      </c>
      <c r="C64" s="9">
        <f>+Rates!H37</f>
        <v>0.39088152866242076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-6.5881528662420752E-2</v>
      </c>
      <c r="J64" s="1"/>
    </row>
    <row r="65" spans="1:10" x14ac:dyDescent="0.2">
      <c r="A65" s="1"/>
      <c r="B65" s="1" t="s">
        <v>43</v>
      </c>
      <c r="C65" s="9">
        <f>+Rates!H72</f>
        <v>0.34557248788708672</v>
      </c>
      <c r="D65" s="15">
        <v>-0.06</v>
      </c>
      <c r="E65" s="9">
        <v>0</v>
      </c>
      <c r="F65" s="9">
        <v>0.2525</v>
      </c>
      <c r="H65" s="1"/>
      <c r="I65" s="14">
        <f>+F65-D65-E65-C65</f>
        <v>-3.3072487887086721E-2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29" t="s">
        <v>456</v>
      </c>
      <c r="N100" s="129" t="s">
        <v>458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451</v>
      </c>
      <c r="H101" s="1" t="s">
        <v>450</v>
      </c>
      <c r="I101" s="1" t="s">
        <v>39</v>
      </c>
      <c r="J101" s="1"/>
      <c r="K101" s="10" t="s">
        <v>15</v>
      </c>
      <c r="L101" s="129" t="s">
        <v>455</v>
      </c>
      <c r="M101" s="129" t="s">
        <v>457</v>
      </c>
      <c r="N101" s="129" t="s">
        <v>459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27" t="e">
        <f>+D102*E102</f>
        <v>#REF!</v>
      </c>
      <c r="H102" s="9">
        <f>+F102*D102</f>
        <v>-2.5983821263482278E-2</v>
      </c>
      <c r="I102" s="9">
        <v>0.2175</v>
      </c>
      <c r="J102" s="1"/>
      <c r="K102" s="128" t="e">
        <f>(+G102*H102)</f>
        <v>#REF!</v>
      </c>
      <c r="L102" s="129">
        <f>+I102-F102</f>
        <v>0.28999999999999998</v>
      </c>
      <c r="M102" s="129" t="e">
        <f>+L102-E102</f>
        <v>#REF!</v>
      </c>
      <c r="N102" s="129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27" t="e">
        <f>+D103*E103</f>
        <v>#REF!</v>
      </c>
      <c r="H103" s="9">
        <f>+F103*D103</f>
        <v>-3.8496147919876732E-2</v>
      </c>
      <c r="I103" s="9">
        <v>0.2175</v>
      </c>
      <c r="J103" s="1"/>
      <c r="K103" s="128" t="e">
        <f>(+G103*H103)</f>
        <v>#REF!</v>
      </c>
      <c r="L103" s="129">
        <f>+I103-F103</f>
        <v>0.27749999999999997</v>
      </c>
      <c r="M103" s="129" t="e">
        <f>+L103-E103</f>
        <v>#REF!</v>
      </c>
      <c r="N103" s="129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9">
        <f>+C102*F102</f>
        <v>-84.317499999999995</v>
      </c>
    </row>
    <row r="107" spans="1:15" x14ac:dyDescent="0.2">
      <c r="C107" s="49">
        <f>+C103*F103</f>
        <v>-124.92</v>
      </c>
    </row>
    <row r="108" spans="1:15" x14ac:dyDescent="0.2">
      <c r="C108" s="49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453</v>
      </c>
      <c r="F109" s="1" t="s">
        <v>454</v>
      </c>
      <c r="G109" t="s">
        <v>451</v>
      </c>
      <c r="H109" s="1" t="s">
        <v>450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0.33246840775063224</v>
      </c>
      <c r="F110" s="15">
        <v>-7.2499999999999995E-2</v>
      </c>
      <c r="G110" s="127">
        <f>+D110*E110</f>
        <v>0.11915585769306172</v>
      </c>
      <c r="H110" s="9">
        <f>+F110*D110</f>
        <v>-2.5983821263482278E-2</v>
      </c>
      <c r="I110" s="9">
        <v>0.2175</v>
      </c>
      <c r="J110" s="1"/>
      <c r="K110" s="128">
        <f>(+G110*H110)</f>
        <v>-3.0961245087934458E-3</v>
      </c>
      <c r="L110" s="129">
        <f>+I110-F110</f>
        <v>0.28999999999999998</v>
      </c>
      <c r="M110" s="129">
        <f>+L110-E110</f>
        <v>-4.2468407750632264E-2</v>
      </c>
      <c r="N110" s="129">
        <f>+M110*7</f>
        <v>-0.29727885425442585</v>
      </c>
      <c r="O110">
        <f>+N110*D110</f>
        <v>-0.10654400847392828</v>
      </c>
    </row>
    <row r="111" spans="1:15" x14ac:dyDescent="0.2">
      <c r="A111" s="1"/>
      <c r="B111" s="1" t="s">
        <v>452</v>
      </c>
      <c r="C111" s="4">
        <v>2082</v>
      </c>
      <c r="D111" s="5">
        <f>+C111/C113</f>
        <v>0.64160246533127885</v>
      </c>
      <c r="E111" s="9">
        <f>+Rates!H67</f>
        <v>0.28704488559189223</v>
      </c>
      <c r="F111" s="9">
        <v>-0.06</v>
      </c>
      <c r="G111" s="127">
        <f>+D111*E111</f>
        <v>0.18416870625649293</v>
      </c>
      <c r="H111" s="9">
        <f>+F111*D111</f>
        <v>-3.8496147919876732E-2</v>
      </c>
      <c r="I111" s="9">
        <v>0.2175</v>
      </c>
      <c r="J111" s="1"/>
      <c r="K111" s="128">
        <f>(+G111*H111)</f>
        <v>-7.0897857582622788E-3</v>
      </c>
      <c r="L111" s="129">
        <f>+I111-F111</f>
        <v>0.27749999999999997</v>
      </c>
      <c r="M111" s="129">
        <f>+L111-E111</f>
        <v>-9.5448855918922604E-3</v>
      </c>
      <c r="N111" s="129">
        <f>+M111*7</f>
        <v>-6.6814199143245823E-2</v>
      </c>
      <c r="O111">
        <f>+N111*D111</f>
        <v>-4.286815488944154E-2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-0.14941216336336982</v>
      </c>
    </row>
    <row r="113" spans="3:15" x14ac:dyDescent="0.2">
      <c r="C113" s="4">
        <f>SUM(C110:C112)</f>
        <v>3245</v>
      </c>
      <c r="D113" s="5">
        <f>SUM(D110:D112)</f>
        <v>1</v>
      </c>
      <c r="M113" s="129">
        <f>AVERAGE(M110:M111)</f>
        <v>-2.6006646671262262E-2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29">
        <f>+M113+M105</f>
        <v>-2.6006646671262262E-2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451</v>
      </c>
      <c r="H131" s="1" t="s">
        <v>450</v>
      </c>
      <c r="I131" s="1" t="s">
        <v>460</v>
      </c>
      <c r="J131" s="1"/>
      <c r="K131" s="10" t="s">
        <v>47</v>
      </c>
      <c r="L131" s="129" t="s">
        <v>455</v>
      </c>
      <c r="M131" s="129" t="s">
        <v>457</v>
      </c>
      <c r="N131" s="129" t="s">
        <v>459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27" t="e">
        <f>+D132*E132</f>
        <v>#REF!</v>
      </c>
      <c r="H132" s="9">
        <f>+F132*D132</f>
        <v>-2.5983821263482278E-2</v>
      </c>
      <c r="I132" s="9">
        <v>0.2525</v>
      </c>
      <c r="J132" s="1"/>
      <c r="K132" s="128" t="s">
        <v>47</v>
      </c>
      <c r="L132" s="129">
        <f>+I132-F132</f>
        <v>0.32500000000000001</v>
      </c>
      <c r="M132" s="129" t="e">
        <f>+L132-E132</f>
        <v>#REF!</v>
      </c>
      <c r="N132" s="129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27" t="e">
        <f>+D133*E133</f>
        <v>#REF!</v>
      </c>
      <c r="H133" s="9">
        <f>+F133*D133</f>
        <v>-3.8496147919876732E-2</v>
      </c>
      <c r="I133" s="9">
        <v>0.2525</v>
      </c>
      <c r="J133" s="1"/>
      <c r="K133" s="128" t="s">
        <v>47</v>
      </c>
      <c r="L133" s="129">
        <f>+I133-F133</f>
        <v>0.3125</v>
      </c>
      <c r="M133" s="129" t="e">
        <f>+L133-E133</f>
        <v>#REF!</v>
      </c>
      <c r="N133" s="129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9">
        <f>+C132*F132</f>
        <v>-84.317499999999995</v>
      </c>
    </row>
    <row r="137" spans="1:15" x14ac:dyDescent="0.2">
      <c r="C137" s="49">
        <f>+C133*F133</f>
        <v>-124.92</v>
      </c>
    </row>
    <row r="138" spans="1:15" x14ac:dyDescent="0.2">
      <c r="C138" s="49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453</v>
      </c>
      <c r="F139" s="1" t="s">
        <v>454</v>
      </c>
      <c r="G139" t="s">
        <v>451</v>
      </c>
      <c r="H139" s="1" t="s">
        <v>450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0.39088152866242076</v>
      </c>
      <c r="F140" s="15">
        <v>-7.2499999999999995E-2</v>
      </c>
      <c r="G140" s="127">
        <f>+D140*E140</f>
        <v>0.14009097622015265</v>
      </c>
      <c r="H140" s="9">
        <f>+F140*D140</f>
        <v>-2.5983821263482278E-2</v>
      </c>
      <c r="I140" s="9">
        <v>0.2525</v>
      </c>
      <c r="J140" s="1"/>
      <c r="K140" s="128" t="s">
        <v>47</v>
      </c>
      <c r="L140" s="129">
        <f>+I140-F140</f>
        <v>0.32500000000000001</v>
      </c>
      <c r="M140" s="129">
        <f>+L140-E140</f>
        <v>-6.5881528662420752E-2</v>
      </c>
      <c r="N140" s="129">
        <f>+M140*7</f>
        <v>-0.46117070063694526</v>
      </c>
      <c r="O140">
        <f>+N140*D140</f>
        <v>-0.16528244216972798</v>
      </c>
    </row>
    <row r="141" spans="1:15" x14ac:dyDescent="0.2">
      <c r="A141" s="1"/>
      <c r="B141" s="1" t="s">
        <v>461</v>
      </c>
      <c r="C141" s="4">
        <v>2082</v>
      </c>
      <c r="D141" s="5">
        <f>+C141/C143</f>
        <v>0.64160246533127885</v>
      </c>
      <c r="E141" s="9">
        <f>+Rates!H72</f>
        <v>0.34557248788708672</v>
      </c>
      <c r="F141" s="9">
        <v>-0.06</v>
      </c>
      <c r="G141" s="127">
        <f>+D141*E141</f>
        <v>0.22172016017901833</v>
      </c>
      <c r="H141" s="9">
        <f>+F141*D141</f>
        <v>-3.8496147919876732E-2</v>
      </c>
      <c r="I141" s="9">
        <v>0.2525</v>
      </c>
      <c r="J141" s="1"/>
      <c r="K141" s="128" t="s">
        <v>47</v>
      </c>
      <c r="L141" s="129">
        <f>+I141-F141</f>
        <v>0.3125</v>
      </c>
      <c r="M141" s="129">
        <f>+L141-E141</f>
        <v>-3.3072487887086721E-2</v>
      </c>
      <c r="N141" s="129">
        <f>+M141*7</f>
        <v>-0.23150741520960705</v>
      </c>
      <c r="O141">
        <f>+N141*D141</f>
        <v>-0.14853572834095588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-0.31381817051068384</v>
      </c>
    </row>
    <row r="143" spans="1:15" x14ac:dyDescent="0.2">
      <c r="C143" s="4">
        <f>SUM(C140:C142)</f>
        <v>3245</v>
      </c>
      <c r="D143" s="5">
        <f>SUM(D140:D142)</f>
        <v>1</v>
      </c>
      <c r="M143" s="129">
        <f>AVERAGE(M140:M141)</f>
        <v>-4.9477008274753737E-2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29">
        <f>+M143+M135</f>
        <v>-4.9477008274753737E-2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451</v>
      </c>
      <c r="H151" s="1" t="s">
        <v>450</v>
      </c>
      <c r="I151" s="1" t="s">
        <v>464</v>
      </c>
      <c r="J151" s="1"/>
      <c r="K151" s="10" t="s">
        <v>47</v>
      </c>
      <c r="L151" s="129" t="s">
        <v>455</v>
      </c>
      <c r="M151" s="129" t="s">
        <v>457</v>
      </c>
      <c r="N151" s="129" t="s">
        <v>459</v>
      </c>
    </row>
    <row r="152" spans="2:15" x14ac:dyDescent="0.2">
      <c r="B152" s="1" t="s">
        <v>462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27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28" t="s">
        <v>47</v>
      </c>
      <c r="L152" s="129">
        <f>+I152-F152</f>
        <v>0.35749999999999998</v>
      </c>
      <c r="M152" s="129" t="e">
        <f>+L152-E152</f>
        <v>#REF!</v>
      </c>
      <c r="N152" s="129" t="e">
        <f>+M152*5</f>
        <v>#REF!</v>
      </c>
      <c r="O152" t="e">
        <f>+N152*D152</f>
        <v>#REF!</v>
      </c>
    </row>
    <row r="153" spans="2:15" x14ac:dyDescent="0.2">
      <c r="B153" s="1" t="s">
        <v>463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27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28" t="s">
        <v>47</v>
      </c>
      <c r="L153" s="129">
        <f>+I153-F153</f>
        <v>0.34499999999999997</v>
      </c>
      <c r="M153" s="129" t="e">
        <f>+L153-E153</f>
        <v>#REF!</v>
      </c>
      <c r="N153" s="129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9">
        <f>+C152*F152</f>
        <v>-84.317499999999995</v>
      </c>
    </row>
    <row r="157" spans="2:15" x14ac:dyDescent="0.2">
      <c r="C157" s="49">
        <f>+C153*F153</f>
        <v>-124.92</v>
      </c>
    </row>
    <row r="158" spans="2:15" x14ac:dyDescent="0.2">
      <c r="C158" s="49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453</v>
      </c>
      <c r="F159" s="1" t="s">
        <v>454</v>
      </c>
      <c r="G159" t="s">
        <v>451</v>
      </c>
      <c r="H159" s="1" t="s">
        <v>450</v>
      </c>
      <c r="I159" s="1" t="s">
        <v>464</v>
      </c>
      <c r="J159" s="1"/>
      <c r="K159" s="10" t="s">
        <v>47</v>
      </c>
    </row>
    <row r="160" spans="2:15" x14ac:dyDescent="0.2">
      <c r="B160" s="1" t="s">
        <v>462</v>
      </c>
      <c r="C160" s="4">
        <v>1163</v>
      </c>
      <c r="D160" s="5">
        <f>+C160/C163</f>
        <v>0.3583975346687211</v>
      </c>
      <c r="E160" s="9">
        <f>+Rates!H42</f>
        <v>0.44804030874785611</v>
      </c>
      <c r="F160" s="15">
        <v>-7.2499999999999995E-2</v>
      </c>
      <c r="G160" s="127">
        <f>+D160*E160</f>
        <v>0.16057654208744426</v>
      </c>
      <c r="H160" s="9">
        <f>+F160*D160</f>
        <v>-2.5983821263482278E-2</v>
      </c>
      <c r="I160" s="9">
        <v>0.28499999999999998</v>
      </c>
      <c r="J160" s="1"/>
      <c r="K160" s="128" t="s">
        <v>47</v>
      </c>
      <c r="L160" s="129">
        <f>+I160-F160</f>
        <v>0.35749999999999998</v>
      </c>
      <c r="M160" s="129">
        <f>+L160-E160</f>
        <v>-9.0540308747856124E-2</v>
      </c>
      <c r="N160" s="129">
        <f>+M160*7</f>
        <v>-0.63378216123499287</v>
      </c>
      <c r="O160">
        <f>+N160*D160</f>
        <v>-0.22714596410363533</v>
      </c>
    </row>
    <row r="161" spans="2:15" x14ac:dyDescent="0.2">
      <c r="B161" s="1" t="s">
        <v>465</v>
      </c>
      <c r="C161" s="4">
        <v>2082</v>
      </c>
      <c r="D161" s="5">
        <f>+C161/C163</f>
        <v>0.64160246533127885</v>
      </c>
      <c r="E161" s="9">
        <f>+Rates!H77</f>
        <v>0.40167510369031156</v>
      </c>
      <c r="F161" s="9">
        <v>-0.06</v>
      </c>
      <c r="G161" s="127">
        <f>+D161*E161</f>
        <v>0.25771573678990095</v>
      </c>
      <c r="H161" s="9">
        <f>+F161*D161</f>
        <v>-3.8496147919876732E-2</v>
      </c>
      <c r="I161" s="9">
        <v>0.28499999999999998</v>
      </c>
      <c r="J161" s="1"/>
      <c r="K161" s="128" t="s">
        <v>47</v>
      </c>
      <c r="L161" s="129">
        <f>+I161-F161</f>
        <v>0.34499999999999997</v>
      </c>
      <c r="M161" s="129">
        <f>+L161-E161</f>
        <v>-5.667510369031159E-2</v>
      </c>
      <c r="N161" s="129">
        <f>+M161*7</f>
        <v>-0.39672572583218113</v>
      </c>
      <c r="O161">
        <f>+N161*D161</f>
        <v>-0.25454020375426845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-0.48168616785790375</v>
      </c>
    </row>
    <row r="163" spans="2:15" x14ac:dyDescent="0.2">
      <c r="C163" s="4">
        <f>SUM(C160:C162)</f>
        <v>3245</v>
      </c>
      <c r="D163" s="5">
        <f>SUM(D160:D162)</f>
        <v>1</v>
      </c>
      <c r="M163" s="129">
        <f>AVERAGE(M160:M161)</f>
        <v>-7.3607706219083857E-2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29">
        <f>+M163+M155</f>
        <v>-7.3607706219083857E-2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2.75" x14ac:dyDescent="0.2"/>
  <cols>
    <col min="3" max="3" width="11.140625" customWidth="1"/>
    <col min="4" max="4" width="3.7109375" customWidth="1"/>
    <col min="6" max="6" width="3.28515625" customWidth="1"/>
  </cols>
  <sheetData>
    <row r="1" spans="1:7" x14ac:dyDescent="0.2">
      <c r="A1" t="s">
        <v>237</v>
      </c>
    </row>
    <row r="2" spans="1:7" x14ac:dyDescent="0.2">
      <c r="C2" t="s">
        <v>238</v>
      </c>
      <c r="E2" t="s">
        <v>239</v>
      </c>
    </row>
    <row r="3" spans="1:7" x14ac:dyDescent="0.2">
      <c r="A3" t="s">
        <v>240</v>
      </c>
      <c r="C3">
        <v>307497</v>
      </c>
      <c r="E3" s="43">
        <v>1.6</v>
      </c>
    </row>
    <row r="8" spans="1:7" x14ac:dyDescent="0.2">
      <c r="A8" t="s">
        <v>472</v>
      </c>
    </row>
    <row r="9" spans="1:7" x14ac:dyDescent="0.2">
      <c r="B9" s="131" t="s">
        <v>294</v>
      </c>
      <c r="C9" s="132"/>
      <c r="D9" s="132"/>
      <c r="E9" s="132"/>
      <c r="F9" s="132"/>
      <c r="G9" s="132"/>
    </row>
    <row r="10" spans="1:7" x14ac:dyDescent="0.2">
      <c r="B10" t="s">
        <v>238</v>
      </c>
      <c r="C10" t="s">
        <v>404</v>
      </c>
      <c r="E10" t="s">
        <v>477</v>
      </c>
      <c r="G10" t="s">
        <v>478</v>
      </c>
    </row>
    <row r="11" spans="1:7" x14ac:dyDescent="0.2">
      <c r="B11">
        <v>68900</v>
      </c>
      <c r="C11" t="s">
        <v>479</v>
      </c>
    </row>
    <row r="12" spans="1:7" x14ac:dyDescent="0.2">
      <c r="B12">
        <v>79139</v>
      </c>
      <c r="C12" t="s">
        <v>474</v>
      </c>
    </row>
    <row r="13" spans="1:7" x14ac:dyDescent="0.2">
      <c r="B13">
        <v>82058</v>
      </c>
      <c r="C13" t="s">
        <v>475</v>
      </c>
    </row>
    <row r="14" spans="1:7" x14ac:dyDescent="0.2">
      <c r="B14">
        <v>83440</v>
      </c>
      <c r="C14" t="s">
        <v>475</v>
      </c>
    </row>
    <row r="15" spans="1:7" x14ac:dyDescent="0.2">
      <c r="B15">
        <v>35535</v>
      </c>
      <c r="C15" t="s">
        <v>476</v>
      </c>
    </row>
    <row r="20" spans="2:7" x14ac:dyDescent="0.2">
      <c r="B20" s="131" t="s">
        <v>295</v>
      </c>
      <c r="C20" s="132"/>
      <c r="D20" s="132"/>
      <c r="E20" s="132"/>
      <c r="F20" s="132"/>
      <c r="G20" s="132"/>
    </row>
    <row r="21" spans="2:7" x14ac:dyDescent="0.2">
      <c r="B21" t="s">
        <v>238</v>
      </c>
      <c r="C21" t="s">
        <v>404</v>
      </c>
      <c r="E21" t="s">
        <v>477</v>
      </c>
      <c r="G21" t="s">
        <v>478</v>
      </c>
    </row>
    <row r="22" spans="2:7" x14ac:dyDescent="0.2">
      <c r="B22">
        <v>68903</v>
      </c>
      <c r="C22" t="s">
        <v>473</v>
      </c>
    </row>
    <row r="23" spans="2:7" x14ac:dyDescent="0.2">
      <c r="B23">
        <v>68904</v>
      </c>
      <c r="C23" t="s">
        <v>480</v>
      </c>
    </row>
    <row r="24" spans="2:7" x14ac:dyDescent="0.2">
      <c r="B24">
        <v>79798</v>
      </c>
      <c r="C24" t="s">
        <v>481</v>
      </c>
    </row>
    <row r="25" spans="2:7" x14ac:dyDescent="0.2">
      <c r="C25" t="s">
        <v>482</v>
      </c>
    </row>
    <row r="26" spans="2:7" x14ac:dyDescent="0.2">
      <c r="B26">
        <v>79801</v>
      </c>
      <c r="C26" t="s">
        <v>475</v>
      </c>
    </row>
    <row r="27" spans="2:7" x14ac:dyDescent="0.2">
      <c r="C27" t="s">
        <v>483</v>
      </c>
    </row>
    <row r="28" spans="2:7" x14ac:dyDescent="0.2">
      <c r="B28">
        <v>83404</v>
      </c>
      <c r="C28" t="s">
        <v>484</v>
      </c>
    </row>
    <row r="29" spans="2:7" x14ac:dyDescent="0.2">
      <c r="C29" t="s">
        <v>482</v>
      </c>
    </row>
    <row r="30" spans="2:7" x14ac:dyDescent="0.2">
      <c r="B30">
        <v>79141</v>
      </c>
      <c r="C30" t="s">
        <v>481</v>
      </c>
    </row>
    <row r="31" spans="2:7" x14ac:dyDescent="0.2">
      <c r="B31">
        <v>79139</v>
      </c>
      <c r="C31" t="s">
        <v>474</v>
      </c>
    </row>
    <row r="32" spans="2:7" x14ac:dyDescent="0.2">
      <c r="B32">
        <v>79136</v>
      </c>
      <c r="C32" t="s">
        <v>485</v>
      </c>
    </row>
    <row r="35" spans="2:7" x14ac:dyDescent="0.2">
      <c r="B35" s="131" t="s">
        <v>94</v>
      </c>
      <c r="C35" s="132"/>
      <c r="D35" s="132"/>
      <c r="E35" s="132"/>
      <c r="F35" s="132"/>
      <c r="G35" s="132"/>
    </row>
    <row r="36" spans="2:7" x14ac:dyDescent="0.2">
      <c r="B36" t="s">
        <v>238</v>
      </c>
      <c r="C36" t="s">
        <v>404</v>
      </c>
      <c r="E36" t="s">
        <v>477</v>
      </c>
      <c r="G36" t="s">
        <v>478</v>
      </c>
    </row>
    <row r="37" spans="2:7" x14ac:dyDescent="0.2">
      <c r="B37">
        <v>75839</v>
      </c>
      <c r="C37" t="s">
        <v>486</v>
      </c>
    </row>
    <row r="38" spans="2:7" x14ac:dyDescent="0.2">
      <c r="B38">
        <v>79811</v>
      </c>
      <c r="C38" t="s">
        <v>487</v>
      </c>
    </row>
    <row r="39" spans="2:7" x14ac:dyDescent="0.2">
      <c r="C39" t="s">
        <v>488</v>
      </c>
    </row>
    <row r="40" spans="2:7" x14ac:dyDescent="0.2">
      <c r="B40">
        <v>83404</v>
      </c>
      <c r="C40" t="s">
        <v>484</v>
      </c>
    </row>
    <row r="41" spans="2:7" x14ac:dyDescent="0.2">
      <c r="B41">
        <v>81129</v>
      </c>
      <c r="C41" t="s">
        <v>487</v>
      </c>
    </row>
    <row r="42" spans="2:7" x14ac:dyDescent="0.2">
      <c r="B42">
        <v>82058</v>
      </c>
      <c r="C42" t="s">
        <v>475</v>
      </c>
    </row>
    <row r="43" spans="2:7" x14ac:dyDescent="0.2">
      <c r="C43" t="s">
        <v>489</v>
      </c>
    </row>
    <row r="44" spans="2:7" x14ac:dyDescent="0.2">
      <c r="B44">
        <v>83440</v>
      </c>
      <c r="C44" t="s">
        <v>475</v>
      </c>
    </row>
    <row r="45" spans="2:7" x14ac:dyDescent="0.2">
      <c r="C45" t="s">
        <v>483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/>
  </sheetViews>
  <sheetFormatPr defaultRowHeight="12.75" x14ac:dyDescent="0.2"/>
  <cols>
    <col min="2" max="2" width="5.42578125" customWidth="1"/>
    <col min="3" max="3" width="10.28515625" style="387" bestFit="1" customWidth="1"/>
    <col min="4" max="4" width="3.28515625" customWidth="1"/>
    <col min="6" max="6" width="3.140625" customWidth="1"/>
  </cols>
  <sheetData>
    <row r="1" spans="1:13" x14ac:dyDescent="0.2">
      <c r="A1" s="50" t="s">
        <v>830</v>
      </c>
    </row>
    <row r="4" spans="1:13" x14ac:dyDescent="0.2">
      <c r="A4" s="385" t="s">
        <v>397</v>
      </c>
      <c r="C4" s="386" t="s">
        <v>833</v>
      </c>
      <c r="E4" t="s">
        <v>91</v>
      </c>
      <c r="G4" t="s">
        <v>834</v>
      </c>
      <c r="I4" t="s">
        <v>835</v>
      </c>
      <c r="K4" t="s">
        <v>836</v>
      </c>
      <c r="M4" t="s">
        <v>837</v>
      </c>
    </row>
    <row r="5" spans="1:13" x14ac:dyDescent="0.2">
      <c r="A5" t="s">
        <v>831</v>
      </c>
      <c r="C5" s="387" t="s">
        <v>832</v>
      </c>
    </row>
    <row r="7" spans="1:13" x14ac:dyDescent="0.2">
      <c r="A7" t="s">
        <v>140</v>
      </c>
      <c r="C7" s="387">
        <v>15000</v>
      </c>
      <c r="E7" t="s">
        <v>814</v>
      </c>
      <c r="G7" t="s">
        <v>813</v>
      </c>
      <c r="I7" t="s">
        <v>812</v>
      </c>
      <c r="K7" t="s">
        <v>838</v>
      </c>
      <c r="M7" t="s">
        <v>839</v>
      </c>
    </row>
    <row r="8" spans="1:13" x14ac:dyDescent="0.2">
      <c r="C8" s="387">
        <v>3947</v>
      </c>
      <c r="E8" t="s">
        <v>824</v>
      </c>
      <c r="G8" t="s">
        <v>822</v>
      </c>
      <c r="I8" t="s">
        <v>823</v>
      </c>
      <c r="K8" t="s">
        <v>838</v>
      </c>
      <c r="M8" t="s">
        <v>839</v>
      </c>
    </row>
    <row r="10" spans="1:13" x14ac:dyDescent="0.2">
      <c r="A10" t="s">
        <v>699</v>
      </c>
      <c r="C10" s="387">
        <v>4000</v>
      </c>
      <c r="E10">
        <v>66930</v>
      </c>
    </row>
    <row r="11" spans="1:13" x14ac:dyDescent="0.2">
      <c r="C11" s="387">
        <v>4000</v>
      </c>
      <c r="E11">
        <v>66931</v>
      </c>
    </row>
    <row r="12" spans="1:13" x14ac:dyDescent="0.2">
      <c r="C12" s="387">
        <v>4000</v>
      </c>
      <c r="E12">
        <v>66932</v>
      </c>
    </row>
    <row r="13" spans="1:13" x14ac:dyDescent="0.2">
      <c r="C13" s="387">
        <v>20000</v>
      </c>
      <c r="E13">
        <v>66965</v>
      </c>
    </row>
    <row r="15" spans="1:13" x14ac:dyDescent="0.2">
      <c r="C15" s="387">
        <v>2329</v>
      </c>
      <c r="E15">
        <v>65071</v>
      </c>
      <c r="G15" t="s">
        <v>321</v>
      </c>
      <c r="I15" t="s">
        <v>693</v>
      </c>
      <c r="K15" t="s">
        <v>841</v>
      </c>
      <c r="M15" t="s">
        <v>842</v>
      </c>
    </row>
    <row r="16" spans="1:13" x14ac:dyDescent="0.2">
      <c r="C16" s="387">
        <v>40000</v>
      </c>
      <c r="E16">
        <v>64231</v>
      </c>
      <c r="G16" t="s">
        <v>844</v>
      </c>
      <c r="M16" t="s">
        <v>843</v>
      </c>
    </row>
    <row r="18" spans="1:13" x14ac:dyDescent="0.2">
      <c r="C18" s="387">
        <v>134000</v>
      </c>
      <c r="E18" t="s">
        <v>840</v>
      </c>
      <c r="G18" t="s">
        <v>840</v>
      </c>
      <c r="M18" t="s">
        <v>845</v>
      </c>
    </row>
    <row r="20" spans="1:13" x14ac:dyDescent="0.2">
      <c r="C20" s="387">
        <v>80000</v>
      </c>
      <c r="E20" t="s">
        <v>846</v>
      </c>
      <c r="M20" t="s">
        <v>847</v>
      </c>
    </row>
    <row r="22" spans="1:13" x14ac:dyDescent="0.2">
      <c r="A22" t="s">
        <v>678</v>
      </c>
      <c r="C22" s="387">
        <v>15000</v>
      </c>
      <c r="E22">
        <v>37861</v>
      </c>
      <c r="G22" t="s">
        <v>848</v>
      </c>
      <c r="I22" t="s">
        <v>321</v>
      </c>
      <c r="K22" t="s">
        <v>849</v>
      </c>
      <c r="M22" t="s">
        <v>850</v>
      </c>
    </row>
    <row r="23" spans="1:13" x14ac:dyDescent="0.2">
      <c r="C23" s="387">
        <v>15000</v>
      </c>
      <c r="E23">
        <v>58654</v>
      </c>
      <c r="G23" t="s">
        <v>848</v>
      </c>
      <c r="I23" t="s">
        <v>321</v>
      </c>
      <c r="K23" t="s">
        <v>851</v>
      </c>
      <c r="M23" t="s">
        <v>852</v>
      </c>
    </row>
    <row r="24" spans="1:13" x14ac:dyDescent="0.2">
      <c r="C24" s="387">
        <v>30000</v>
      </c>
      <c r="E24">
        <v>63115</v>
      </c>
      <c r="G24" t="s">
        <v>848</v>
      </c>
      <c r="I24" t="s">
        <v>321</v>
      </c>
      <c r="K24" t="s">
        <v>853</v>
      </c>
      <c r="M24" t="s">
        <v>852</v>
      </c>
    </row>
    <row r="26" spans="1:13" x14ac:dyDescent="0.2">
      <c r="C26" s="387">
        <v>20000</v>
      </c>
      <c r="E26">
        <v>37393</v>
      </c>
      <c r="G26" t="s">
        <v>28</v>
      </c>
      <c r="I26" t="s">
        <v>848</v>
      </c>
      <c r="K26" t="s">
        <v>854</v>
      </c>
      <c r="M26" t="s">
        <v>850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RowHeight="12" x14ac:dyDescent="0.2"/>
  <cols>
    <col min="1" max="1" width="10.140625" style="1" customWidth="1"/>
    <col min="2" max="2" width="1.85546875" style="4" customWidth="1"/>
    <col min="3" max="3" width="9.140625" style="1"/>
    <col min="4" max="4" width="12.7109375" style="1" customWidth="1"/>
    <col min="5" max="5" width="9.140625" style="1"/>
    <col min="6" max="6" width="12.7109375" style="1" customWidth="1"/>
    <col min="7" max="16384" width="9.140625" style="1"/>
  </cols>
  <sheetData>
    <row r="1" spans="1:3" ht="12.75" x14ac:dyDescent="0.2">
      <c r="A1"/>
      <c r="B1" s="37"/>
    </row>
    <row r="2" spans="1:3" x14ac:dyDescent="0.2">
      <c r="A2" s="1" t="s">
        <v>241</v>
      </c>
    </row>
    <row r="3" spans="1:3" x14ac:dyDescent="0.2">
      <c r="A3" s="1">
        <v>26964</v>
      </c>
      <c r="C3" s="1" t="s">
        <v>242</v>
      </c>
    </row>
    <row r="4" spans="1:3" x14ac:dyDescent="0.2">
      <c r="A4" s="1">
        <v>26586</v>
      </c>
      <c r="C4" s="1" t="s">
        <v>243</v>
      </c>
    </row>
    <row r="5" spans="1:3" x14ac:dyDescent="0.2">
      <c r="A5" s="1">
        <v>26070</v>
      </c>
      <c r="C5" s="38" t="s">
        <v>244</v>
      </c>
    </row>
    <row r="6" spans="1:3" x14ac:dyDescent="0.2">
      <c r="A6" s="1">
        <v>26901</v>
      </c>
      <c r="C6" s="38" t="s">
        <v>245</v>
      </c>
    </row>
    <row r="7" spans="1:3" x14ac:dyDescent="0.2">
      <c r="A7" s="1">
        <v>24787</v>
      </c>
      <c r="C7" s="1" t="s">
        <v>246</v>
      </c>
    </row>
    <row r="8" spans="1:3" x14ac:dyDescent="0.2">
      <c r="A8" s="1">
        <v>25431</v>
      </c>
      <c r="C8" s="1" t="s">
        <v>247</v>
      </c>
    </row>
    <row r="9" spans="1:3" x14ac:dyDescent="0.2">
      <c r="A9" s="1">
        <v>24976</v>
      </c>
      <c r="C9" s="1" t="s">
        <v>248</v>
      </c>
    </row>
    <row r="10" spans="1:3" x14ac:dyDescent="0.2">
      <c r="A10" s="1">
        <v>25635</v>
      </c>
      <c r="C10" s="1" t="s">
        <v>249</v>
      </c>
    </row>
    <row r="11" spans="1:3" x14ac:dyDescent="0.2">
      <c r="A11" s="1">
        <v>24530</v>
      </c>
      <c r="C11" s="1" t="s">
        <v>250</v>
      </c>
    </row>
    <row r="12" spans="1:3" x14ac:dyDescent="0.2">
      <c r="A12" s="1">
        <v>24566</v>
      </c>
      <c r="C12" s="1" t="s">
        <v>251</v>
      </c>
    </row>
    <row r="15" spans="1:3" x14ac:dyDescent="0.2">
      <c r="A15" s="1" t="s">
        <v>277</v>
      </c>
    </row>
    <row r="16" spans="1:3" x14ac:dyDescent="0.2">
      <c r="A16" s="1" t="s">
        <v>278</v>
      </c>
    </row>
    <row r="17" spans="1:14" x14ac:dyDescent="0.2">
      <c r="A17" s="1" t="s">
        <v>279</v>
      </c>
    </row>
    <row r="18" spans="1:14" x14ac:dyDescent="0.2">
      <c r="A18" s="35" t="s">
        <v>280</v>
      </c>
      <c r="C18" s="9"/>
      <c r="E18" s="9"/>
    </row>
    <row r="19" spans="1:14" x14ac:dyDescent="0.2">
      <c r="A19" s="35"/>
      <c r="C19" s="9"/>
      <c r="E19" s="9"/>
    </row>
    <row r="20" spans="1:14" x14ac:dyDescent="0.2">
      <c r="A20" s="35" t="s">
        <v>281</v>
      </c>
      <c r="C20" s="9"/>
      <c r="E20" s="9"/>
    </row>
    <row r="21" spans="1:14" x14ac:dyDescent="0.2">
      <c r="A21" s="35"/>
      <c r="C21" s="9"/>
      <c r="E21" s="9"/>
    </row>
    <row r="22" spans="1:14" x14ac:dyDescent="0.2">
      <c r="A22" s="35" t="s">
        <v>282</v>
      </c>
      <c r="C22" s="9"/>
      <c r="E22" s="9"/>
    </row>
    <row r="23" spans="1:14" x14ac:dyDescent="0.2">
      <c r="A23" s="35"/>
      <c r="C23" s="9"/>
      <c r="E23" s="9"/>
    </row>
    <row r="24" spans="1:14" x14ac:dyDescent="0.2">
      <c r="A24" s="35" t="s">
        <v>283</v>
      </c>
      <c r="C24" s="9"/>
      <c r="E24" s="9"/>
    </row>
    <row r="25" spans="1:14" x14ac:dyDescent="0.2">
      <c r="A25" s="35" t="s">
        <v>284</v>
      </c>
      <c r="C25" s="9"/>
      <c r="E25" s="9"/>
    </row>
    <row r="26" spans="1:14" x14ac:dyDescent="0.2">
      <c r="A26" s="35"/>
      <c r="C26" s="9"/>
      <c r="E26" s="9"/>
      <c r="M26" s="9" t="s">
        <v>285</v>
      </c>
      <c r="N26" s="1" t="s">
        <v>286</v>
      </c>
    </row>
    <row r="27" spans="1:14" x14ac:dyDescent="0.2">
      <c r="A27" s="35"/>
      <c r="C27" s="9" t="s">
        <v>285</v>
      </c>
      <c r="D27" s="1" t="s">
        <v>286</v>
      </c>
      <c r="E27" s="9"/>
      <c r="M27" s="9"/>
    </row>
    <row r="28" spans="1:14" x14ac:dyDescent="0.2">
      <c r="A28" s="35"/>
      <c r="C28" s="9"/>
      <c r="E28" s="9"/>
      <c r="M28" s="51">
        <v>36070</v>
      </c>
      <c r="N28" s="52">
        <v>22766</v>
      </c>
    </row>
    <row r="29" spans="1:14" x14ac:dyDescent="0.2">
      <c r="A29" s="35"/>
      <c r="C29" s="51">
        <v>36070</v>
      </c>
      <c r="D29" s="52">
        <v>23000</v>
      </c>
      <c r="E29" s="9"/>
      <c r="M29" s="51">
        <v>36071</v>
      </c>
      <c r="N29" s="52">
        <v>258</v>
      </c>
    </row>
    <row r="30" spans="1:14" x14ac:dyDescent="0.2">
      <c r="A30" s="35"/>
      <c r="C30" s="51">
        <v>36079</v>
      </c>
      <c r="D30" s="52">
        <v>60000</v>
      </c>
      <c r="E30" s="9"/>
      <c r="M30" s="51">
        <v>36079</v>
      </c>
      <c r="N30" s="52">
        <v>66349</v>
      </c>
    </row>
    <row r="31" spans="1:14" x14ac:dyDescent="0.2">
      <c r="A31" s="35"/>
      <c r="C31" s="51">
        <v>36080</v>
      </c>
      <c r="D31" s="52">
        <v>72000</v>
      </c>
      <c r="E31" s="9"/>
      <c r="M31" s="51">
        <v>36080</v>
      </c>
      <c r="N31" s="52">
        <v>80468</v>
      </c>
    </row>
    <row r="32" spans="1:14" x14ac:dyDescent="0.2">
      <c r="A32" s="35"/>
      <c r="C32" s="51">
        <v>36081</v>
      </c>
      <c r="D32" s="52">
        <v>27000</v>
      </c>
      <c r="E32" s="9"/>
      <c r="M32" s="51">
        <v>36081</v>
      </c>
      <c r="N32" s="52">
        <v>27726</v>
      </c>
    </row>
    <row r="33" spans="1:14" x14ac:dyDescent="0.2">
      <c r="A33" s="35"/>
      <c r="C33" s="51">
        <v>36082</v>
      </c>
      <c r="D33" s="52">
        <v>53000</v>
      </c>
      <c r="E33" s="9"/>
      <c r="M33" s="51">
        <v>36082</v>
      </c>
      <c r="N33" s="52">
        <v>52469</v>
      </c>
    </row>
    <row r="34" spans="1:14" x14ac:dyDescent="0.2">
      <c r="A34" s="35"/>
      <c r="C34" s="51">
        <v>36085</v>
      </c>
      <c r="D34" s="52">
        <v>51000</v>
      </c>
      <c r="E34" s="9"/>
      <c r="M34" s="51">
        <v>36083</v>
      </c>
      <c r="N34" s="52">
        <v>1497</v>
      </c>
    </row>
    <row r="35" spans="1:14" x14ac:dyDescent="0.2">
      <c r="A35" s="35"/>
      <c r="C35" s="51">
        <v>36086</v>
      </c>
      <c r="D35" s="52">
        <v>51000</v>
      </c>
      <c r="E35" s="9"/>
      <c r="M35" s="51">
        <v>36084</v>
      </c>
      <c r="N35" s="52">
        <f>2083+75</f>
        <v>2158</v>
      </c>
    </row>
    <row r="36" spans="1:14" x14ac:dyDescent="0.2">
      <c r="A36" s="35"/>
      <c r="C36" s="51">
        <v>36087</v>
      </c>
      <c r="D36" s="52">
        <v>63730</v>
      </c>
      <c r="M36" s="51">
        <v>36085</v>
      </c>
      <c r="N36" s="52">
        <f>9365+175+9+9759+16833+13341+1513</f>
        <v>50995</v>
      </c>
    </row>
    <row r="37" spans="1:14" x14ac:dyDescent="0.2">
      <c r="A37" s="35"/>
      <c r="C37" s="51">
        <v>36092</v>
      </c>
      <c r="D37" s="52">
        <v>25000</v>
      </c>
      <c r="M37" s="51">
        <v>36086</v>
      </c>
      <c r="N37" s="52">
        <f>9365+175+9+9759+16833+13341+1513</f>
        <v>50995</v>
      </c>
    </row>
    <row r="38" spans="1:14" x14ac:dyDescent="0.2">
      <c r="A38" s="35"/>
      <c r="C38" s="51">
        <v>36093</v>
      </c>
      <c r="D38" s="52">
        <v>25000</v>
      </c>
      <c r="M38" s="51">
        <v>36087</v>
      </c>
      <c r="N38" s="52">
        <f>28107+9305+175+8+13256+9696+1502+1219</f>
        <v>63268</v>
      </c>
    </row>
    <row r="39" spans="1:14" ht="14.25" x14ac:dyDescent="0.35">
      <c r="A39" s="35"/>
      <c r="C39" s="51">
        <v>36094</v>
      </c>
      <c r="D39" s="53">
        <v>25000</v>
      </c>
      <c r="M39" s="51">
        <v>36088</v>
      </c>
      <c r="N39" s="52">
        <f>2088+175</f>
        <v>2263</v>
      </c>
    </row>
    <row r="40" spans="1:14" ht="12.75" thickBot="1" x14ac:dyDescent="0.25">
      <c r="A40" s="35"/>
      <c r="C40" s="51" t="s">
        <v>47</v>
      </c>
      <c r="D40" s="52">
        <f>SUM(D23:D39)</f>
        <v>475730</v>
      </c>
      <c r="M40" s="51">
        <v>36089</v>
      </c>
      <c r="N40" s="52">
        <v>175</v>
      </c>
    </row>
    <row r="41" spans="1:14" x14ac:dyDescent="0.2">
      <c r="A41" s="35"/>
      <c r="C41" s="51" t="s">
        <v>47</v>
      </c>
      <c r="D41" s="52" t="s">
        <v>47</v>
      </c>
      <c r="F41" s="39"/>
      <c r="M41" s="51">
        <v>36092</v>
      </c>
      <c r="N41" s="52">
        <f>15001+10001</f>
        <v>25002</v>
      </c>
    </row>
    <row r="42" spans="1:14" x14ac:dyDescent="0.2">
      <c r="A42" s="35"/>
      <c r="C42" s="51" t="s">
        <v>47</v>
      </c>
      <c r="D42" s="52" t="s">
        <v>47</v>
      </c>
      <c r="M42" s="51">
        <v>36093</v>
      </c>
      <c r="N42" s="52">
        <f>15001+10001</f>
        <v>25002</v>
      </c>
    </row>
    <row r="43" spans="1:14" x14ac:dyDescent="0.2">
      <c r="A43" s="35"/>
      <c r="C43" s="51" t="s">
        <v>47</v>
      </c>
      <c r="D43" s="52" t="s">
        <v>47</v>
      </c>
      <c r="M43" s="51">
        <v>36094</v>
      </c>
      <c r="N43" s="52">
        <f>15001+10001</f>
        <v>25002</v>
      </c>
    </row>
    <row r="44" spans="1:14" ht="14.25" x14ac:dyDescent="0.35">
      <c r="A44" s="35"/>
      <c r="C44" s="51" t="s">
        <v>48</v>
      </c>
      <c r="D44" s="52" t="s">
        <v>47</v>
      </c>
      <c r="M44" s="51">
        <v>36095</v>
      </c>
      <c r="N44" s="53">
        <v>1908</v>
      </c>
    </row>
    <row r="45" spans="1:14" x14ac:dyDescent="0.2">
      <c r="A45" s="35"/>
      <c r="C45" s="51" t="s">
        <v>47</v>
      </c>
      <c r="D45" s="54" t="s">
        <v>47</v>
      </c>
      <c r="M45" s="51" t="s">
        <v>47</v>
      </c>
      <c r="N45" s="52">
        <f>SUM(N28:N44)</f>
        <v>498301</v>
      </c>
    </row>
    <row r="46" spans="1:14" x14ac:dyDescent="0.2">
      <c r="A46" s="35"/>
      <c r="C46" s="51" t="s">
        <v>47</v>
      </c>
      <c r="D46" s="52" t="s">
        <v>47</v>
      </c>
      <c r="M46" s="51" t="s">
        <v>47</v>
      </c>
    </row>
    <row r="47" spans="1:14" x14ac:dyDescent="0.2">
      <c r="A47" s="35"/>
      <c r="C47" s="51" t="s">
        <v>47</v>
      </c>
    </row>
    <row r="48" spans="1:14" x14ac:dyDescent="0.2">
      <c r="A48" s="35"/>
      <c r="C48" s="51" t="s">
        <v>47</v>
      </c>
    </row>
    <row r="49" spans="1:3" x14ac:dyDescent="0.2">
      <c r="A49" s="35" t="s">
        <v>287</v>
      </c>
      <c r="C49" s="51"/>
    </row>
    <row r="50" spans="1:3" x14ac:dyDescent="0.2">
      <c r="A50" s="35" t="s">
        <v>47</v>
      </c>
      <c r="C50" s="51" t="s">
        <v>47</v>
      </c>
    </row>
    <row r="51" spans="1:3" x14ac:dyDescent="0.2">
      <c r="A51" s="35" t="s">
        <v>47</v>
      </c>
      <c r="C51" s="51" t="s">
        <v>47</v>
      </c>
    </row>
    <row r="52" spans="1:3" x14ac:dyDescent="0.2">
      <c r="A52" s="35" t="s">
        <v>47</v>
      </c>
      <c r="C52" s="51" t="s">
        <v>47</v>
      </c>
    </row>
    <row r="53" spans="1:3" x14ac:dyDescent="0.2">
      <c r="A53" s="35" t="s">
        <v>47</v>
      </c>
      <c r="C53" s="51" t="s">
        <v>47</v>
      </c>
    </row>
    <row r="54" spans="1:3" x14ac:dyDescent="0.2">
      <c r="A54" s="35" t="s">
        <v>47</v>
      </c>
      <c r="C54" s="51" t="s">
        <v>47</v>
      </c>
    </row>
    <row r="55" spans="1:3" x14ac:dyDescent="0.2">
      <c r="A55" s="35" t="s">
        <v>47</v>
      </c>
      <c r="C55" s="51" t="s">
        <v>47</v>
      </c>
    </row>
    <row r="56" spans="1:3" x14ac:dyDescent="0.2">
      <c r="A56" s="35" t="s">
        <v>47</v>
      </c>
      <c r="C56" s="51" t="s">
        <v>48</v>
      </c>
    </row>
    <row r="57" spans="1:3" x14ac:dyDescent="0.2">
      <c r="A57" s="35" t="s">
        <v>47</v>
      </c>
      <c r="C57" s="51" t="s">
        <v>47</v>
      </c>
    </row>
    <row r="58" spans="1:3" x14ac:dyDescent="0.2">
      <c r="A58" s="35" t="s">
        <v>47</v>
      </c>
      <c r="C58" s="51" t="s">
        <v>47</v>
      </c>
    </row>
    <row r="59" spans="1:3" x14ac:dyDescent="0.2">
      <c r="A59" s="35" t="s">
        <v>47</v>
      </c>
      <c r="C59" s="51" t="s">
        <v>47</v>
      </c>
    </row>
    <row r="60" spans="1:3" x14ac:dyDescent="0.2">
      <c r="A60" s="35" t="s">
        <v>47</v>
      </c>
      <c r="C60" s="51" t="s">
        <v>47</v>
      </c>
    </row>
    <row r="61" spans="1:3" x14ac:dyDescent="0.2">
      <c r="A61" s="35" t="s">
        <v>47</v>
      </c>
      <c r="C61" s="51" t="s">
        <v>47</v>
      </c>
    </row>
    <row r="62" spans="1:3" x14ac:dyDescent="0.2">
      <c r="A62" s="35" t="s">
        <v>47</v>
      </c>
      <c r="C62" s="51" t="s">
        <v>48</v>
      </c>
    </row>
    <row r="63" spans="1:3" x14ac:dyDescent="0.2">
      <c r="A63" s="35" t="s">
        <v>47</v>
      </c>
      <c r="C63" s="51" t="s">
        <v>47</v>
      </c>
    </row>
    <row r="64" spans="1:3" x14ac:dyDescent="0.2">
      <c r="A64" s="35" t="s">
        <v>47</v>
      </c>
      <c r="C64" s="51" t="s">
        <v>47</v>
      </c>
    </row>
    <row r="65" spans="1:3" x14ac:dyDescent="0.2">
      <c r="A65" s="35" t="s">
        <v>47</v>
      </c>
      <c r="C65" s="51" t="s">
        <v>47</v>
      </c>
    </row>
    <row r="66" spans="1:3" x14ac:dyDescent="0.2">
      <c r="A66" s="35" t="s">
        <v>47</v>
      </c>
      <c r="C66" s="51" t="s">
        <v>47</v>
      </c>
    </row>
    <row r="67" spans="1:3" x14ac:dyDescent="0.2">
      <c r="A67" s="35" t="s">
        <v>47</v>
      </c>
      <c r="C67" s="51" t="s">
        <v>48</v>
      </c>
    </row>
    <row r="68" spans="1:3" x14ac:dyDescent="0.2">
      <c r="A68" s="35" t="s">
        <v>47</v>
      </c>
      <c r="C68" s="51" t="s">
        <v>47</v>
      </c>
    </row>
    <row r="69" spans="1:3" x14ac:dyDescent="0.2">
      <c r="A69" s="35" t="s">
        <v>47</v>
      </c>
    </row>
    <row r="70" spans="1:3" x14ac:dyDescent="0.2">
      <c r="A70" s="35" t="s">
        <v>47</v>
      </c>
    </row>
    <row r="71" spans="1:3" x14ac:dyDescent="0.2">
      <c r="A71" s="35" t="s">
        <v>47</v>
      </c>
    </row>
    <row r="72" spans="1:3" x14ac:dyDescent="0.2">
      <c r="A72" s="35" t="s">
        <v>47</v>
      </c>
    </row>
    <row r="73" spans="1:3" x14ac:dyDescent="0.2">
      <c r="A73" s="35" t="s">
        <v>47</v>
      </c>
    </row>
    <row r="74" spans="1:3" x14ac:dyDescent="0.2">
      <c r="A74" s="35" t="s">
        <v>47</v>
      </c>
    </row>
    <row r="75" spans="1:3" x14ac:dyDescent="0.2">
      <c r="A75" s="35" t="s">
        <v>47</v>
      </c>
    </row>
    <row r="76" spans="1:3" x14ac:dyDescent="0.2">
      <c r="A76" s="35" t="s">
        <v>47</v>
      </c>
    </row>
    <row r="77" spans="1:3" x14ac:dyDescent="0.2">
      <c r="A77" s="35" t="s">
        <v>47</v>
      </c>
    </row>
    <row r="78" spans="1:3" x14ac:dyDescent="0.2">
      <c r="A78" s="35" t="s">
        <v>47</v>
      </c>
    </row>
    <row r="79" spans="1:3" x14ac:dyDescent="0.2">
      <c r="A79" s="35" t="s">
        <v>47</v>
      </c>
    </row>
    <row r="80" spans="1:3" x14ac:dyDescent="0.2">
      <c r="A80" s="35" t="s">
        <v>47</v>
      </c>
    </row>
    <row r="81" spans="1:1" x14ac:dyDescent="0.2">
      <c r="A81" s="35" t="s">
        <v>47</v>
      </c>
    </row>
    <row r="82" spans="1:1" x14ac:dyDescent="0.2">
      <c r="A82" s="35" t="s">
        <v>47</v>
      </c>
    </row>
    <row r="83" spans="1:1" x14ac:dyDescent="0.2">
      <c r="A83" s="35" t="s">
        <v>47</v>
      </c>
    </row>
    <row r="84" spans="1:1" x14ac:dyDescent="0.2">
      <c r="A84" s="35" t="s">
        <v>47</v>
      </c>
    </row>
    <row r="85" spans="1:1" x14ac:dyDescent="0.2">
      <c r="A85" s="35" t="s">
        <v>47</v>
      </c>
    </row>
    <row r="86" spans="1:1" x14ac:dyDescent="0.2">
      <c r="A86" s="35" t="s">
        <v>47</v>
      </c>
    </row>
    <row r="87" spans="1:1" x14ac:dyDescent="0.2">
      <c r="A87" s="35" t="s">
        <v>47</v>
      </c>
    </row>
    <row r="88" spans="1:1" x14ac:dyDescent="0.2">
      <c r="A88" s="35" t="s">
        <v>47</v>
      </c>
    </row>
    <row r="89" spans="1:1" x14ac:dyDescent="0.2">
      <c r="A89" s="35" t="s">
        <v>47</v>
      </c>
    </row>
    <row r="90" spans="1:1" x14ac:dyDescent="0.2">
      <c r="A90" s="35" t="s">
        <v>47</v>
      </c>
    </row>
    <row r="91" spans="1:1" x14ac:dyDescent="0.2">
      <c r="A91" s="35" t="s">
        <v>47</v>
      </c>
    </row>
    <row r="92" spans="1:1" x14ac:dyDescent="0.2">
      <c r="A92" s="35" t="s">
        <v>47</v>
      </c>
    </row>
    <row r="93" spans="1:1" x14ac:dyDescent="0.2">
      <c r="A93" s="35" t="s">
        <v>47</v>
      </c>
    </row>
    <row r="94" spans="1:1" x14ac:dyDescent="0.2">
      <c r="A94" s="35" t="s">
        <v>47</v>
      </c>
    </row>
    <row r="95" spans="1:1" x14ac:dyDescent="0.2">
      <c r="A95" s="35" t="s">
        <v>47</v>
      </c>
    </row>
    <row r="96" spans="1:1" x14ac:dyDescent="0.2">
      <c r="A96" s="35" t="s">
        <v>47</v>
      </c>
    </row>
    <row r="97" spans="1:1" x14ac:dyDescent="0.2">
      <c r="A97" s="35" t="s">
        <v>47</v>
      </c>
    </row>
    <row r="98" spans="1:1" x14ac:dyDescent="0.2">
      <c r="A98" s="35" t="s">
        <v>47</v>
      </c>
    </row>
    <row r="99" spans="1:1" x14ac:dyDescent="0.2">
      <c r="A99" s="35" t="s">
        <v>47</v>
      </c>
    </row>
    <row r="100" spans="1:1" x14ac:dyDescent="0.2">
      <c r="A100" s="35" t="s">
        <v>47</v>
      </c>
    </row>
    <row r="101" spans="1:1" x14ac:dyDescent="0.2">
      <c r="A101" s="35" t="s">
        <v>47</v>
      </c>
    </row>
    <row r="102" spans="1:1" x14ac:dyDescent="0.2">
      <c r="A102" s="35" t="s">
        <v>47</v>
      </c>
    </row>
    <row r="103" spans="1:1" x14ac:dyDescent="0.2">
      <c r="A103" s="35" t="s">
        <v>47</v>
      </c>
    </row>
    <row r="104" spans="1:1" x14ac:dyDescent="0.2">
      <c r="A104" s="35" t="s">
        <v>47</v>
      </c>
    </row>
    <row r="105" spans="1:1" x14ac:dyDescent="0.2">
      <c r="A105" s="35" t="s">
        <v>47</v>
      </c>
    </row>
    <row r="106" spans="1:1" x14ac:dyDescent="0.2">
      <c r="A106" s="35" t="s">
        <v>47</v>
      </c>
    </row>
    <row r="107" spans="1:1" x14ac:dyDescent="0.2">
      <c r="A107" s="35" t="s">
        <v>47</v>
      </c>
    </row>
    <row r="108" spans="1:1" x14ac:dyDescent="0.2">
      <c r="A108" s="35" t="s">
        <v>47</v>
      </c>
    </row>
    <row r="109" spans="1:1" x14ac:dyDescent="0.2">
      <c r="A109" s="35" t="s">
        <v>47</v>
      </c>
    </row>
    <row r="110" spans="1:1" x14ac:dyDescent="0.2">
      <c r="A110" s="35" t="s">
        <v>47</v>
      </c>
    </row>
    <row r="111" spans="1:1" x14ac:dyDescent="0.2">
      <c r="A111" s="35" t="s">
        <v>47</v>
      </c>
    </row>
    <row r="112" spans="1:1" x14ac:dyDescent="0.2">
      <c r="A112" s="35" t="s">
        <v>47</v>
      </c>
    </row>
    <row r="113" spans="1:1" x14ac:dyDescent="0.2">
      <c r="A113" s="35" t="s">
        <v>47</v>
      </c>
    </row>
    <row r="114" spans="1:1" x14ac:dyDescent="0.2">
      <c r="A114" s="35" t="s">
        <v>47</v>
      </c>
    </row>
    <row r="115" spans="1:1" x14ac:dyDescent="0.2">
      <c r="A115" s="35" t="s">
        <v>48</v>
      </c>
    </row>
    <row r="116" spans="1:1" x14ac:dyDescent="0.2">
      <c r="A116" s="35" t="s">
        <v>47</v>
      </c>
    </row>
    <row r="117" spans="1:1" x14ac:dyDescent="0.2">
      <c r="A117" s="35" t="s">
        <v>48</v>
      </c>
    </row>
    <row r="118" spans="1:1" x14ac:dyDescent="0.2">
      <c r="A118" s="35" t="s">
        <v>47</v>
      </c>
    </row>
    <row r="119" spans="1:1" x14ac:dyDescent="0.2">
      <c r="A119" s="35" t="s">
        <v>47</v>
      </c>
    </row>
    <row r="120" spans="1:1" x14ac:dyDescent="0.2">
      <c r="A120" s="35" t="s">
        <v>47</v>
      </c>
    </row>
    <row r="121" spans="1:1" x14ac:dyDescent="0.2">
      <c r="A121" s="35" t="s">
        <v>47</v>
      </c>
    </row>
    <row r="122" spans="1:1" x14ac:dyDescent="0.2">
      <c r="A122" s="35" t="s">
        <v>47</v>
      </c>
    </row>
    <row r="123" spans="1:1" x14ac:dyDescent="0.2">
      <c r="A123" s="35" t="s">
        <v>47</v>
      </c>
    </row>
    <row r="124" spans="1:1" x14ac:dyDescent="0.2">
      <c r="A124" s="35" t="s">
        <v>47</v>
      </c>
    </row>
    <row r="125" spans="1:1" x14ac:dyDescent="0.2">
      <c r="A125" s="35" t="s">
        <v>47</v>
      </c>
    </row>
    <row r="126" spans="1:1" x14ac:dyDescent="0.2">
      <c r="A126" s="35" t="s">
        <v>252</v>
      </c>
    </row>
    <row r="127" spans="1:1" x14ac:dyDescent="0.2">
      <c r="A127" s="35" t="s">
        <v>47</v>
      </c>
    </row>
    <row r="128" spans="1:1" x14ac:dyDescent="0.2">
      <c r="A128" s="35" t="s">
        <v>47</v>
      </c>
    </row>
    <row r="129" spans="1:1" x14ac:dyDescent="0.2">
      <c r="A129" s="35" t="s">
        <v>47</v>
      </c>
    </row>
    <row r="130" spans="1:1" x14ac:dyDescent="0.2">
      <c r="A130" s="35" t="s">
        <v>47</v>
      </c>
    </row>
    <row r="131" spans="1:1" x14ac:dyDescent="0.2">
      <c r="A131" s="35" t="s">
        <v>47</v>
      </c>
    </row>
    <row r="132" spans="1:1" x14ac:dyDescent="0.2">
      <c r="A132" s="35" t="s">
        <v>47</v>
      </c>
    </row>
    <row r="133" spans="1:1" x14ac:dyDescent="0.2">
      <c r="A133" s="35" t="s">
        <v>47</v>
      </c>
    </row>
    <row r="134" spans="1:1" x14ac:dyDescent="0.2">
      <c r="A134" s="35" t="s">
        <v>47</v>
      </c>
    </row>
    <row r="135" spans="1:1" x14ac:dyDescent="0.2">
      <c r="A135" s="35" t="s">
        <v>47</v>
      </c>
    </row>
    <row r="136" spans="1:1" x14ac:dyDescent="0.2">
      <c r="A136" s="35" t="s">
        <v>47</v>
      </c>
    </row>
    <row r="137" spans="1:1" x14ac:dyDescent="0.2">
      <c r="A137" s="35" t="s">
        <v>47</v>
      </c>
    </row>
    <row r="138" spans="1:1" x14ac:dyDescent="0.2">
      <c r="A138" s="35" t="s">
        <v>47</v>
      </c>
    </row>
    <row r="139" spans="1:1" x14ac:dyDescent="0.2">
      <c r="A139" s="35" t="s">
        <v>47</v>
      </c>
    </row>
    <row r="140" spans="1:1" x14ac:dyDescent="0.2">
      <c r="A140" s="35" t="s">
        <v>47</v>
      </c>
    </row>
    <row r="141" spans="1:1" x14ac:dyDescent="0.2">
      <c r="A141" s="35" t="s">
        <v>47</v>
      </c>
    </row>
    <row r="142" spans="1:1" x14ac:dyDescent="0.2">
      <c r="A142" s="35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0" customWidth="1"/>
    <col min="7" max="7" width="8" style="40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357" hidden="1" customWidth="1"/>
    <col min="15" max="15" width="0" style="34" hidden="1" customWidth="1"/>
    <col min="16" max="16" width="12.28515625" style="140" customWidth="1"/>
    <col min="17" max="17" width="9.140625" style="34"/>
    <col min="18" max="18" width="13.7109375" style="34" customWidth="1"/>
    <col min="19" max="20" width="9.140625" style="34"/>
    <col min="21" max="21" width="13.5703125" style="140" customWidth="1"/>
    <col min="22" max="22" width="42.28515625" style="34" customWidth="1"/>
    <col min="23" max="24" width="9.140625" style="140"/>
    <col min="25" max="25" width="12.42578125" style="34" customWidth="1"/>
    <col min="26" max="16384" width="9.140625" style="34"/>
  </cols>
  <sheetData>
    <row r="1" spans="1:24" x14ac:dyDescent="0.2">
      <c r="A1" s="151" t="s">
        <v>726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8" t="s">
        <v>667</v>
      </c>
      <c r="K1" s="20"/>
      <c r="L1" s="20"/>
      <c r="M1" s="20"/>
      <c r="N1" s="329"/>
      <c r="O1" s="20"/>
      <c r="P1" s="139"/>
      <c r="Q1" s="17"/>
      <c r="R1" s="41"/>
      <c r="S1" s="41"/>
      <c r="T1" s="41"/>
      <c r="U1" s="330"/>
      <c r="V1" s="41"/>
      <c r="W1" s="138"/>
      <c r="X1" s="138"/>
    </row>
    <row r="2" spans="1:24" x14ac:dyDescent="0.2">
      <c r="A2" s="180" t="s">
        <v>580</v>
      </c>
      <c r="B2" s="180"/>
      <c r="C2" s="180"/>
      <c r="D2" s="19"/>
      <c r="E2" s="19"/>
      <c r="F2" s="16"/>
      <c r="G2" s="16"/>
      <c r="H2" s="18"/>
      <c r="I2" s="23"/>
      <c r="J2" s="328" t="s">
        <v>668</v>
      </c>
      <c r="K2" s="20"/>
      <c r="L2" s="20"/>
      <c r="M2" s="20"/>
      <c r="N2" s="329"/>
      <c r="O2" s="20"/>
      <c r="P2" s="139"/>
      <c r="Q2" s="17"/>
      <c r="R2" s="41"/>
      <c r="S2" s="41"/>
      <c r="T2" s="41"/>
      <c r="U2" s="330"/>
      <c r="V2" s="41"/>
      <c r="W2" s="138"/>
      <c r="X2" s="138"/>
    </row>
    <row r="3" spans="1:24" x14ac:dyDescent="0.2">
      <c r="A3" s="186" t="s">
        <v>581</v>
      </c>
      <c r="B3" s="186"/>
      <c r="C3" s="18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29"/>
      <c r="O3" s="44" t="s">
        <v>47</v>
      </c>
      <c r="P3" s="139"/>
      <c r="Q3" s="17"/>
      <c r="R3" s="41"/>
      <c r="S3" s="41"/>
      <c r="T3" s="41"/>
      <c r="U3" s="330"/>
      <c r="V3" s="41"/>
      <c r="W3" s="138"/>
      <c r="X3" s="138"/>
    </row>
    <row r="4" spans="1:24" x14ac:dyDescent="0.2">
      <c r="A4" s="187" t="s">
        <v>669</v>
      </c>
      <c r="B4" s="188"/>
      <c r="C4" s="188"/>
      <c r="D4" s="19"/>
      <c r="E4" s="19"/>
      <c r="F4" s="45"/>
      <c r="G4" s="16"/>
      <c r="H4" s="45"/>
      <c r="I4" s="24"/>
      <c r="J4" s="45"/>
      <c r="K4" s="20"/>
      <c r="L4" s="45"/>
      <c r="M4" s="17"/>
      <c r="N4" s="329"/>
      <c r="O4" s="17"/>
      <c r="P4" s="139"/>
      <c r="Q4" s="17"/>
      <c r="R4" s="41"/>
      <c r="S4" s="46"/>
      <c r="T4" s="46"/>
      <c r="U4" s="331"/>
      <c r="V4" s="41"/>
      <c r="W4" s="138"/>
      <c r="X4" s="138"/>
    </row>
    <row r="5" spans="1:24" x14ac:dyDescent="0.2">
      <c r="A5" s="16" t="s">
        <v>670</v>
      </c>
      <c r="B5" s="18"/>
      <c r="C5" s="332" t="s">
        <v>671</v>
      </c>
      <c r="D5" s="19"/>
      <c r="E5" s="19"/>
      <c r="F5" s="45"/>
      <c r="G5" s="16"/>
      <c r="H5" s="45"/>
      <c r="I5" s="24"/>
      <c r="J5" s="45"/>
      <c r="K5" s="20"/>
      <c r="L5" s="45"/>
      <c r="M5" s="17"/>
      <c r="N5" s="329"/>
      <c r="O5" s="17"/>
      <c r="P5" s="139"/>
      <c r="Q5" s="17"/>
      <c r="R5" s="41"/>
      <c r="S5" s="46"/>
      <c r="T5" s="46"/>
      <c r="U5" s="331"/>
      <c r="V5" s="41"/>
      <c r="W5" s="138"/>
      <c r="X5" s="138"/>
    </row>
    <row r="6" spans="1:24" x14ac:dyDescent="0.2">
      <c r="A6" s="16"/>
      <c r="B6" s="18"/>
      <c r="C6" s="332" t="s">
        <v>672</v>
      </c>
      <c r="D6" s="19"/>
      <c r="E6" s="19"/>
      <c r="F6" s="45"/>
      <c r="G6" s="16"/>
      <c r="H6" s="45"/>
      <c r="I6" s="24"/>
      <c r="J6" s="45"/>
      <c r="K6" s="20"/>
      <c r="L6" s="45"/>
      <c r="M6" s="17"/>
      <c r="N6" s="329"/>
      <c r="O6" s="17"/>
      <c r="P6" s="139"/>
      <c r="Q6" s="17"/>
      <c r="R6" s="41"/>
      <c r="S6" s="46"/>
      <c r="T6" s="46"/>
      <c r="U6" s="331"/>
      <c r="V6" s="41"/>
      <c r="W6" s="138"/>
      <c r="X6" s="138"/>
    </row>
    <row r="7" spans="1:24" x14ac:dyDescent="0.2">
      <c r="A7" s="16"/>
      <c r="B7" s="18"/>
      <c r="C7" s="332" t="s">
        <v>673</v>
      </c>
      <c r="D7" s="19"/>
      <c r="E7" s="19"/>
      <c r="F7" s="45"/>
      <c r="G7" s="16"/>
      <c r="H7" s="45"/>
      <c r="I7" s="24"/>
      <c r="J7" s="45"/>
      <c r="K7" s="20"/>
      <c r="L7" s="45"/>
      <c r="M7" s="17"/>
      <c r="N7" s="329"/>
      <c r="O7" s="17"/>
      <c r="P7" s="139"/>
      <c r="Q7" s="17"/>
      <c r="R7" s="41"/>
      <c r="S7" s="46"/>
      <c r="T7" s="46"/>
      <c r="U7" s="331"/>
      <c r="V7" s="41"/>
      <c r="W7" s="138"/>
      <c r="X7" s="138"/>
    </row>
    <row r="8" spans="1:24" x14ac:dyDescent="0.2">
      <c r="A8" s="16"/>
      <c r="B8" s="18"/>
      <c r="C8" s="332"/>
      <c r="D8" s="19"/>
      <c r="E8" s="19"/>
      <c r="F8" s="45"/>
      <c r="G8" s="16"/>
      <c r="H8" s="45"/>
      <c r="I8" s="24"/>
      <c r="J8" s="45"/>
      <c r="K8" s="20"/>
      <c r="L8" s="45"/>
      <c r="M8" s="17"/>
      <c r="N8" s="329"/>
      <c r="O8" s="17"/>
      <c r="P8" s="139"/>
      <c r="Q8" s="17"/>
      <c r="R8" s="41"/>
      <c r="S8" s="46"/>
      <c r="T8" s="46"/>
      <c r="U8" s="331"/>
      <c r="V8" s="41"/>
      <c r="W8" s="138"/>
      <c r="X8" s="138"/>
    </row>
    <row r="9" spans="1:24" x14ac:dyDescent="0.2">
      <c r="A9" s="16"/>
      <c r="B9" s="18"/>
      <c r="C9" s="332"/>
      <c r="D9" s="19"/>
      <c r="E9" s="19"/>
      <c r="F9" s="45"/>
      <c r="G9" s="16"/>
      <c r="H9" s="45"/>
      <c r="I9" s="24"/>
      <c r="J9" s="45"/>
      <c r="K9" s="20"/>
      <c r="L9" s="45"/>
      <c r="M9" s="17"/>
      <c r="N9" s="329"/>
      <c r="O9" s="17"/>
      <c r="P9" s="139"/>
      <c r="Q9" s="17"/>
      <c r="R9" s="41"/>
      <c r="S9" s="46"/>
      <c r="T9" s="46"/>
      <c r="U9" s="331"/>
      <c r="V9" s="41"/>
      <c r="W9" s="138"/>
      <c r="X9" s="138"/>
    </row>
    <row r="10" spans="1:24" x14ac:dyDescent="0.2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29"/>
      <c r="O10" s="17"/>
      <c r="P10" s="139"/>
      <c r="Q10" s="17"/>
      <c r="R10" s="41"/>
      <c r="S10" s="46"/>
      <c r="T10" s="46"/>
      <c r="U10" s="331"/>
      <c r="V10" s="41"/>
      <c r="W10" s="138"/>
      <c r="X10" s="138"/>
    </row>
    <row r="11" spans="1:24" x14ac:dyDescent="0.2">
      <c r="A11" s="333" t="s">
        <v>49</v>
      </c>
      <c r="B11" s="334" t="s">
        <v>50</v>
      </c>
      <c r="C11" s="334" t="s">
        <v>51</v>
      </c>
      <c r="D11" s="335" t="s">
        <v>52</v>
      </c>
      <c r="E11" s="335"/>
      <c r="F11" s="333" t="s">
        <v>53</v>
      </c>
      <c r="G11" s="333" t="s">
        <v>54</v>
      </c>
      <c r="H11" s="334" t="s">
        <v>55</v>
      </c>
      <c r="I11" s="336" t="s">
        <v>56</v>
      </c>
      <c r="J11" s="334" t="s">
        <v>57</v>
      </c>
      <c r="K11" s="334" t="s">
        <v>58</v>
      </c>
      <c r="L11" s="334" t="s">
        <v>59</v>
      </c>
      <c r="M11" s="334" t="s">
        <v>60</v>
      </c>
      <c r="N11" s="337" t="s">
        <v>62</v>
      </c>
      <c r="O11" s="334" t="s">
        <v>63</v>
      </c>
      <c r="P11" s="360" t="s">
        <v>64</v>
      </c>
      <c r="Q11" s="334" t="s">
        <v>65</v>
      </c>
      <c r="R11" s="333" t="s">
        <v>66</v>
      </c>
      <c r="S11" s="339" t="s">
        <v>675</v>
      </c>
      <c r="T11" s="339" t="s">
        <v>676</v>
      </c>
      <c r="U11" s="340" t="s">
        <v>527</v>
      </c>
      <c r="V11" s="339" t="s">
        <v>720</v>
      </c>
      <c r="W11" s="139"/>
      <c r="X11" s="139"/>
    </row>
    <row r="12" spans="1:24" s="71" customFormat="1" x14ac:dyDescent="0.2">
      <c r="A12" s="16" t="s">
        <v>697</v>
      </c>
      <c r="B12" s="18" t="s">
        <v>678</v>
      </c>
      <c r="C12" s="18" t="s">
        <v>636</v>
      </c>
      <c r="D12" s="19">
        <v>36526</v>
      </c>
      <c r="E12" s="19">
        <v>36830</v>
      </c>
      <c r="F12" s="16" t="s">
        <v>679</v>
      </c>
      <c r="G12" s="16" t="s">
        <v>680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29">
        <v>5.9300000000000004E-3</v>
      </c>
      <c r="O12" s="20">
        <f>SUM(I12:M12)</f>
        <v>3.8103225806451611E-2</v>
      </c>
      <c r="P12" s="139">
        <v>42789</v>
      </c>
      <c r="Q12" s="18">
        <v>30000</v>
      </c>
      <c r="R12" s="16" t="s">
        <v>681</v>
      </c>
      <c r="S12" s="25">
        <f>I12*I$1*Q12</f>
        <v>31809</v>
      </c>
      <c r="T12" s="25"/>
      <c r="U12" s="341">
        <v>140447</v>
      </c>
      <c r="V12" s="16"/>
      <c r="W12" s="139"/>
      <c r="X12" s="139"/>
    </row>
    <row r="13" spans="1:24" x14ac:dyDescent="0.2">
      <c r="A13" s="26" t="s">
        <v>47</v>
      </c>
      <c r="B13" s="342" t="s">
        <v>47</v>
      </c>
      <c r="C13" s="27" t="s">
        <v>47</v>
      </c>
      <c r="D13" s="28" t="s">
        <v>47</v>
      </c>
      <c r="E13" s="28"/>
      <c r="F13" s="26" t="s">
        <v>47</v>
      </c>
      <c r="G13" s="343" t="s">
        <v>47</v>
      </c>
      <c r="H13" s="342" t="s">
        <v>47</v>
      </c>
      <c r="I13" s="29"/>
      <c r="J13" s="30"/>
      <c r="K13" s="30"/>
      <c r="L13" s="30"/>
      <c r="M13" s="30"/>
      <c r="N13" s="344"/>
      <c r="O13" s="30"/>
      <c r="P13" s="359" t="s">
        <v>47</v>
      </c>
      <c r="Q13" s="342">
        <f>SUM(Q12:Q12)</f>
        <v>30000</v>
      </c>
      <c r="R13" s="26" t="s">
        <v>47</v>
      </c>
      <c r="S13" s="345">
        <f>SUM(S12:S12)</f>
        <v>31809</v>
      </c>
      <c r="T13" s="345">
        <f>SUM(T12:T12)</f>
        <v>0</v>
      </c>
      <c r="U13" s="346"/>
      <c r="V13" s="31"/>
      <c r="W13" s="139"/>
      <c r="X13" s="139"/>
    </row>
    <row r="14" spans="1:24" x14ac:dyDescent="0.2">
      <c r="A14" s="333" t="s">
        <v>49</v>
      </c>
      <c r="B14" s="334" t="s">
        <v>50</v>
      </c>
      <c r="C14" s="334" t="s">
        <v>51</v>
      </c>
      <c r="D14" s="335" t="s">
        <v>52</v>
      </c>
      <c r="E14" s="335"/>
      <c r="F14" s="333" t="s">
        <v>53</v>
      </c>
      <c r="G14" s="333" t="s">
        <v>54</v>
      </c>
      <c r="H14" s="334" t="s">
        <v>55</v>
      </c>
      <c r="I14" s="336" t="s">
        <v>56</v>
      </c>
      <c r="J14" s="334" t="s">
        <v>57</v>
      </c>
      <c r="K14" s="334" t="s">
        <v>58</v>
      </c>
      <c r="L14" s="334" t="s">
        <v>59</v>
      </c>
      <c r="M14" s="334" t="s">
        <v>60</v>
      </c>
      <c r="N14" s="337" t="s">
        <v>62</v>
      </c>
      <c r="O14" s="334" t="s">
        <v>63</v>
      </c>
      <c r="P14" s="360" t="s">
        <v>64</v>
      </c>
      <c r="Q14" s="334" t="s">
        <v>65</v>
      </c>
      <c r="R14" s="333" t="s">
        <v>66</v>
      </c>
      <c r="S14" s="339" t="s">
        <v>698</v>
      </c>
      <c r="T14" s="339" t="s">
        <v>698</v>
      </c>
      <c r="U14" s="340"/>
      <c r="V14" s="339" t="str">
        <f>+V11</f>
        <v>Questions</v>
      </c>
      <c r="W14" s="139"/>
      <c r="X14" s="139"/>
    </row>
    <row r="15" spans="1:24" s="71" customFormat="1" x14ac:dyDescent="0.2">
      <c r="A15" s="16" t="s">
        <v>697</v>
      </c>
      <c r="B15" s="18" t="s">
        <v>699</v>
      </c>
      <c r="C15" s="18" t="s">
        <v>636</v>
      </c>
      <c r="D15" s="19">
        <v>36526</v>
      </c>
      <c r="E15" s="19" t="s">
        <v>711</v>
      </c>
      <c r="F15" s="16" t="s">
        <v>722</v>
      </c>
      <c r="G15" s="16" t="s">
        <v>722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29">
        <v>0</v>
      </c>
      <c r="O15" s="20">
        <f>SUM(I15:M15)</f>
        <v>0</v>
      </c>
      <c r="P15" s="139">
        <v>36907</v>
      </c>
      <c r="Q15" s="18">
        <v>0</v>
      </c>
      <c r="R15" s="16" t="s">
        <v>725</v>
      </c>
      <c r="S15" s="25">
        <f>I15*I$1*Q15</f>
        <v>0</v>
      </c>
      <c r="T15" s="25"/>
      <c r="U15" s="341">
        <v>148659</v>
      </c>
      <c r="V15" s="25"/>
      <c r="W15" s="139"/>
      <c r="X15" s="139"/>
    </row>
    <row r="16" spans="1:24" s="71" customFormat="1" x14ac:dyDescent="0.2">
      <c r="A16" s="16" t="s">
        <v>724</v>
      </c>
      <c r="B16" s="18" t="s">
        <v>699</v>
      </c>
      <c r="C16" s="18" t="s">
        <v>723</v>
      </c>
      <c r="D16" s="19">
        <v>36526</v>
      </c>
      <c r="E16" s="19" t="s">
        <v>711</v>
      </c>
      <c r="F16" s="16" t="s">
        <v>722</v>
      </c>
      <c r="G16" s="16" t="s">
        <v>722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29">
        <v>0</v>
      </c>
      <c r="O16" s="20">
        <f>SUM(I16:M16)</f>
        <v>0</v>
      </c>
      <c r="P16" s="139">
        <v>48049</v>
      </c>
      <c r="Q16" s="18">
        <v>0</v>
      </c>
      <c r="R16" s="16" t="s">
        <v>725</v>
      </c>
      <c r="S16" s="25">
        <f>I16*I$1*Q16</f>
        <v>0</v>
      </c>
      <c r="T16" s="25"/>
      <c r="U16" s="341">
        <v>149173</v>
      </c>
      <c r="V16" s="25"/>
      <c r="W16" s="139"/>
      <c r="X16" s="139"/>
    </row>
    <row r="17" spans="1:24" s="71" customFormat="1" x14ac:dyDescent="0.2">
      <c r="A17" s="16" t="s">
        <v>697</v>
      </c>
      <c r="B17" s="18" t="s">
        <v>699</v>
      </c>
      <c r="C17" s="18" t="s">
        <v>636</v>
      </c>
      <c r="D17" s="19">
        <v>36526</v>
      </c>
      <c r="E17" s="19" t="s">
        <v>711</v>
      </c>
      <c r="F17" s="16" t="s">
        <v>722</v>
      </c>
      <c r="G17" s="16" t="s">
        <v>722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29">
        <v>0</v>
      </c>
      <c r="O17" s="20">
        <f>SUM(I17:M17)</f>
        <v>0</v>
      </c>
      <c r="P17" s="139">
        <v>39999</v>
      </c>
      <c r="Q17" s="18">
        <v>0</v>
      </c>
      <c r="R17" s="16" t="s">
        <v>721</v>
      </c>
      <c r="S17" s="25">
        <f>I17*I$1*Q17</f>
        <v>0</v>
      </c>
      <c r="T17" s="25"/>
      <c r="U17" s="341">
        <v>149337</v>
      </c>
      <c r="V17" s="25"/>
      <c r="W17" s="139"/>
      <c r="X17" s="139"/>
    </row>
    <row r="18" spans="1:24" s="71" customFormat="1" x14ac:dyDescent="0.2">
      <c r="A18" s="16" t="s">
        <v>724</v>
      </c>
      <c r="B18" s="18" t="s">
        <v>699</v>
      </c>
      <c r="C18" s="18" t="s">
        <v>723</v>
      </c>
      <c r="D18" s="19">
        <v>36526</v>
      </c>
      <c r="E18" s="19" t="s">
        <v>711</v>
      </c>
      <c r="F18" s="16" t="s">
        <v>722</v>
      </c>
      <c r="G18" s="16" t="s">
        <v>722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29">
        <v>0</v>
      </c>
      <c r="O18" s="20">
        <f>SUM(I18:M18)</f>
        <v>0</v>
      </c>
      <c r="P18" s="139">
        <v>48050</v>
      </c>
      <c r="Q18" s="18">
        <v>0</v>
      </c>
      <c r="R18" s="16" t="s">
        <v>721</v>
      </c>
      <c r="S18" s="25">
        <f>I18*I$1*Q18</f>
        <v>0</v>
      </c>
      <c r="T18" s="25"/>
      <c r="U18" s="341">
        <v>149338</v>
      </c>
      <c r="V18" s="25"/>
      <c r="W18" s="139"/>
      <c r="X18" s="139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329"/>
      <c r="O19" s="20"/>
      <c r="P19" s="138"/>
      <c r="Q19" s="46"/>
      <c r="R19" s="150"/>
      <c r="S19" s="361"/>
      <c r="T19" s="353"/>
      <c r="U19" s="354"/>
      <c r="V19" s="353"/>
      <c r="W19" s="138"/>
      <c r="X19" s="138"/>
    </row>
    <row r="20" spans="1:24" x14ac:dyDescent="0.2">
      <c r="A20" s="333" t="s">
        <v>49</v>
      </c>
      <c r="B20" s="334" t="s">
        <v>50</v>
      </c>
      <c r="C20" s="334" t="s">
        <v>51</v>
      </c>
      <c r="D20" s="335" t="s">
        <v>52</v>
      </c>
      <c r="E20" s="335"/>
      <c r="F20" s="333" t="s">
        <v>53</v>
      </c>
      <c r="G20" s="333" t="s">
        <v>54</v>
      </c>
      <c r="H20" s="334" t="s">
        <v>55</v>
      </c>
      <c r="I20" s="336" t="s">
        <v>56</v>
      </c>
      <c r="J20" s="334" t="s">
        <v>57</v>
      </c>
      <c r="K20" s="334" t="s">
        <v>58</v>
      </c>
      <c r="L20" s="334" t="s">
        <v>59</v>
      </c>
      <c r="M20" s="334" t="s">
        <v>60</v>
      </c>
      <c r="N20" s="337" t="s">
        <v>62</v>
      </c>
      <c r="O20" s="334" t="s">
        <v>63</v>
      </c>
      <c r="P20" s="360" t="s">
        <v>64</v>
      </c>
      <c r="Q20" s="334" t="s">
        <v>65</v>
      </c>
      <c r="R20" s="333" t="s">
        <v>66</v>
      </c>
      <c r="S20" s="339" t="s">
        <v>675</v>
      </c>
      <c r="T20" s="339" t="s">
        <v>676</v>
      </c>
      <c r="U20" s="340" t="s">
        <v>527</v>
      </c>
      <c r="V20" s="339" t="s">
        <v>720</v>
      </c>
      <c r="W20" s="139"/>
      <c r="X20" s="139"/>
    </row>
    <row r="21" spans="1:24" s="71" customFormat="1" x14ac:dyDescent="0.2">
      <c r="A21" s="16" t="s">
        <v>697</v>
      </c>
      <c r="B21" s="18" t="s">
        <v>494</v>
      </c>
      <c r="C21" s="18" t="s">
        <v>636</v>
      </c>
      <c r="D21" s="19">
        <v>36526</v>
      </c>
      <c r="E21" s="19" t="s">
        <v>711</v>
      </c>
      <c r="F21" s="16" t="s">
        <v>712</v>
      </c>
      <c r="G21" s="16" t="s">
        <v>712</v>
      </c>
      <c r="H21" s="18" t="s">
        <v>408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29">
        <v>0</v>
      </c>
      <c r="O21" s="20">
        <f>SUM(I21:M21)</f>
        <v>0</v>
      </c>
      <c r="P21" s="139">
        <v>238</v>
      </c>
      <c r="Q21" s="18">
        <v>0</v>
      </c>
      <c r="R21" s="16" t="s">
        <v>719</v>
      </c>
      <c r="S21" s="25">
        <f>I21*I$1*Q21</f>
        <v>0</v>
      </c>
      <c r="T21" s="25"/>
      <c r="U21" s="341">
        <v>149902</v>
      </c>
      <c r="V21" s="16"/>
      <c r="W21" s="139"/>
      <c r="X21" s="139"/>
    </row>
    <row r="22" spans="1:24" x14ac:dyDescent="0.2">
      <c r="A22" s="26" t="s">
        <v>47</v>
      </c>
      <c r="B22" s="342" t="s">
        <v>47</v>
      </c>
      <c r="C22" s="27" t="s">
        <v>47</v>
      </c>
      <c r="D22" s="28" t="s">
        <v>47</v>
      </c>
      <c r="E22" s="28"/>
      <c r="F22" s="26" t="s">
        <v>47</v>
      </c>
      <c r="G22" s="343" t="s">
        <v>47</v>
      </c>
      <c r="H22" s="342" t="s">
        <v>47</v>
      </c>
      <c r="I22" s="29"/>
      <c r="J22" s="30"/>
      <c r="K22" s="30"/>
      <c r="L22" s="30"/>
      <c r="M22" s="30"/>
      <c r="N22" s="344"/>
      <c r="O22" s="30"/>
      <c r="P22" s="359" t="s">
        <v>47</v>
      </c>
      <c r="Q22" s="342">
        <f>SUM(Q21:Q21)</f>
        <v>0</v>
      </c>
      <c r="R22" s="26" t="s">
        <v>47</v>
      </c>
      <c r="S22" s="345">
        <f>SUM(S21:S21)</f>
        <v>0</v>
      </c>
      <c r="T22" s="345">
        <f>SUM(T21:T21)</f>
        <v>0</v>
      </c>
      <c r="U22" s="346"/>
      <c r="V22" s="31"/>
      <c r="W22" s="139"/>
      <c r="X22" s="139"/>
    </row>
    <row r="23" spans="1:24" x14ac:dyDescent="0.2">
      <c r="A23" s="333" t="s">
        <v>49</v>
      </c>
      <c r="B23" s="334" t="s">
        <v>50</v>
      </c>
      <c r="C23" s="334" t="s">
        <v>51</v>
      </c>
      <c r="D23" s="335" t="s">
        <v>52</v>
      </c>
      <c r="E23" s="335"/>
      <c r="F23" s="333" t="s">
        <v>53</v>
      </c>
      <c r="G23" s="333" t="s">
        <v>54</v>
      </c>
      <c r="H23" s="334" t="s">
        <v>55</v>
      </c>
      <c r="I23" s="336" t="s">
        <v>56</v>
      </c>
      <c r="J23" s="334" t="s">
        <v>57</v>
      </c>
      <c r="K23" s="334" t="s">
        <v>58</v>
      </c>
      <c r="L23" s="334" t="s">
        <v>59</v>
      </c>
      <c r="M23" s="334" t="s">
        <v>60</v>
      </c>
      <c r="N23" s="337" t="s">
        <v>62</v>
      </c>
      <c r="O23" s="334" t="s">
        <v>63</v>
      </c>
      <c r="P23" s="360" t="s">
        <v>64</v>
      </c>
      <c r="Q23" s="334" t="s">
        <v>65</v>
      </c>
      <c r="R23" s="333" t="s">
        <v>66</v>
      </c>
      <c r="S23" s="339" t="s">
        <v>675</v>
      </c>
      <c r="T23" s="339" t="s">
        <v>676</v>
      </c>
      <c r="U23" s="340" t="s">
        <v>527</v>
      </c>
      <c r="V23" s="339" t="s">
        <v>720</v>
      </c>
      <c r="W23" s="139"/>
      <c r="X23" s="139"/>
    </row>
    <row r="24" spans="1:24" s="71" customFormat="1" x14ac:dyDescent="0.2">
      <c r="A24" s="16" t="s">
        <v>697</v>
      </c>
      <c r="B24" s="18" t="s">
        <v>22</v>
      </c>
      <c r="C24" s="18" t="s">
        <v>636</v>
      </c>
      <c r="D24" s="19">
        <v>36526</v>
      </c>
      <c r="E24" s="19" t="s">
        <v>711</v>
      </c>
      <c r="F24" s="16" t="s">
        <v>712</v>
      </c>
      <c r="G24" s="16" t="s">
        <v>712</v>
      </c>
      <c r="H24" s="18" t="s">
        <v>408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29">
        <v>0</v>
      </c>
      <c r="O24" s="20">
        <f>SUM(I24:M24)</f>
        <v>0</v>
      </c>
      <c r="P24" s="139">
        <v>3.2846000000000002</v>
      </c>
      <c r="Q24" s="18">
        <v>0</v>
      </c>
      <c r="R24" s="16" t="s">
        <v>719</v>
      </c>
      <c r="S24" s="25">
        <f>I24*I$1*Q24</f>
        <v>0</v>
      </c>
      <c r="T24" s="25"/>
      <c r="U24" s="341">
        <v>149876</v>
      </c>
      <c r="V24" s="16"/>
      <c r="W24" s="139"/>
      <c r="X24" s="139"/>
    </row>
    <row r="25" spans="1:24" x14ac:dyDescent="0.2">
      <c r="A25" s="26" t="s">
        <v>47</v>
      </c>
      <c r="B25" s="342" t="s">
        <v>47</v>
      </c>
      <c r="C25" s="27" t="s">
        <v>47</v>
      </c>
      <c r="D25" s="28" t="s">
        <v>47</v>
      </c>
      <c r="E25" s="28"/>
      <c r="F25" s="26" t="s">
        <v>47</v>
      </c>
      <c r="G25" s="343" t="s">
        <v>47</v>
      </c>
      <c r="H25" s="342" t="s">
        <v>47</v>
      </c>
      <c r="I25" s="29"/>
      <c r="J25" s="30"/>
      <c r="K25" s="30"/>
      <c r="L25" s="30"/>
      <c r="M25" s="30"/>
      <c r="N25" s="344"/>
      <c r="O25" s="30"/>
      <c r="P25" s="359" t="s">
        <v>47</v>
      </c>
      <c r="Q25" s="342">
        <f>SUM(Q24:Q24)</f>
        <v>0</v>
      </c>
      <c r="R25" s="26" t="s">
        <v>47</v>
      </c>
      <c r="S25" s="345">
        <f>SUM(S24:S24)</f>
        <v>0</v>
      </c>
      <c r="T25" s="345">
        <f>SUM(T24:T24)</f>
        <v>0</v>
      </c>
      <c r="U25" s="346"/>
      <c r="V25" s="31"/>
      <c r="W25" s="139"/>
      <c r="X25" s="139"/>
    </row>
    <row r="26" spans="1:24" x14ac:dyDescent="0.2">
      <c r="A26" s="40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29"/>
      <c r="O26" s="20"/>
      <c r="P26" s="138"/>
      <c r="Q26" s="355"/>
      <c r="R26" s="150"/>
      <c r="S26" s="41"/>
      <c r="T26" s="41"/>
      <c r="U26" s="330"/>
      <c r="V26" s="41"/>
      <c r="W26" s="138"/>
      <c r="X26" s="138"/>
    </row>
    <row r="27" spans="1:24" x14ac:dyDescent="0.2">
      <c r="A27" s="40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29"/>
      <c r="O27" s="20"/>
      <c r="P27" s="138"/>
      <c r="Q27" s="355"/>
      <c r="R27" s="41"/>
      <c r="S27" s="41"/>
      <c r="T27" s="41"/>
      <c r="U27" s="330"/>
      <c r="V27" s="41"/>
      <c r="W27" s="138"/>
      <c r="X27" s="138"/>
    </row>
    <row r="28" spans="1:24" x14ac:dyDescent="0.2">
      <c r="A28" s="40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29"/>
      <c r="O28" s="20"/>
      <c r="P28" s="138"/>
      <c r="Q28" s="355"/>
      <c r="R28" s="41"/>
      <c r="S28" s="41"/>
      <c r="T28" s="41"/>
      <c r="U28" s="330"/>
      <c r="V28" s="41"/>
      <c r="W28" s="138"/>
      <c r="X28" s="138"/>
    </row>
    <row r="29" spans="1:24" x14ac:dyDescent="0.2">
      <c r="A29" s="40" t="s">
        <v>718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29"/>
      <c r="O29" s="20"/>
      <c r="P29" s="138"/>
      <c r="Q29" s="355"/>
      <c r="R29" s="41"/>
      <c r="S29" s="41"/>
      <c r="T29" s="41"/>
      <c r="U29" s="330"/>
      <c r="V29" s="41"/>
      <c r="W29" s="138"/>
      <c r="X29" s="138"/>
    </row>
    <row r="30" spans="1:24" x14ac:dyDescent="0.2">
      <c r="A30" s="40"/>
      <c r="B30" s="16" t="s">
        <v>717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29"/>
      <c r="O30" s="20"/>
      <c r="P30" s="138"/>
      <c r="Q30" s="355"/>
      <c r="R30" s="41"/>
      <c r="S30" s="41"/>
      <c r="T30" s="41"/>
      <c r="U30" s="330"/>
      <c r="V30" s="41"/>
      <c r="W30" s="138"/>
      <c r="X30" s="138"/>
    </row>
    <row r="31" spans="1:24" x14ac:dyDescent="0.2">
      <c r="A31" s="40"/>
      <c r="B31" s="18" t="s">
        <v>491</v>
      </c>
      <c r="C31" s="139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29"/>
      <c r="O31" s="20"/>
      <c r="P31" s="138"/>
      <c r="Q31" s="355"/>
      <c r="R31" s="41"/>
      <c r="S31" s="41"/>
      <c r="T31" s="41"/>
      <c r="U31" s="330"/>
      <c r="V31" s="41"/>
      <c r="W31" s="138"/>
      <c r="X31" s="138"/>
    </row>
    <row r="32" spans="1:24" x14ac:dyDescent="0.2">
      <c r="A32" s="40"/>
      <c r="B32" s="18" t="s">
        <v>716</v>
      </c>
      <c r="C32" s="139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29"/>
      <c r="O32" s="20"/>
      <c r="P32" s="138"/>
      <c r="Q32" s="355"/>
      <c r="R32" s="41"/>
      <c r="S32" s="41"/>
      <c r="T32" s="41"/>
      <c r="U32" s="330"/>
      <c r="V32" s="41"/>
      <c r="W32" s="150"/>
      <c r="X32" s="138"/>
    </row>
    <row r="33" spans="1:24" x14ac:dyDescent="0.2">
      <c r="A33" s="40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29"/>
      <c r="O33" s="20"/>
      <c r="P33" s="138"/>
      <c r="Q33" s="355"/>
      <c r="R33" s="41"/>
      <c r="S33" s="41"/>
      <c r="T33" s="41"/>
      <c r="U33" s="330"/>
      <c r="V33" s="41"/>
      <c r="W33" s="138"/>
      <c r="X33" s="138"/>
    </row>
    <row r="34" spans="1:24" x14ac:dyDescent="0.2">
      <c r="A34" s="40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29"/>
      <c r="O34" s="20"/>
      <c r="P34" s="138"/>
      <c r="Q34" s="355"/>
      <c r="R34" s="41"/>
      <c r="S34" s="41"/>
      <c r="T34" s="41"/>
      <c r="U34" s="330"/>
      <c r="V34" s="41"/>
      <c r="W34" s="138"/>
      <c r="X34" s="138"/>
    </row>
    <row r="35" spans="1:24" x14ac:dyDescent="0.2">
      <c r="A35" s="40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29"/>
      <c r="O35" s="20"/>
      <c r="P35" s="138"/>
      <c r="Q35" s="355"/>
      <c r="R35" s="150"/>
      <c r="S35" s="41"/>
      <c r="T35" s="41"/>
      <c r="U35" s="330"/>
      <c r="V35" s="41"/>
      <c r="W35" s="138"/>
      <c r="X35" s="138"/>
    </row>
    <row r="36" spans="1:24" x14ac:dyDescent="0.2">
      <c r="A36" s="40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29"/>
      <c r="O36" s="20"/>
      <c r="P36" s="138"/>
      <c r="Q36" s="355"/>
      <c r="R36" s="150"/>
      <c r="S36" s="41"/>
      <c r="T36" s="41"/>
      <c r="U36" s="330"/>
      <c r="V36" s="41"/>
      <c r="W36" s="138"/>
      <c r="X36" s="138"/>
    </row>
    <row r="37" spans="1:24" x14ac:dyDescent="0.2">
      <c r="P37" s="358"/>
      <c r="Q37" s="69"/>
      <c r="R37" s="69"/>
      <c r="S37" s="69"/>
      <c r="T37" s="69"/>
      <c r="U37" s="358"/>
      <c r="V37" s="69"/>
      <c r="W37" s="358"/>
    </row>
    <row r="38" spans="1:24" x14ac:dyDescent="0.2">
      <c r="P38" s="358"/>
      <c r="Q38" s="69"/>
      <c r="R38" s="69"/>
      <c r="S38" s="69"/>
      <c r="T38" s="69"/>
      <c r="U38" s="358"/>
      <c r="V38" s="69"/>
      <c r="W38" s="35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9"/>
  <sheetViews>
    <sheetView topLeftCell="A31" workbookViewId="0">
      <selection activeCell="P40" sqref="P40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0" customWidth="1"/>
    <col min="7" max="7" width="8" style="40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357" hidden="1" customWidth="1"/>
    <col min="15" max="15" width="0" style="34" hidden="1" customWidth="1"/>
    <col min="16" max="16" width="12.28515625" style="34" customWidth="1"/>
    <col min="17" max="17" width="9.140625" style="34"/>
    <col min="18" max="18" width="19.5703125" style="34" customWidth="1"/>
    <col min="19" max="19" width="12.85546875" style="71" customWidth="1"/>
    <col min="20" max="20" width="9.140625" style="34"/>
    <col min="21" max="21" width="13.5703125" style="140" customWidth="1"/>
    <col min="22" max="23" width="9.140625" style="140"/>
    <col min="24" max="24" width="12.42578125" style="34" customWidth="1"/>
    <col min="25" max="16384" width="9.140625" style="34"/>
  </cols>
  <sheetData>
    <row r="1" spans="1:23" x14ac:dyDescent="0.2">
      <c r="A1" s="151" t="s">
        <v>1051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8" t="s">
        <v>667</v>
      </c>
      <c r="K1" s="20"/>
      <c r="L1" s="20"/>
      <c r="M1" s="20"/>
      <c r="N1" s="329"/>
      <c r="O1" s="20"/>
      <c r="P1" s="33"/>
      <c r="Q1" s="17"/>
      <c r="R1" s="41"/>
      <c r="S1" s="41"/>
      <c r="T1" s="41"/>
      <c r="U1" s="330"/>
      <c r="V1" s="138"/>
      <c r="W1" s="138"/>
    </row>
    <row r="2" spans="1:23" x14ac:dyDescent="0.2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8" t="s">
        <v>668</v>
      </c>
      <c r="K2" s="20"/>
      <c r="L2" s="20"/>
      <c r="M2" s="20"/>
      <c r="N2" s="329"/>
      <c r="O2" s="20"/>
      <c r="P2" s="33"/>
      <c r="Q2" s="17"/>
      <c r="R2" s="41"/>
      <c r="S2" s="41"/>
      <c r="T2" s="41"/>
      <c r="U2" s="330"/>
      <c r="V2" s="138"/>
      <c r="W2" s="138"/>
    </row>
    <row r="3" spans="1:23" x14ac:dyDescent="0.2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29"/>
      <c r="O3" s="44" t="s">
        <v>47</v>
      </c>
      <c r="P3" s="33"/>
      <c r="Q3" s="17"/>
      <c r="R3" s="41"/>
      <c r="S3" s="41"/>
      <c r="T3" s="41"/>
      <c r="U3" s="330"/>
      <c r="V3" s="138"/>
      <c r="W3" s="138"/>
    </row>
    <row r="4" spans="1:23" x14ac:dyDescent="0.2">
      <c r="A4" s="16"/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29"/>
      <c r="O4" s="17"/>
      <c r="P4" s="33"/>
      <c r="Q4" s="17"/>
      <c r="R4" s="41"/>
      <c r="S4" s="41"/>
      <c r="T4" s="46"/>
      <c r="U4" s="331"/>
      <c r="V4" s="138"/>
      <c r="W4" s="138"/>
    </row>
    <row r="5" spans="1:23" x14ac:dyDescent="0.2">
      <c r="A5" s="16"/>
      <c r="B5" s="18"/>
      <c r="C5" s="332"/>
      <c r="D5" s="19"/>
      <c r="E5" s="19"/>
      <c r="F5" s="45"/>
      <c r="G5" s="16"/>
      <c r="H5" s="45"/>
      <c r="I5" s="24"/>
      <c r="J5" s="45"/>
      <c r="K5" s="20"/>
      <c r="L5" s="45"/>
      <c r="M5" s="17"/>
      <c r="N5" s="329"/>
      <c r="O5" s="17"/>
      <c r="P5" s="33"/>
      <c r="Q5" s="17"/>
      <c r="R5" s="41"/>
      <c r="S5" s="41"/>
      <c r="T5" s="46"/>
      <c r="U5" s="331"/>
      <c r="V5" s="138"/>
      <c r="W5" s="138"/>
    </row>
    <row r="6" spans="1:23" x14ac:dyDescent="0.2">
      <c r="A6" s="16"/>
      <c r="B6" s="18"/>
      <c r="C6" s="332"/>
      <c r="D6" s="19"/>
      <c r="E6" s="19"/>
      <c r="F6" s="45"/>
      <c r="G6" s="16"/>
      <c r="H6" s="45"/>
      <c r="I6" s="24"/>
      <c r="J6" s="45"/>
      <c r="K6" s="20"/>
      <c r="L6" s="45"/>
      <c r="M6" s="17"/>
      <c r="N6" s="329"/>
      <c r="O6" s="17"/>
      <c r="P6" s="33"/>
      <c r="Q6" s="17"/>
      <c r="R6" s="41"/>
      <c r="S6" s="41"/>
      <c r="T6" s="46"/>
      <c r="U6" s="331"/>
      <c r="V6" s="138"/>
      <c r="W6" s="138"/>
    </row>
    <row r="7" spans="1:23" x14ac:dyDescent="0.2">
      <c r="A7" s="16"/>
      <c r="B7" s="18"/>
      <c r="C7" s="332"/>
      <c r="D7" s="19"/>
      <c r="E7" s="19"/>
      <c r="F7" s="45"/>
      <c r="G7" s="16"/>
      <c r="H7" s="45"/>
      <c r="I7" s="24"/>
      <c r="J7" s="45"/>
      <c r="K7" s="20"/>
      <c r="L7" s="45"/>
      <c r="M7" s="17"/>
      <c r="N7" s="329"/>
      <c r="O7" s="17"/>
      <c r="P7" s="33"/>
      <c r="Q7" s="17"/>
      <c r="R7" s="41"/>
      <c r="S7" s="41"/>
      <c r="T7" s="46"/>
      <c r="U7" s="331"/>
      <c r="V7" s="138"/>
      <c r="W7" s="138"/>
    </row>
    <row r="8" spans="1:23" x14ac:dyDescent="0.2">
      <c r="A8" s="16"/>
      <c r="B8" s="18"/>
      <c r="C8" s="332"/>
      <c r="D8" s="19"/>
      <c r="E8" s="19"/>
      <c r="F8" s="45"/>
      <c r="G8" s="16"/>
      <c r="H8" s="45"/>
      <c r="I8" s="24"/>
      <c r="J8" s="45"/>
      <c r="K8" s="20"/>
      <c r="L8" s="45"/>
      <c r="M8" s="17"/>
      <c r="N8" s="329"/>
      <c r="O8" s="17"/>
      <c r="P8" s="33"/>
      <c r="Q8" s="17"/>
      <c r="R8" s="41"/>
      <c r="S8" s="41"/>
      <c r="T8" s="46"/>
      <c r="U8" s="331"/>
      <c r="V8" s="138"/>
      <c r="W8" s="138"/>
    </row>
    <row r="9" spans="1:23" x14ac:dyDescent="0.2">
      <c r="A9" s="16"/>
      <c r="B9" s="18"/>
      <c r="C9" s="332"/>
      <c r="D9" s="19"/>
      <c r="E9" s="19"/>
      <c r="F9" s="45"/>
      <c r="G9" s="16"/>
      <c r="H9" s="45"/>
      <c r="I9" s="24"/>
      <c r="J9" s="45"/>
      <c r="K9" s="20"/>
      <c r="L9" s="45"/>
      <c r="M9" s="17"/>
      <c r="N9" s="329"/>
      <c r="O9" s="17"/>
      <c r="P9" s="33"/>
      <c r="Q9" s="17"/>
      <c r="R9" s="41"/>
      <c r="S9" s="41"/>
      <c r="T9" s="46"/>
      <c r="U9" s="331"/>
      <c r="V9" s="138"/>
      <c r="W9" s="138"/>
    </row>
    <row r="10" spans="1:23" x14ac:dyDescent="0.2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29"/>
      <c r="O10" s="17"/>
      <c r="P10" s="33"/>
      <c r="Q10" s="17"/>
      <c r="R10" s="41"/>
      <c r="S10" s="41"/>
      <c r="T10" s="46"/>
      <c r="U10" s="331"/>
      <c r="V10" s="138"/>
      <c r="W10" s="138"/>
    </row>
    <row r="11" spans="1:23" x14ac:dyDescent="0.2">
      <c r="A11" s="333" t="s">
        <v>49</v>
      </c>
      <c r="B11" s="334" t="s">
        <v>50</v>
      </c>
      <c r="C11" s="334" t="s">
        <v>51</v>
      </c>
      <c r="D11" s="335" t="s">
        <v>52</v>
      </c>
      <c r="E11" s="335"/>
      <c r="F11" s="333" t="s">
        <v>53</v>
      </c>
      <c r="G11" s="333" t="s">
        <v>54</v>
      </c>
      <c r="H11" s="334" t="s">
        <v>55</v>
      </c>
      <c r="I11" s="336" t="s">
        <v>56</v>
      </c>
      <c r="J11" s="334" t="s">
        <v>57</v>
      </c>
      <c r="K11" s="334" t="s">
        <v>58</v>
      </c>
      <c r="L11" s="334" t="s">
        <v>59</v>
      </c>
      <c r="M11" s="334" t="s">
        <v>60</v>
      </c>
      <c r="N11" s="337" t="s">
        <v>62</v>
      </c>
      <c r="O11" s="334" t="s">
        <v>63</v>
      </c>
      <c r="P11" s="338" t="s">
        <v>674</v>
      </c>
      <c r="Q11" s="334" t="s">
        <v>65</v>
      </c>
      <c r="R11" s="333" t="s">
        <v>66</v>
      </c>
      <c r="S11" s="291" t="s">
        <v>675</v>
      </c>
      <c r="T11" s="339" t="s">
        <v>676</v>
      </c>
      <c r="U11" s="340" t="s">
        <v>677</v>
      </c>
      <c r="V11" s="139"/>
      <c r="W11" s="139"/>
    </row>
    <row r="12" spans="1:23" s="71" customFormat="1" x14ac:dyDescent="0.2">
      <c r="A12" s="16" t="s">
        <v>602</v>
      </c>
      <c r="B12" s="18" t="s">
        <v>144</v>
      </c>
      <c r="C12" s="18" t="s">
        <v>736</v>
      </c>
      <c r="D12" s="19">
        <v>36647</v>
      </c>
      <c r="E12" s="19">
        <v>36830</v>
      </c>
      <c r="F12" s="16" t="s">
        <v>737</v>
      </c>
      <c r="G12" s="16" t="s">
        <v>916</v>
      </c>
      <c r="H12" s="18" t="s">
        <v>867</v>
      </c>
      <c r="I12" s="24">
        <f>0.6*0.0328767</f>
        <v>1.972602E-2</v>
      </c>
      <c r="J12" s="20">
        <v>0</v>
      </c>
      <c r="K12" s="20">
        <v>0</v>
      </c>
      <c r="L12" s="20">
        <v>0</v>
      </c>
      <c r="M12" s="20">
        <v>0</v>
      </c>
      <c r="N12" s="329">
        <v>0</v>
      </c>
      <c r="O12" s="20">
        <f>SUM(I12:M12)</f>
        <v>1.972602E-2</v>
      </c>
      <c r="P12" s="33">
        <v>771169</v>
      </c>
      <c r="Q12" s="18">
        <v>5690</v>
      </c>
      <c r="R12" s="42" t="s">
        <v>917</v>
      </c>
      <c r="S12" s="25">
        <f>I12*I$1*Q12</f>
        <v>3479.4726678000002</v>
      </c>
      <c r="T12" s="25"/>
      <c r="U12" s="341">
        <v>247184</v>
      </c>
      <c r="V12" s="139"/>
      <c r="W12" s="139"/>
    </row>
    <row r="13" spans="1:23" s="71" customFormat="1" x14ac:dyDescent="0.2">
      <c r="A13" s="16" t="s">
        <v>602</v>
      </c>
      <c r="B13" s="18" t="s">
        <v>144</v>
      </c>
      <c r="C13" s="18" t="s">
        <v>736</v>
      </c>
      <c r="D13" s="19">
        <v>36647</v>
      </c>
      <c r="E13" s="19">
        <v>36830</v>
      </c>
      <c r="F13" s="16" t="s">
        <v>737</v>
      </c>
      <c r="G13" s="16" t="s">
        <v>916</v>
      </c>
      <c r="H13" s="18" t="s">
        <v>867</v>
      </c>
      <c r="I13" s="24">
        <f>0.3*0.0328767</f>
        <v>9.8630100000000002E-3</v>
      </c>
      <c r="J13" s="20">
        <v>0</v>
      </c>
      <c r="K13" s="20">
        <v>0</v>
      </c>
      <c r="L13" s="20">
        <v>0</v>
      </c>
      <c r="M13" s="20">
        <v>0</v>
      </c>
      <c r="N13" s="329">
        <v>0</v>
      </c>
      <c r="O13" s="20">
        <f>SUM(I13:M13)</f>
        <v>9.8630100000000002E-3</v>
      </c>
      <c r="P13" s="33">
        <v>771168</v>
      </c>
      <c r="Q13" s="18">
        <v>965</v>
      </c>
      <c r="R13" s="42" t="s">
        <v>870</v>
      </c>
      <c r="S13" s="25">
        <f>I13*I$1*Q13</f>
        <v>295.05194415</v>
      </c>
      <c r="T13" s="25"/>
      <c r="U13" s="341">
        <v>236735</v>
      </c>
      <c r="V13" s="139"/>
      <c r="W13" s="139"/>
    </row>
    <row r="14" spans="1:23" s="71" customFormat="1" x14ac:dyDescent="0.2">
      <c r="A14" s="16" t="s">
        <v>602</v>
      </c>
      <c r="B14" s="18" t="s">
        <v>144</v>
      </c>
      <c r="C14" s="18" t="s">
        <v>736</v>
      </c>
      <c r="D14" s="19">
        <v>36647</v>
      </c>
      <c r="E14" s="19">
        <v>36830</v>
      </c>
      <c r="F14" s="16" t="s">
        <v>868</v>
      </c>
      <c r="G14" s="16" t="s">
        <v>916</v>
      </c>
      <c r="H14" s="18" t="s">
        <v>867</v>
      </c>
      <c r="I14" s="24">
        <f>0.3*0.0328767</f>
        <v>9.8630100000000002E-3</v>
      </c>
      <c r="J14" s="20">
        <v>0</v>
      </c>
      <c r="K14" s="20">
        <v>0</v>
      </c>
      <c r="L14" s="20">
        <v>0</v>
      </c>
      <c r="M14" s="20">
        <v>0</v>
      </c>
      <c r="N14" s="329">
        <v>0</v>
      </c>
      <c r="O14" s="20">
        <f>SUM(I14:M14)</f>
        <v>9.8630100000000002E-3</v>
      </c>
      <c r="P14" s="33">
        <v>771168</v>
      </c>
      <c r="Q14" s="18">
        <v>286</v>
      </c>
      <c r="R14" s="42" t="s">
        <v>870</v>
      </c>
      <c r="S14" s="25">
        <f>I14*I$1*Q14</f>
        <v>87.445446660000002</v>
      </c>
      <c r="T14" s="25"/>
      <c r="U14" s="341">
        <v>236735</v>
      </c>
      <c r="V14" s="139"/>
      <c r="W14" s="139"/>
    </row>
    <row r="15" spans="1:23" s="71" customFormat="1" x14ac:dyDescent="0.2">
      <c r="A15" s="16" t="s">
        <v>602</v>
      </c>
      <c r="B15" s="18" t="s">
        <v>144</v>
      </c>
      <c r="C15" s="18" t="s">
        <v>821</v>
      </c>
      <c r="D15" s="19">
        <v>36647</v>
      </c>
      <c r="E15" s="19">
        <v>36799</v>
      </c>
      <c r="F15" s="16" t="s">
        <v>737</v>
      </c>
      <c r="G15" s="16" t="s">
        <v>937</v>
      </c>
      <c r="H15" s="18" t="s">
        <v>804</v>
      </c>
      <c r="I15" s="24">
        <f>0.61*0.0328767</f>
        <v>2.0054787000000001E-2</v>
      </c>
      <c r="J15" s="20">
        <v>0</v>
      </c>
      <c r="K15" s="20">
        <v>0</v>
      </c>
      <c r="L15" s="20">
        <v>0</v>
      </c>
      <c r="M15" s="20">
        <v>0</v>
      </c>
      <c r="N15" s="329">
        <v>0</v>
      </c>
      <c r="O15" s="20">
        <f>SUM(I15:M15)</f>
        <v>2.0054787000000001E-2</v>
      </c>
      <c r="P15" s="33">
        <v>771199</v>
      </c>
      <c r="Q15" s="18">
        <v>5000</v>
      </c>
      <c r="R15" s="42" t="s">
        <v>939</v>
      </c>
      <c r="S15" s="25">
        <f>I15*I$1*Q15</f>
        <v>3108.4919850000006</v>
      </c>
      <c r="T15" s="25"/>
      <c r="U15" s="341">
        <v>255854</v>
      </c>
      <c r="V15" s="139"/>
      <c r="W15" s="139"/>
    </row>
    <row r="16" spans="1:23" s="505" customFormat="1" x14ac:dyDescent="0.2">
      <c r="A16" s="187" t="s">
        <v>602</v>
      </c>
      <c r="B16" s="188" t="s">
        <v>144</v>
      </c>
      <c r="C16" s="188" t="s">
        <v>821</v>
      </c>
      <c r="D16" s="496">
        <v>36800</v>
      </c>
      <c r="E16" s="496">
        <v>36830</v>
      </c>
      <c r="F16" s="187" t="s">
        <v>737</v>
      </c>
      <c r="G16" s="187" t="s">
        <v>937</v>
      </c>
      <c r="H16" s="188" t="s">
        <v>804</v>
      </c>
      <c r="I16" s="497">
        <f>0.61*0.0328767</f>
        <v>2.0054787000000001E-2</v>
      </c>
      <c r="J16" s="498">
        <v>0</v>
      </c>
      <c r="K16" s="498">
        <v>0</v>
      </c>
      <c r="L16" s="498">
        <v>0</v>
      </c>
      <c r="M16" s="498">
        <v>0</v>
      </c>
      <c r="N16" s="499">
        <v>0</v>
      </c>
      <c r="O16" s="498">
        <f>SUM(I16:M16)</f>
        <v>2.0054787000000001E-2</v>
      </c>
      <c r="P16" s="500">
        <v>771173</v>
      </c>
      <c r="Q16" s="188">
        <v>5000</v>
      </c>
      <c r="R16" s="501" t="s">
        <v>940</v>
      </c>
      <c r="S16" s="502" t="s">
        <v>985</v>
      </c>
      <c r="T16" s="502"/>
      <c r="U16" s="503">
        <v>253236</v>
      </c>
      <c r="V16" s="504"/>
      <c r="W16" s="504"/>
    </row>
    <row r="17" spans="1:23" s="71" customFormat="1" x14ac:dyDescent="0.2">
      <c r="A17" s="16"/>
      <c r="B17" s="18"/>
      <c r="C17" s="18"/>
      <c r="D17" s="19"/>
      <c r="E17" s="19"/>
      <c r="F17" s="16"/>
      <c r="G17" s="16"/>
      <c r="H17" s="18"/>
      <c r="I17" s="24"/>
      <c r="J17" s="20"/>
      <c r="K17" s="20"/>
      <c r="L17" s="20"/>
      <c r="M17" s="20"/>
      <c r="N17" s="329"/>
      <c r="O17" s="20"/>
      <c r="P17" s="33"/>
      <c r="Q17" s="18"/>
      <c r="R17" s="42"/>
      <c r="S17" s="25"/>
      <c r="T17" s="25"/>
      <c r="U17" s="341"/>
      <c r="V17" s="139"/>
      <c r="W17" s="139"/>
    </row>
    <row r="18" spans="1:23" s="69" customFormat="1" ht="13.5" customHeight="1" x14ac:dyDescent="0.2">
      <c r="A18" s="382" t="s">
        <v>47</v>
      </c>
      <c r="B18" s="355" t="s">
        <v>47</v>
      </c>
      <c r="C18" s="150" t="s">
        <v>47</v>
      </c>
      <c r="D18" s="383" t="s">
        <v>47</v>
      </c>
      <c r="E18" s="383"/>
      <c r="F18" s="382" t="s">
        <v>47</v>
      </c>
      <c r="G18" s="520" t="s">
        <v>47</v>
      </c>
      <c r="H18" s="355" t="s">
        <v>47</v>
      </c>
      <c r="I18" s="384"/>
      <c r="J18" s="32"/>
      <c r="K18" s="32"/>
      <c r="L18" s="32"/>
      <c r="M18" s="32"/>
      <c r="N18" s="521"/>
      <c r="O18" s="32"/>
      <c r="P18" s="522" t="s">
        <v>47</v>
      </c>
      <c r="Q18" s="355">
        <f>SUM(Q12:Q15)</f>
        <v>11941</v>
      </c>
      <c r="R18" s="382" t="s">
        <v>715</v>
      </c>
      <c r="S18" s="523">
        <f>SUM(S12:S17)</f>
        <v>6970.4620436100013</v>
      </c>
      <c r="T18" s="46">
        <f>SUM(T12:T16)</f>
        <v>0</v>
      </c>
      <c r="U18" s="331"/>
      <c r="V18" s="138"/>
      <c r="W18" s="138"/>
    </row>
    <row r="19" spans="1:23" s="69" customFormat="1" x14ac:dyDescent="0.2">
      <c r="A19" s="382"/>
      <c r="B19" s="355"/>
      <c r="C19" s="150"/>
      <c r="D19" s="383"/>
      <c r="E19" s="383"/>
      <c r="F19" s="382"/>
      <c r="G19" s="520"/>
      <c r="H19" s="355"/>
      <c r="I19" s="384"/>
      <c r="J19" s="32"/>
      <c r="K19" s="32"/>
      <c r="L19" s="32"/>
      <c r="M19" s="32"/>
      <c r="N19" s="521"/>
      <c r="O19" s="32"/>
      <c r="P19" s="522"/>
      <c r="Q19" s="355"/>
      <c r="R19" s="382" t="s">
        <v>997</v>
      </c>
      <c r="S19" s="523">
        <v>0</v>
      </c>
      <c r="T19" s="46"/>
      <c r="U19" s="331"/>
      <c r="V19" s="138"/>
      <c r="W19" s="138"/>
    </row>
    <row r="20" spans="1:23" ht="13.5" thickBot="1" x14ac:dyDescent="0.25">
      <c r="A20" s="382"/>
      <c r="B20" s="355"/>
      <c r="C20" s="150"/>
      <c r="D20" s="383"/>
      <c r="E20" s="383"/>
      <c r="F20" s="382"/>
      <c r="G20" s="520"/>
      <c r="H20" s="355"/>
      <c r="I20" s="384"/>
      <c r="J20" s="32"/>
      <c r="K20" s="32"/>
      <c r="L20" s="32"/>
      <c r="M20" s="32"/>
      <c r="N20" s="521"/>
      <c r="O20" s="32"/>
      <c r="P20" s="522"/>
      <c r="Q20" s="355"/>
      <c r="R20" s="382" t="s">
        <v>998</v>
      </c>
      <c r="S20" s="524">
        <f>+S18-S19</f>
        <v>6970.4620436100013</v>
      </c>
      <c r="T20" s="46"/>
      <c r="U20" s="331"/>
      <c r="V20" s="139"/>
      <c r="W20" s="139"/>
    </row>
    <row r="21" spans="1:23" ht="13.5" thickTop="1" x14ac:dyDescent="0.2">
      <c r="A21" s="382"/>
      <c r="B21" s="355"/>
      <c r="C21" s="150"/>
      <c r="D21" s="383"/>
      <c r="E21" s="383"/>
      <c r="F21" s="382"/>
      <c r="G21" s="520"/>
      <c r="H21" s="355"/>
      <c r="I21" s="384"/>
      <c r="J21" s="32"/>
      <c r="K21" s="32"/>
      <c r="L21" s="32"/>
      <c r="M21" s="32"/>
      <c r="N21" s="521"/>
      <c r="O21" s="32"/>
      <c r="P21" s="522"/>
      <c r="Q21" s="355"/>
      <c r="R21" s="382"/>
      <c r="S21" s="41"/>
      <c r="T21" s="46"/>
      <c r="U21" s="331"/>
      <c r="V21" s="139"/>
      <c r="W21" s="139"/>
    </row>
    <row r="22" spans="1:23" s="535" customFormat="1" x14ac:dyDescent="0.2">
      <c r="A22" s="525" t="s">
        <v>49</v>
      </c>
      <c r="B22" s="526" t="s">
        <v>50</v>
      </c>
      <c r="C22" s="526" t="s">
        <v>51</v>
      </c>
      <c r="D22" s="527" t="s">
        <v>52</v>
      </c>
      <c r="E22" s="527"/>
      <c r="F22" s="525" t="s">
        <v>53</v>
      </c>
      <c r="G22" s="525" t="s">
        <v>54</v>
      </c>
      <c r="H22" s="526" t="s">
        <v>55</v>
      </c>
      <c r="I22" s="528" t="s">
        <v>56</v>
      </c>
      <c r="J22" s="526" t="s">
        <v>57</v>
      </c>
      <c r="K22" s="526" t="s">
        <v>58</v>
      </c>
      <c r="L22" s="526" t="s">
        <v>59</v>
      </c>
      <c r="M22" s="526" t="s">
        <v>60</v>
      </c>
      <c r="N22" s="529" t="s">
        <v>62</v>
      </c>
      <c r="O22" s="526" t="s">
        <v>63</v>
      </c>
      <c r="P22" s="530" t="s">
        <v>674</v>
      </c>
      <c r="Q22" s="526" t="s">
        <v>65</v>
      </c>
      <c r="R22" s="525" t="s">
        <v>66</v>
      </c>
      <c r="S22" s="531" t="s">
        <v>675</v>
      </c>
      <c r="T22" s="532" t="s">
        <v>676</v>
      </c>
      <c r="U22" s="533" t="s">
        <v>677</v>
      </c>
      <c r="V22" s="534"/>
      <c r="W22" s="534"/>
    </row>
    <row r="23" spans="1:23" s="71" customFormat="1" x14ac:dyDescent="0.2">
      <c r="A23" s="16" t="s">
        <v>986</v>
      </c>
      <c r="B23" s="18" t="s">
        <v>140</v>
      </c>
      <c r="C23" s="18" t="s">
        <v>812</v>
      </c>
      <c r="D23" s="19">
        <v>36617</v>
      </c>
      <c r="E23" s="19">
        <v>36830</v>
      </c>
      <c r="F23" s="16" t="s">
        <v>813</v>
      </c>
      <c r="G23" s="16" t="s">
        <v>812</v>
      </c>
      <c r="H23" s="18" t="s">
        <v>68</v>
      </c>
      <c r="I23" s="24">
        <v>3.1870967741935485E-2</v>
      </c>
      <c r="J23" s="20">
        <v>0</v>
      </c>
      <c r="K23" s="20">
        <v>0</v>
      </c>
      <c r="L23" s="20">
        <v>0</v>
      </c>
      <c r="M23" s="20">
        <v>0</v>
      </c>
      <c r="N23" s="329">
        <v>0</v>
      </c>
      <c r="O23" s="20">
        <f t="shared" ref="O23:O28" si="0">SUM(I23:M23)</f>
        <v>3.1870967741935485E-2</v>
      </c>
      <c r="P23" s="33" t="s">
        <v>814</v>
      </c>
      <c r="Q23" s="18">
        <v>15000</v>
      </c>
      <c r="R23" s="42" t="s">
        <v>815</v>
      </c>
      <c r="S23" s="25">
        <f>I23*I$1*Q23</f>
        <v>14820</v>
      </c>
      <c r="T23" s="25"/>
      <c r="U23" s="341">
        <v>229957</v>
      </c>
      <c r="V23" s="139"/>
      <c r="W23" s="139"/>
    </row>
    <row r="24" spans="1:23" s="71" customFormat="1" x14ac:dyDescent="0.2">
      <c r="A24" s="16" t="s">
        <v>986</v>
      </c>
      <c r="B24" s="18" t="s">
        <v>140</v>
      </c>
      <c r="C24" s="18" t="s">
        <v>812</v>
      </c>
      <c r="D24" s="19">
        <v>36617</v>
      </c>
      <c r="E24" s="19">
        <v>36830</v>
      </c>
      <c r="F24" s="16" t="s">
        <v>822</v>
      </c>
      <c r="G24" s="16" t="s">
        <v>812</v>
      </c>
      <c r="H24" s="18" t="s">
        <v>68</v>
      </c>
      <c r="I24" s="24">
        <v>2.941935483870968E-2</v>
      </c>
      <c r="J24" s="20">
        <v>0</v>
      </c>
      <c r="K24" s="20">
        <v>0</v>
      </c>
      <c r="L24" s="20">
        <v>0</v>
      </c>
      <c r="M24" s="20">
        <v>0</v>
      </c>
      <c r="N24" s="329">
        <v>0</v>
      </c>
      <c r="O24" s="20">
        <f t="shared" si="0"/>
        <v>2.941935483870968E-2</v>
      </c>
      <c r="P24" s="33" t="s">
        <v>858</v>
      </c>
      <c r="Q24" s="18">
        <v>4003</v>
      </c>
      <c r="R24" s="42" t="s">
        <v>859</v>
      </c>
      <c r="S24" s="25">
        <f>I24*I$1*Q24</f>
        <v>3650.7360000000003</v>
      </c>
      <c r="T24" s="25"/>
      <c r="U24" s="341">
        <v>233047</v>
      </c>
      <c r="V24" s="139"/>
      <c r="W24" s="139"/>
    </row>
    <row r="25" spans="1:23" s="71" customFormat="1" x14ac:dyDescent="0.2">
      <c r="A25" s="16" t="s">
        <v>986</v>
      </c>
      <c r="B25" s="18" t="s">
        <v>140</v>
      </c>
      <c r="C25" s="18" t="s">
        <v>812</v>
      </c>
      <c r="D25" s="19">
        <v>36617</v>
      </c>
      <c r="E25" s="19">
        <v>36830</v>
      </c>
      <c r="F25" s="16" t="s">
        <v>857</v>
      </c>
      <c r="G25" s="16" t="s">
        <v>812</v>
      </c>
      <c r="H25" s="18" t="s">
        <v>68</v>
      </c>
      <c r="I25" s="24">
        <v>2.941935483870968E-2</v>
      </c>
      <c r="J25" s="20">
        <v>0</v>
      </c>
      <c r="K25" s="20">
        <v>0</v>
      </c>
      <c r="L25" s="20">
        <v>0</v>
      </c>
      <c r="M25" s="20">
        <v>0</v>
      </c>
      <c r="N25" s="329">
        <v>0</v>
      </c>
      <c r="O25" s="20">
        <f t="shared" si="0"/>
        <v>2.941935483870968E-2</v>
      </c>
      <c r="P25" s="33" t="s">
        <v>858</v>
      </c>
      <c r="Q25" s="18">
        <v>383</v>
      </c>
      <c r="R25" s="42" t="s">
        <v>859</v>
      </c>
      <c r="S25" s="25">
        <f>I25*I$1*Q25</f>
        <v>349.29599999999999</v>
      </c>
      <c r="T25" s="25"/>
      <c r="U25" s="341">
        <v>233047</v>
      </c>
      <c r="V25" s="139"/>
      <c r="W25" s="139"/>
    </row>
    <row r="26" spans="1:23" s="71" customFormat="1" x14ac:dyDescent="0.2">
      <c r="A26" s="16" t="s">
        <v>986</v>
      </c>
      <c r="B26" s="18" t="s">
        <v>140</v>
      </c>
      <c r="C26" s="18" t="s">
        <v>821</v>
      </c>
      <c r="D26" s="19">
        <v>36617</v>
      </c>
      <c r="E26" s="19">
        <v>36799</v>
      </c>
      <c r="F26" s="16" t="s">
        <v>822</v>
      </c>
      <c r="G26" s="16" t="s">
        <v>823</v>
      </c>
      <c r="H26" s="18" t="s">
        <v>68</v>
      </c>
      <c r="I26" s="24">
        <v>1.9612903225806451E-2</v>
      </c>
      <c r="J26" s="20">
        <v>0</v>
      </c>
      <c r="K26" s="20">
        <v>0</v>
      </c>
      <c r="L26" s="20">
        <v>0</v>
      </c>
      <c r="M26" s="20">
        <v>0</v>
      </c>
      <c r="N26" s="329">
        <v>0</v>
      </c>
      <c r="O26" s="20">
        <f t="shared" si="0"/>
        <v>1.9612903225806451E-2</v>
      </c>
      <c r="P26" s="33" t="s">
        <v>824</v>
      </c>
      <c r="Q26" s="18">
        <v>3947</v>
      </c>
      <c r="R26" s="42" t="s">
        <v>825</v>
      </c>
      <c r="S26" s="25">
        <f>I26*I$1*Q26</f>
        <v>2399.7759999999998</v>
      </c>
      <c r="T26" s="25"/>
      <c r="U26" s="341">
        <v>231229</v>
      </c>
      <c r="V26" s="139"/>
      <c r="W26" s="139"/>
    </row>
    <row r="27" spans="1:23" s="220" customFormat="1" x14ac:dyDescent="0.2">
      <c r="A27" s="180" t="s">
        <v>986</v>
      </c>
      <c r="B27" s="362" t="s">
        <v>140</v>
      </c>
      <c r="C27" s="362" t="s">
        <v>1025</v>
      </c>
      <c r="D27" s="363">
        <v>36739</v>
      </c>
      <c r="E27" s="363">
        <v>36769</v>
      </c>
      <c r="F27" s="366" t="s">
        <v>1036</v>
      </c>
      <c r="G27" s="366" t="s">
        <v>1037</v>
      </c>
      <c r="H27" s="362" t="s">
        <v>68</v>
      </c>
      <c r="I27" s="364">
        <f>0.3875/I$1</f>
        <v>1.2500000000000001E-2</v>
      </c>
      <c r="J27" s="365">
        <v>0</v>
      </c>
      <c r="K27" s="365">
        <v>0</v>
      </c>
      <c r="L27" s="365">
        <v>0</v>
      </c>
      <c r="M27" s="365">
        <v>0</v>
      </c>
      <c r="N27" s="555">
        <v>0</v>
      </c>
      <c r="O27" s="365">
        <f t="shared" si="0"/>
        <v>1.2500000000000001E-2</v>
      </c>
      <c r="P27" s="556">
        <v>523464</v>
      </c>
      <c r="Q27" s="362">
        <v>2400</v>
      </c>
      <c r="R27" s="366" t="s">
        <v>1053</v>
      </c>
      <c r="S27" s="367">
        <f>I27*8*Q27</f>
        <v>240</v>
      </c>
      <c r="T27" s="367"/>
      <c r="U27" s="557">
        <v>343490</v>
      </c>
      <c r="V27" s="368"/>
      <c r="W27" s="368"/>
    </row>
    <row r="28" spans="1:23" s="505" customFormat="1" x14ac:dyDescent="0.2">
      <c r="A28" s="187" t="s">
        <v>986</v>
      </c>
      <c r="B28" s="188" t="s">
        <v>140</v>
      </c>
      <c r="C28" s="188" t="s">
        <v>1025</v>
      </c>
      <c r="D28" s="496">
        <v>36770</v>
      </c>
      <c r="E28" s="496">
        <v>36830</v>
      </c>
      <c r="F28" s="501" t="s">
        <v>1036</v>
      </c>
      <c r="G28" s="501" t="s">
        <v>1037</v>
      </c>
      <c r="H28" s="188" t="s">
        <v>68</v>
      </c>
      <c r="I28" s="497">
        <f>0.3875/I$1</f>
        <v>1.2500000000000001E-2</v>
      </c>
      <c r="J28" s="498">
        <v>0</v>
      </c>
      <c r="K28" s="498">
        <v>0</v>
      </c>
      <c r="L28" s="498">
        <v>0</v>
      </c>
      <c r="M28" s="498">
        <v>0</v>
      </c>
      <c r="N28" s="499">
        <v>0</v>
      </c>
      <c r="O28" s="498">
        <f t="shared" si="0"/>
        <v>1.2500000000000001E-2</v>
      </c>
      <c r="P28" s="500"/>
      <c r="Q28" s="188">
        <v>2400</v>
      </c>
      <c r="R28" s="187" t="s">
        <v>1039</v>
      </c>
      <c r="S28" s="502" t="s">
        <v>1038</v>
      </c>
      <c r="T28" s="502"/>
      <c r="U28" s="503"/>
      <c r="V28" s="504"/>
      <c r="W28" s="504"/>
    </row>
    <row r="29" spans="1:23" s="69" customFormat="1" x14ac:dyDescent="0.2">
      <c r="A29" s="382" t="s">
        <v>47</v>
      </c>
      <c r="B29" s="355" t="s">
        <v>47</v>
      </c>
      <c r="C29" s="150" t="s">
        <v>47</v>
      </c>
      <c r="D29" s="383" t="s">
        <v>47</v>
      </c>
      <c r="E29" s="383"/>
      <c r="F29" s="382" t="s">
        <v>47</v>
      </c>
      <c r="G29" s="520" t="s">
        <v>47</v>
      </c>
      <c r="H29" s="355" t="s">
        <v>47</v>
      </c>
      <c r="I29" s="384"/>
      <c r="J29" s="32"/>
      <c r="K29" s="32"/>
      <c r="L29" s="32"/>
      <c r="M29" s="32"/>
      <c r="N29" s="521"/>
      <c r="O29" s="32"/>
      <c r="P29" s="522" t="s">
        <v>47</v>
      </c>
      <c r="R29" s="382" t="s">
        <v>47</v>
      </c>
      <c r="S29" s="41"/>
      <c r="T29" s="46">
        <f>SUM(T23:T28)</f>
        <v>0</v>
      </c>
      <c r="U29" s="331"/>
      <c r="V29" s="138"/>
      <c r="W29" s="138"/>
    </row>
    <row r="30" spans="1:23" s="69" customFormat="1" x14ac:dyDescent="0.2">
      <c r="A30" s="382"/>
      <c r="B30" s="355"/>
      <c r="C30" s="150"/>
      <c r="D30" s="383"/>
      <c r="E30" s="383"/>
      <c r="F30" s="382"/>
      <c r="G30" s="520"/>
      <c r="H30" s="355"/>
      <c r="I30" s="384"/>
      <c r="J30" s="32"/>
      <c r="K30" s="32"/>
      <c r="L30" s="32"/>
      <c r="M30" s="32"/>
      <c r="N30" s="521"/>
      <c r="O30" s="32"/>
      <c r="P30" s="522"/>
      <c r="Q30" s="150">
        <f>SUM(Q23:Q28)</f>
        <v>28133</v>
      </c>
      <c r="R30" s="382" t="s">
        <v>715</v>
      </c>
      <c r="S30" s="523">
        <f>SUM(S22:S29)</f>
        <v>21459.807999999997</v>
      </c>
      <c r="T30" s="46"/>
      <c r="U30" s="331"/>
      <c r="V30" s="138"/>
      <c r="W30" s="138"/>
    </row>
    <row r="31" spans="1:23" x14ac:dyDescent="0.2">
      <c r="A31" s="382"/>
      <c r="B31" s="355"/>
      <c r="C31" s="150"/>
      <c r="D31" s="383"/>
      <c r="E31" s="383"/>
      <c r="F31" s="382"/>
      <c r="G31" s="520"/>
      <c r="H31" s="355"/>
      <c r="I31" s="384"/>
      <c r="J31" s="32"/>
      <c r="K31" s="32"/>
      <c r="L31" s="32"/>
      <c r="M31" s="32"/>
      <c r="N31" s="521"/>
      <c r="O31" s="32"/>
      <c r="P31" s="522"/>
      <c r="Q31" s="355"/>
      <c r="R31" s="382" t="s">
        <v>997</v>
      </c>
      <c r="S31" s="523">
        <v>0</v>
      </c>
      <c r="T31" s="46"/>
      <c r="U31" s="331"/>
      <c r="V31" s="139"/>
      <c r="W31" s="139"/>
    </row>
    <row r="32" spans="1:23" ht="13.5" thickBot="1" x14ac:dyDescent="0.25">
      <c r="A32" s="382"/>
      <c r="B32" s="355"/>
      <c r="C32" s="150"/>
      <c r="D32" s="383"/>
      <c r="E32" s="383"/>
      <c r="F32" s="382"/>
      <c r="G32" s="520"/>
      <c r="H32" s="355"/>
      <c r="I32" s="384"/>
      <c r="J32" s="32"/>
      <c r="K32" s="32"/>
      <c r="L32" s="32"/>
      <c r="M32" s="32"/>
      <c r="N32" s="521"/>
      <c r="O32" s="32"/>
      <c r="P32" s="522"/>
      <c r="Q32" s="355"/>
      <c r="R32" s="382" t="s">
        <v>998</v>
      </c>
      <c r="S32" s="524">
        <f>+S30-S31</f>
        <v>21459.807999999997</v>
      </c>
      <c r="T32" s="46"/>
      <c r="U32" s="331"/>
      <c r="V32" s="139"/>
      <c r="W32" s="139"/>
    </row>
    <row r="33" spans="1:25" ht="13.5" thickTop="1" x14ac:dyDescent="0.2">
      <c r="A33" s="382"/>
      <c r="B33" s="355"/>
      <c r="C33" s="150"/>
      <c r="D33" s="383"/>
      <c r="E33" s="383"/>
      <c r="F33" s="382"/>
      <c r="G33" s="520"/>
      <c r="H33" s="355"/>
      <c r="I33" s="384"/>
      <c r="J33" s="32"/>
      <c r="K33" s="32"/>
      <c r="L33" s="32"/>
      <c r="M33" s="32"/>
      <c r="N33" s="521"/>
      <c r="O33" s="32"/>
      <c r="P33" s="522"/>
      <c r="Q33" s="355"/>
      <c r="R33" s="382"/>
      <c r="S33" s="41"/>
      <c r="T33" s="46"/>
      <c r="U33" s="331"/>
      <c r="V33" s="139"/>
      <c r="W33" s="139"/>
    </row>
    <row r="34" spans="1:25" s="535" customFormat="1" x14ac:dyDescent="0.2">
      <c r="A34" s="525" t="s">
        <v>49</v>
      </c>
      <c r="B34" s="526" t="s">
        <v>50</v>
      </c>
      <c r="C34" s="526" t="s">
        <v>51</v>
      </c>
      <c r="D34" s="527" t="s">
        <v>52</v>
      </c>
      <c r="E34" s="527"/>
      <c r="F34" s="525" t="s">
        <v>53</v>
      </c>
      <c r="G34" s="525" t="s">
        <v>54</v>
      </c>
      <c r="H34" s="526" t="s">
        <v>55</v>
      </c>
      <c r="I34" s="528" t="s">
        <v>56</v>
      </c>
      <c r="J34" s="526" t="s">
        <v>57</v>
      </c>
      <c r="K34" s="526" t="s">
        <v>58</v>
      </c>
      <c r="L34" s="526" t="s">
        <v>59</v>
      </c>
      <c r="M34" s="526" t="s">
        <v>60</v>
      </c>
      <c r="N34" s="529" t="s">
        <v>62</v>
      </c>
      <c r="O34" s="526" t="s">
        <v>63</v>
      </c>
      <c r="P34" s="530" t="s">
        <v>674</v>
      </c>
      <c r="Q34" s="526" t="s">
        <v>65</v>
      </c>
      <c r="R34" s="525" t="s">
        <v>66</v>
      </c>
      <c r="S34" s="531" t="s">
        <v>698</v>
      </c>
      <c r="T34" s="532" t="s">
        <v>698</v>
      </c>
      <c r="U34" s="533"/>
      <c r="V34" s="534"/>
      <c r="W34" s="534"/>
    </row>
    <row r="35" spans="1:25" s="71" customFormat="1" hidden="1" x14ac:dyDescent="0.2">
      <c r="A35" s="16" t="s">
        <v>602</v>
      </c>
      <c r="B35" s="18" t="s">
        <v>699</v>
      </c>
      <c r="C35" s="18" t="s">
        <v>699</v>
      </c>
      <c r="D35" s="19" t="s">
        <v>711</v>
      </c>
      <c r="E35" s="19" t="s">
        <v>711</v>
      </c>
      <c r="F35" s="16" t="s">
        <v>82</v>
      </c>
      <c r="G35" s="42"/>
      <c r="H35" s="18"/>
      <c r="I35" s="24">
        <v>0</v>
      </c>
      <c r="J35" s="20">
        <v>0</v>
      </c>
      <c r="K35" s="20">
        <v>0</v>
      </c>
      <c r="L35" s="20">
        <v>0</v>
      </c>
      <c r="M35" s="20">
        <v>0</v>
      </c>
      <c r="N35" s="329">
        <v>0</v>
      </c>
      <c r="O35" s="20">
        <f t="shared" ref="O35:O49" si="1">SUM(I35:M35)</f>
        <v>0</v>
      </c>
      <c r="P35" s="33" t="s">
        <v>840</v>
      </c>
      <c r="Q35" s="18"/>
      <c r="R35" s="42"/>
      <c r="S35" s="25">
        <f t="shared" ref="S35:S49" si="2">I35*I$1*Q35</f>
        <v>0</v>
      </c>
      <c r="T35" s="25"/>
      <c r="U35" s="341"/>
      <c r="V35" s="139"/>
      <c r="W35" s="139"/>
    </row>
    <row r="36" spans="1:25" s="71" customFormat="1" x14ac:dyDescent="0.2">
      <c r="A36" s="16" t="s">
        <v>986</v>
      </c>
      <c r="B36" s="18" t="s">
        <v>699</v>
      </c>
      <c r="C36" s="18" t="s">
        <v>699</v>
      </c>
      <c r="D36" s="19">
        <v>36617</v>
      </c>
      <c r="E36" s="19">
        <v>36981</v>
      </c>
      <c r="F36" s="16" t="s">
        <v>695</v>
      </c>
      <c r="G36" s="42">
        <v>19</v>
      </c>
      <c r="H36" s="18" t="s">
        <v>68</v>
      </c>
      <c r="I36" s="24">
        <f>4.41/I$1</f>
        <v>0.14225806451612905</v>
      </c>
      <c r="J36" s="20">
        <v>0</v>
      </c>
      <c r="K36" s="20">
        <v>0</v>
      </c>
      <c r="L36" s="20">
        <v>0</v>
      </c>
      <c r="M36" s="20">
        <v>0</v>
      </c>
      <c r="N36" s="329">
        <v>0</v>
      </c>
      <c r="O36" s="20">
        <f>SUM(I36:M36)</f>
        <v>0.14225806451612905</v>
      </c>
      <c r="P36" s="33">
        <v>66930</v>
      </c>
      <c r="Q36" s="18">
        <v>4000</v>
      </c>
      <c r="R36" s="16" t="s">
        <v>1120</v>
      </c>
      <c r="S36" s="25">
        <f>I36*I$1*Q36</f>
        <v>17640</v>
      </c>
      <c r="T36" s="641">
        <v>4.41</v>
      </c>
      <c r="U36" s="341">
        <v>227986</v>
      </c>
      <c r="V36" s="139"/>
      <c r="W36" s="139"/>
    </row>
    <row r="37" spans="1:25" s="71" customFormat="1" x14ac:dyDescent="0.2">
      <c r="A37" s="16" t="s">
        <v>986</v>
      </c>
      <c r="B37" s="18" t="s">
        <v>699</v>
      </c>
      <c r="C37" s="18" t="s">
        <v>699</v>
      </c>
      <c r="D37" s="19">
        <v>36617</v>
      </c>
      <c r="E37" s="19">
        <v>36981</v>
      </c>
      <c r="F37" s="16" t="s">
        <v>695</v>
      </c>
      <c r="G37" s="42" t="s">
        <v>989</v>
      </c>
      <c r="H37" s="18" t="s">
        <v>804</v>
      </c>
      <c r="I37" s="24">
        <f>4.41/I$1</f>
        <v>0.14225806451612905</v>
      </c>
      <c r="J37" s="20">
        <v>0</v>
      </c>
      <c r="K37" s="20">
        <v>0</v>
      </c>
      <c r="L37" s="20">
        <v>0</v>
      </c>
      <c r="M37" s="20">
        <v>0</v>
      </c>
      <c r="N37" s="329">
        <v>0</v>
      </c>
      <c r="O37" s="20">
        <f>SUM(I37:M37)</f>
        <v>0.14225806451612905</v>
      </c>
      <c r="P37" s="33">
        <v>66931</v>
      </c>
      <c r="Q37" s="18">
        <v>4000</v>
      </c>
      <c r="R37" s="16" t="s">
        <v>800</v>
      </c>
      <c r="S37" s="25">
        <f>I37*I$1*Q37</f>
        <v>17640</v>
      </c>
      <c r="T37" s="641">
        <v>4.41</v>
      </c>
      <c r="U37" s="341">
        <v>227996</v>
      </c>
      <c r="V37" s="139"/>
      <c r="W37" s="139"/>
    </row>
    <row r="38" spans="1:25" s="71" customFormat="1" x14ac:dyDescent="0.2">
      <c r="A38" s="16" t="s">
        <v>986</v>
      </c>
      <c r="B38" s="18" t="s">
        <v>699</v>
      </c>
      <c r="C38" s="18" t="s">
        <v>699</v>
      </c>
      <c r="D38" s="19">
        <v>36617</v>
      </c>
      <c r="E38" s="19">
        <v>36981</v>
      </c>
      <c r="F38" s="16" t="s">
        <v>695</v>
      </c>
      <c r="G38" s="16" t="s">
        <v>801</v>
      </c>
      <c r="H38" s="18" t="s">
        <v>68</v>
      </c>
      <c r="I38" s="24">
        <f>6.201/I$1</f>
        <v>0.20003225806451611</v>
      </c>
      <c r="J38" s="20">
        <v>0</v>
      </c>
      <c r="K38" s="20">
        <v>0</v>
      </c>
      <c r="L38" s="20">
        <v>0</v>
      </c>
      <c r="M38" s="20">
        <v>0</v>
      </c>
      <c r="N38" s="329">
        <v>0</v>
      </c>
      <c r="O38" s="20">
        <f>SUM(I38:M38)</f>
        <v>0.20003225806451611</v>
      </c>
      <c r="P38" s="33">
        <v>66932</v>
      </c>
      <c r="Q38" s="18">
        <v>4000</v>
      </c>
      <c r="R38" s="16" t="s">
        <v>800</v>
      </c>
      <c r="S38" s="25">
        <f>I38*I$1*Q38</f>
        <v>24804</v>
      </c>
      <c r="T38" s="641">
        <v>6.2009999999999996</v>
      </c>
      <c r="U38" s="341">
        <v>228003</v>
      </c>
      <c r="V38" s="139"/>
      <c r="W38" s="139"/>
    </row>
    <row r="39" spans="1:25" s="71" customFormat="1" x14ac:dyDescent="0.2">
      <c r="A39" s="16" t="s">
        <v>986</v>
      </c>
      <c r="B39" s="18" t="s">
        <v>699</v>
      </c>
      <c r="C39" s="18" t="s">
        <v>699</v>
      </c>
      <c r="D39" s="19">
        <v>36617</v>
      </c>
      <c r="E39" s="19">
        <v>36830</v>
      </c>
      <c r="F39" s="16" t="s">
        <v>860</v>
      </c>
      <c r="G39" s="42" t="s">
        <v>861</v>
      </c>
      <c r="H39" s="18" t="s">
        <v>68</v>
      </c>
      <c r="I39" s="24">
        <f>1.5286/I$1</f>
        <v>4.9309677419354839E-2</v>
      </c>
      <c r="J39" s="20">
        <v>0</v>
      </c>
      <c r="K39" s="20">
        <v>0</v>
      </c>
      <c r="L39" s="20">
        <v>0</v>
      </c>
      <c r="M39" s="20">
        <v>0</v>
      </c>
      <c r="N39" s="329">
        <v>0</v>
      </c>
      <c r="O39" s="20">
        <f t="shared" si="1"/>
        <v>4.9309677419354839E-2</v>
      </c>
      <c r="P39" s="33">
        <v>66965</v>
      </c>
      <c r="Q39" s="18">
        <v>20000</v>
      </c>
      <c r="R39" s="16" t="s">
        <v>862</v>
      </c>
      <c r="S39" s="25">
        <f t="shared" si="2"/>
        <v>30572</v>
      </c>
      <c r="T39" s="641"/>
      <c r="U39" s="341">
        <v>229727</v>
      </c>
      <c r="V39" s="139"/>
      <c r="W39" s="139"/>
    </row>
    <row r="40" spans="1:25" s="220" customFormat="1" x14ac:dyDescent="0.2">
      <c r="A40" s="180" t="s">
        <v>986</v>
      </c>
      <c r="B40" s="362" t="s">
        <v>699</v>
      </c>
      <c r="C40" s="362" t="s">
        <v>699</v>
      </c>
      <c r="D40" s="363">
        <v>36739</v>
      </c>
      <c r="E40" s="363">
        <v>36769</v>
      </c>
      <c r="F40" s="180" t="s">
        <v>695</v>
      </c>
      <c r="G40" s="180" t="s">
        <v>987</v>
      </c>
      <c r="H40" s="362" t="s">
        <v>68</v>
      </c>
      <c r="I40" s="364">
        <f>2.48/I$1</f>
        <v>0.08</v>
      </c>
      <c r="J40" s="365">
        <v>0</v>
      </c>
      <c r="K40" s="365">
        <v>0</v>
      </c>
      <c r="L40" s="365">
        <v>0</v>
      </c>
      <c r="M40" s="365">
        <v>0</v>
      </c>
      <c r="N40" s="555">
        <v>0</v>
      </c>
      <c r="O40" s="365">
        <f t="shared" si="1"/>
        <v>0.08</v>
      </c>
      <c r="P40" s="556">
        <v>68958</v>
      </c>
      <c r="Q40" s="362">
        <v>7500</v>
      </c>
      <c r="R40" s="180" t="s">
        <v>988</v>
      </c>
      <c r="S40" s="367">
        <f t="shared" si="2"/>
        <v>18600</v>
      </c>
      <c r="T40" s="642"/>
      <c r="U40" s="557">
        <v>346353</v>
      </c>
      <c r="V40" s="368"/>
      <c r="W40" s="368"/>
    </row>
    <row r="41" spans="1:25" s="511" customFormat="1" x14ac:dyDescent="0.2">
      <c r="A41" s="447" t="s">
        <v>986</v>
      </c>
      <c r="B41" s="448" t="s">
        <v>699</v>
      </c>
      <c r="C41" s="448" t="s">
        <v>699</v>
      </c>
      <c r="D41" s="449">
        <v>36678</v>
      </c>
      <c r="E41" s="449">
        <v>36830</v>
      </c>
      <c r="F41" s="447" t="s">
        <v>695</v>
      </c>
      <c r="G41" s="447" t="s">
        <v>987</v>
      </c>
      <c r="H41" s="448" t="s">
        <v>68</v>
      </c>
      <c r="I41" s="450">
        <f>2.48/I$1</f>
        <v>0.08</v>
      </c>
      <c r="J41" s="451">
        <v>0</v>
      </c>
      <c r="K41" s="451">
        <v>0</v>
      </c>
      <c r="L41" s="451">
        <v>0</v>
      </c>
      <c r="M41" s="451">
        <v>0</v>
      </c>
      <c r="N41" s="510">
        <v>0</v>
      </c>
      <c r="O41" s="451">
        <f t="shared" si="1"/>
        <v>0.08</v>
      </c>
      <c r="P41" s="583" t="s">
        <v>1047</v>
      </c>
      <c r="Q41" s="448"/>
      <c r="R41" s="447"/>
      <c r="S41" s="452" t="s">
        <v>1048</v>
      </c>
      <c r="T41" s="643"/>
      <c r="U41" s="453" t="s">
        <v>1046</v>
      </c>
      <c r="V41" s="453"/>
      <c r="W41" s="453"/>
    </row>
    <row r="42" spans="1:25" s="71" customFormat="1" x14ac:dyDescent="0.2">
      <c r="A42" s="16" t="s">
        <v>602</v>
      </c>
      <c r="B42" s="18" t="s">
        <v>699</v>
      </c>
      <c r="C42" s="18" t="s">
        <v>693</v>
      </c>
      <c r="D42" s="19">
        <v>36464</v>
      </c>
      <c r="E42" s="19">
        <v>36860</v>
      </c>
      <c r="F42" s="42" t="s">
        <v>695</v>
      </c>
      <c r="G42" s="42" t="s">
        <v>700</v>
      </c>
      <c r="H42" s="18"/>
      <c r="I42" s="24">
        <f>6.423/I$1</f>
        <v>0.20719354838709678</v>
      </c>
      <c r="J42" s="20">
        <v>0</v>
      </c>
      <c r="K42" s="20">
        <v>0</v>
      </c>
      <c r="L42" s="20">
        <v>0</v>
      </c>
      <c r="M42" s="20">
        <v>0</v>
      </c>
      <c r="N42" s="329">
        <v>0</v>
      </c>
      <c r="O42" s="20">
        <f t="shared" si="1"/>
        <v>0.20719354838709678</v>
      </c>
      <c r="P42" s="33">
        <v>65071</v>
      </c>
      <c r="Q42" s="18">
        <v>5429</v>
      </c>
      <c r="R42" s="42" t="s">
        <v>701</v>
      </c>
      <c r="S42" s="25">
        <f t="shared" si="2"/>
        <v>34870.466999999997</v>
      </c>
      <c r="T42" s="641"/>
      <c r="U42" s="341">
        <v>205687</v>
      </c>
      <c r="V42" s="139"/>
      <c r="W42" s="139"/>
    </row>
    <row r="43" spans="1:25" s="71" customFormat="1" x14ac:dyDescent="0.2">
      <c r="A43" s="16" t="s">
        <v>602</v>
      </c>
      <c r="B43" s="18" t="s">
        <v>699</v>
      </c>
      <c r="C43" s="18" t="s">
        <v>693</v>
      </c>
      <c r="D43" s="19">
        <v>36464</v>
      </c>
      <c r="E43" s="19">
        <v>36860</v>
      </c>
      <c r="F43" s="42" t="s">
        <v>695</v>
      </c>
      <c r="G43" s="42" t="s">
        <v>702</v>
      </c>
      <c r="H43" s="18"/>
      <c r="I43" s="24">
        <f>6.423/I$1</f>
        <v>0.20719354838709678</v>
      </c>
      <c r="J43" s="20">
        <v>0</v>
      </c>
      <c r="K43" s="20">
        <v>0</v>
      </c>
      <c r="L43" s="20">
        <v>0</v>
      </c>
      <c r="M43" s="20">
        <v>0</v>
      </c>
      <c r="N43" s="329">
        <v>0</v>
      </c>
      <c r="O43" s="20">
        <f t="shared" si="1"/>
        <v>0.20719354838709678</v>
      </c>
      <c r="P43" s="33">
        <v>65071</v>
      </c>
      <c r="Q43" s="18">
        <v>1000</v>
      </c>
      <c r="R43" s="42" t="s">
        <v>701</v>
      </c>
      <c r="S43" s="25">
        <f t="shared" si="2"/>
        <v>6423</v>
      </c>
      <c r="T43" s="641"/>
      <c r="U43" s="341">
        <v>205687</v>
      </c>
      <c r="V43" s="139"/>
      <c r="W43" s="139"/>
    </row>
    <row r="44" spans="1:25" s="71" customFormat="1" x14ac:dyDescent="0.2">
      <c r="A44" s="16" t="s">
        <v>602</v>
      </c>
      <c r="B44" s="18" t="s">
        <v>699</v>
      </c>
      <c r="C44" s="18" t="s">
        <v>693</v>
      </c>
      <c r="D44" s="19">
        <v>36464</v>
      </c>
      <c r="E44" s="19">
        <v>36860</v>
      </c>
      <c r="F44" s="42" t="s">
        <v>695</v>
      </c>
      <c r="G44" s="42" t="s">
        <v>703</v>
      </c>
      <c r="H44" s="18"/>
      <c r="I44" s="24">
        <f>6.423/I$1</f>
        <v>0.20719354838709678</v>
      </c>
      <c r="J44" s="20">
        <v>0</v>
      </c>
      <c r="K44" s="20">
        <v>0</v>
      </c>
      <c r="L44" s="20">
        <v>0</v>
      </c>
      <c r="M44" s="20">
        <v>0</v>
      </c>
      <c r="N44" s="329">
        <v>0</v>
      </c>
      <c r="O44" s="20">
        <f t="shared" si="1"/>
        <v>0.20719354838709678</v>
      </c>
      <c r="P44" s="33">
        <v>65071</v>
      </c>
      <c r="Q44" s="18">
        <v>1000</v>
      </c>
      <c r="R44" s="42" t="s">
        <v>701</v>
      </c>
      <c r="S44" s="25">
        <f t="shared" si="2"/>
        <v>6423</v>
      </c>
      <c r="T44" s="641"/>
      <c r="U44" s="341">
        <v>205687</v>
      </c>
      <c r="V44" s="139"/>
      <c r="W44" s="139"/>
    </row>
    <row r="45" spans="1:25" s="71" customFormat="1" x14ac:dyDescent="0.2">
      <c r="A45" s="16" t="s">
        <v>602</v>
      </c>
      <c r="B45" s="18" t="s">
        <v>699</v>
      </c>
      <c r="C45" s="16" t="s">
        <v>1015</v>
      </c>
      <c r="D45" s="584">
        <v>36739</v>
      </c>
      <c r="E45" s="584">
        <v>36769</v>
      </c>
      <c r="F45" s="42" t="s">
        <v>695</v>
      </c>
      <c r="G45" s="42" t="s">
        <v>702</v>
      </c>
      <c r="H45" s="18"/>
      <c r="I45" s="24">
        <f>6.423/I$1</f>
        <v>0.20719354838709678</v>
      </c>
      <c r="J45" s="20">
        <v>0</v>
      </c>
      <c r="K45" s="20">
        <v>0</v>
      </c>
      <c r="L45" s="20">
        <v>0</v>
      </c>
      <c r="M45" s="20">
        <v>0</v>
      </c>
      <c r="N45" s="329">
        <v>0</v>
      </c>
      <c r="O45" s="20">
        <f t="shared" si="1"/>
        <v>0.20719354838709678</v>
      </c>
      <c r="P45" s="33">
        <v>65071</v>
      </c>
      <c r="Q45" s="150">
        <v>-394</v>
      </c>
      <c r="R45" s="16" t="s">
        <v>942</v>
      </c>
      <c r="S45" s="25">
        <f t="shared" si="2"/>
        <v>-2530.6619999999998</v>
      </c>
      <c r="T45" s="641"/>
      <c r="U45" s="341">
        <v>310503</v>
      </c>
      <c r="V45" s="139"/>
      <c r="W45" s="139"/>
    </row>
    <row r="46" spans="1:25" s="71" customFormat="1" x14ac:dyDescent="0.2">
      <c r="A46" s="16" t="s">
        <v>602</v>
      </c>
      <c r="B46" s="18" t="s">
        <v>699</v>
      </c>
      <c r="C46" s="18" t="s">
        <v>413</v>
      </c>
      <c r="D46" s="19">
        <v>36312</v>
      </c>
      <c r="E46" s="19">
        <v>37011</v>
      </c>
      <c r="F46" s="42" t="s">
        <v>1012</v>
      </c>
      <c r="G46" s="42" t="s">
        <v>1013</v>
      </c>
      <c r="H46" s="18" t="s">
        <v>707</v>
      </c>
      <c r="I46" s="24">
        <v>0.16</v>
      </c>
      <c r="J46" s="20"/>
      <c r="K46" s="20"/>
      <c r="L46" s="20"/>
      <c r="M46" s="20"/>
      <c r="N46" s="329"/>
      <c r="O46" s="20"/>
      <c r="P46" s="33">
        <v>65403</v>
      </c>
      <c r="Q46" s="18">
        <v>19293</v>
      </c>
      <c r="R46" s="16" t="s">
        <v>1014</v>
      </c>
      <c r="S46" s="25">
        <f t="shared" si="2"/>
        <v>95693.28</v>
      </c>
      <c r="T46" s="641">
        <f>0.16*30.417</f>
        <v>4.8667199999999999</v>
      </c>
      <c r="U46" s="341">
        <v>214854</v>
      </c>
      <c r="V46" s="16"/>
      <c r="W46" s="139"/>
      <c r="X46" s="139"/>
    </row>
    <row r="47" spans="1:25" s="220" customFormat="1" x14ac:dyDescent="0.2">
      <c r="A47" s="180" t="s">
        <v>602</v>
      </c>
      <c r="B47" s="362" t="s">
        <v>699</v>
      </c>
      <c r="C47" s="362" t="s">
        <v>1105</v>
      </c>
      <c r="D47" s="363">
        <v>36734</v>
      </c>
      <c r="E47" s="363">
        <v>36799</v>
      </c>
      <c r="F47" s="180" t="s">
        <v>680</v>
      </c>
      <c r="G47" s="180" t="s">
        <v>321</v>
      </c>
      <c r="H47" s="362" t="s">
        <v>1020</v>
      </c>
      <c r="I47" s="364">
        <f>1.0587/I1</f>
        <v>3.4151612903225805E-2</v>
      </c>
      <c r="J47" s="365">
        <v>1.32E-2</v>
      </c>
      <c r="K47" s="365">
        <v>2.2000000000000001E-3</v>
      </c>
      <c r="L47" s="365">
        <v>0</v>
      </c>
      <c r="M47" s="365">
        <v>0</v>
      </c>
      <c r="N47" s="555">
        <v>2.1160000000000002E-2</v>
      </c>
      <c r="O47" s="365">
        <f>SUM(I47:M47)</f>
        <v>4.9551612903225802E-2</v>
      </c>
      <c r="P47" s="556">
        <v>68972</v>
      </c>
      <c r="Q47" s="362">
        <v>1000</v>
      </c>
      <c r="R47" s="180" t="s">
        <v>1104</v>
      </c>
      <c r="S47" s="367">
        <f t="shared" si="2"/>
        <v>1058.7</v>
      </c>
      <c r="T47" s="367"/>
      <c r="U47" s="557">
        <v>346509</v>
      </c>
      <c r="V47" s="180" t="s">
        <v>1022</v>
      </c>
      <c r="W47" s="368"/>
      <c r="X47" s="368"/>
    </row>
    <row r="48" spans="1:25" s="241" customFormat="1" x14ac:dyDescent="0.2">
      <c r="A48" s="180" t="s">
        <v>602</v>
      </c>
      <c r="B48" s="362" t="s">
        <v>699</v>
      </c>
      <c r="C48" s="591" t="s">
        <v>413</v>
      </c>
      <c r="D48" s="591">
        <v>36739</v>
      </c>
      <c r="E48" s="592">
        <v>36769</v>
      </c>
      <c r="F48" s="592" t="s">
        <v>860</v>
      </c>
      <c r="G48" s="590" t="s">
        <v>861</v>
      </c>
      <c r="H48" s="590" t="s">
        <v>707</v>
      </c>
      <c r="I48" s="634">
        <f>0.47/I1</f>
        <v>1.5161290322580644E-2</v>
      </c>
      <c r="J48" s="593">
        <f>0.47/31</f>
        <v>1.5161290322580644E-2</v>
      </c>
      <c r="K48" s="594"/>
      <c r="L48" s="594"/>
      <c r="M48" s="594"/>
      <c r="N48" s="594"/>
      <c r="O48" s="631"/>
      <c r="P48" s="600">
        <v>68965</v>
      </c>
      <c r="Q48" s="362">
        <v>20000</v>
      </c>
      <c r="R48" s="591"/>
      <c r="S48" s="367">
        <f t="shared" si="2"/>
        <v>9400</v>
      </c>
      <c r="T48" s="599"/>
      <c r="U48" s="635">
        <v>346396</v>
      </c>
      <c r="V48" s="632"/>
      <c r="W48" s="590"/>
      <c r="X48" s="600"/>
      <c r="Y48" s="600"/>
    </row>
    <row r="49" spans="1:23" s="71" customFormat="1" x14ac:dyDescent="0.2">
      <c r="A49" s="16" t="s">
        <v>556</v>
      </c>
      <c r="B49" s="18" t="s">
        <v>699</v>
      </c>
      <c r="C49" s="18" t="s">
        <v>705</v>
      </c>
      <c r="D49" s="19">
        <v>36434</v>
      </c>
      <c r="E49" s="19">
        <v>36714</v>
      </c>
      <c r="F49" s="16" t="s">
        <v>704</v>
      </c>
      <c r="G49" s="16" t="s">
        <v>705</v>
      </c>
      <c r="H49" s="18"/>
      <c r="I49" s="24">
        <v>0</v>
      </c>
      <c r="J49" s="20">
        <v>0</v>
      </c>
      <c r="K49" s="20">
        <v>0</v>
      </c>
      <c r="L49" s="20">
        <v>0</v>
      </c>
      <c r="M49" s="20">
        <v>0</v>
      </c>
      <c r="N49" s="329">
        <v>0</v>
      </c>
      <c r="O49" s="20">
        <f t="shared" si="1"/>
        <v>0</v>
      </c>
      <c r="P49" s="33"/>
      <c r="Q49" s="18">
        <v>40000</v>
      </c>
      <c r="R49" s="16" t="s">
        <v>1011</v>
      </c>
      <c r="S49" s="25">
        <f t="shared" si="2"/>
        <v>0</v>
      </c>
      <c r="T49" s="25"/>
      <c r="U49" s="341"/>
      <c r="V49" s="139"/>
      <c r="W49" s="139"/>
    </row>
    <row r="50" spans="1:23" s="71" customFormat="1" x14ac:dyDescent="0.2">
      <c r="A50" s="16"/>
      <c r="B50" s="18"/>
      <c r="C50" s="18"/>
      <c r="D50" s="19"/>
      <c r="E50" s="19"/>
      <c r="F50" s="16"/>
      <c r="G50" s="16"/>
      <c r="H50" s="18"/>
      <c r="I50" s="24"/>
      <c r="J50" s="20"/>
      <c r="K50" s="20"/>
      <c r="L50" s="20"/>
      <c r="M50" s="20"/>
      <c r="N50" s="329"/>
      <c r="O50" s="20"/>
      <c r="P50" s="33"/>
      <c r="Q50" s="18"/>
      <c r="R50" s="16"/>
      <c r="S50" s="25"/>
      <c r="T50" s="25"/>
      <c r="U50" s="341"/>
      <c r="V50" s="139"/>
      <c r="W50" s="139"/>
    </row>
    <row r="51" spans="1:23" s="71" customFormat="1" x14ac:dyDescent="0.2">
      <c r="A51" s="16"/>
      <c r="B51" s="18"/>
      <c r="C51" s="18"/>
      <c r="D51" s="581"/>
      <c r="E51" s="19"/>
      <c r="F51" s="16"/>
      <c r="G51" s="16"/>
      <c r="H51" s="18"/>
      <c r="I51" s="24"/>
      <c r="J51" s="20"/>
      <c r="K51" s="20"/>
      <c r="L51" s="20"/>
      <c r="M51" s="20"/>
      <c r="N51" s="329"/>
      <c r="O51" s="20"/>
      <c r="P51" s="33"/>
      <c r="Q51" s="150">
        <f>SUM(Q36:Q50)</f>
        <v>126828</v>
      </c>
      <c r="R51" s="382" t="s">
        <v>715</v>
      </c>
      <c r="S51" s="523">
        <f>SUM(S35:S50)</f>
        <v>260593.785</v>
      </c>
      <c r="T51" s="25"/>
      <c r="U51" s="341"/>
      <c r="V51" s="139"/>
      <c r="W51" s="139"/>
    </row>
    <row r="52" spans="1:23" s="71" customFormat="1" x14ac:dyDescent="0.2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329"/>
      <c r="O52" s="20"/>
      <c r="P52" s="33"/>
      <c r="Q52" s="355"/>
      <c r="R52" s="382" t="s">
        <v>997</v>
      </c>
      <c r="S52" s="523">
        <f>SUM(S42:S45)</f>
        <v>45185.805</v>
      </c>
      <c r="T52" s="25"/>
      <c r="U52" s="341"/>
      <c r="V52" s="139"/>
      <c r="W52" s="139"/>
    </row>
    <row r="53" spans="1:23" s="71" customFormat="1" ht="13.5" thickBot="1" x14ac:dyDescent="0.25">
      <c r="A53" s="16"/>
      <c r="B53" s="18"/>
      <c r="C53" s="18"/>
      <c r="D53" s="19"/>
      <c r="E53" s="19"/>
      <c r="F53" s="16"/>
      <c r="G53" s="16"/>
      <c r="H53" s="18"/>
      <c r="I53" s="24"/>
      <c r="J53" s="20"/>
      <c r="K53" s="20"/>
      <c r="L53" s="20"/>
      <c r="M53" s="20"/>
      <c r="N53" s="329"/>
      <c r="O53" s="20"/>
      <c r="P53" s="33"/>
      <c r="Q53" s="355"/>
      <c r="R53" s="382" t="s">
        <v>998</v>
      </c>
      <c r="S53" s="524">
        <f>+S51-S52</f>
        <v>215407.98</v>
      </c>
      <c r="T53" s="25"/>
      <c r="U53" s="341"/>
      <c r="V53" s="139"/>
      <c r="W53" s="139"/>
    </row>
    <row r="54" spans="1:23" s="71" customFormat="1" ht="13.5" thickTop="1" x14ac:dyDescent="0.2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29"/>
      <c r="O54" s="20"/>
      <c r="P54" s="33"/>
      <c r="Q54" s="18"/>
      <c r="R54" s="16"/>
      <c r="S54" s="25"/>
      <c r="T54" s="25"/>
      <c r="U54" s="341"/>
      <c r="V54" s="139"/>
      <c r="W54" s="139"/>
    </row>
    <row r="55" spans="1:23" s="544" customFormat="1" x14ac:dyDescent="0.2">
      <c r="A55" s="537" t="s">
        <v>49</v>
      </c>
      <c r="B55" s="538" t="s">
        <v>50</v>
      </c>
      <c r="C55" s="538" t="s">
        <v>51</v>
      </c>
      <c r="D55" s="539" t="s">
        <v>52</v>
      </c>
      <c r="E55" s="539"/>
      <c r="F55" s="537" t="s">
        <v>53</v>
      </c>
      <c r="G55" s="537" t="s">
        <v>54</v>
      </c>
      <c r="H55" s="538" t="s">
        <v>706</v>
      </c>
      <c r="I55" s="540" t="s">
        <v>56</v>
      </c>
      <c r="J55" s="538" t="s">
        <v>57</v>
      </c>
      <c r="K55" s="538" t="s">
        <v>58</v>
      </c>
      <c r="L55" s="538" t="s">
        <v>59</v>
      </c>
      <c r="M55" s="538" t="s">
        <v>60</v>
      </c>
      <c r="N55" s="541" t="s">
        <v>62</v>
      </c>
      <c r="O55" s="538" t="s">
        <v>63</v>
      </c>
      <c r="P55" s="542" t="s">
        <v>674</v>
      </c>
      <c r="Q55" s="538" t="s">
        <v>65</v>
      </c>
      <c r="R55" s="537" t="s">
        <v>66</v>
      </c>
      <c r="S55" s="531" t="s">
        <v>675</v>
      </c>
      <c r="T55" s="531" t="s">
        <v>676</v>
      </c>
      <c r="U55" s="543" t="s">
        <v>677</v>
      </c>
      <c r="V55" s="534"/>
      <c r="W55" s="534"/>
    </row>
    <row r="56" spans="1:23" s="71" customFormat="1" x14ac:dyDescent="0.2">
      <c r="A56" s="16" t="s">
        <v>986</v>
      </c>
      <c r="B56" s="16" t="s">
        <v>911</v>
      </c>
      <c r="C56" s="18" t="s">
        <v>994</v>
      </c>
      <c r="D56" s="19">
        <v>36631</v>
      </c>
      <c r="E56" s="19">
        <v>36981</v>
      </c>
      <c r="F56" s="16" t="s">
        <v>769</v>
      </c>
      <c r="G56" s="16"/>
      <c r="H56" s="18" t="s">
        <v>995</v>
      </c>
      <c r="I56" s="24">
        <v>0.65</v>
      </c>
      <c r="J56" s="20">
        <v>0</v>
      </c>
      <c r="K56" s="20">
        <v>2.2000000000000001E-3</v>
      </c>
      <c r="L56" s="20">
        <v>7.1999999999999998E-3</v>
      </c>
      <c r="M56" s="20">
        <v>1.3100000000000001E-2</v>
      </c>
      <c r="N56" s="329">
        <v>0</v>
      </c>
      <c r="O56" s="20">
        <f>SUM(I56:M56)</f>
        <v>0.67249999999999999</v>
      </c>
      <c r="P56" s="33" t="s">
        <v>912</v>
      </c>
      <c r="Q56" s="18">
        <v>36000</v>
      </c>
      <c r="R56" s="42" t="s">
        <v>913</v>
      </c>
      <c r="S56" s="25">
        <f>+Q56*I56</f>
        <v>23400</v>
      </c>
      <c r="T56" s="25"/>
      <c r="U56" s="347">
        <v>247741</v>
      </c>
      <c r="V56" s="139"/>
      <c r="W56" s="139"/>
    </row>
    <row r="57" spans="1:23" s="71" customFormat="1" x14ac:dyDescent="0.2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329"/>
      <c r="O57" s="20"/>
      <c r="P57" s="294"/>
      <c r="Q57" s="18"/>
      <c r="R57" s="16"/>
      <c r="S57" s="25"/>
      <c r="T57" s="25"/>
      <c r="U57" s="347"/>
      <c r="V57" s="139"/>
      <c r="W57" s="139"/>
    </row>
    <row r="58" spans="1:23" s="71" customFormat="1" x14ac:dyDescent="0.2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329"/>
      <c r="O58" s="20"/>
      <c r="P58" s="294"/>
      <c r="Q58" s="150">
        <f>SUM(Q56:Q57)</f>
        <v>36000</v>
      </c>
      <c r="R58" s="382" t="s">
        <v>715</v>
      </c>
      <c r="S58" s="523">
        <f>SUM(S56:S57)</f>
        <v>23400</v>
      </c>
      <c r="T58" s="25"/>
      <c r="U58" s="347"/>
      <c r="V58" s="139"/>
      <c r="W58" s="139"/>
    </row>
    <row r="59" spans="1:23" s="71" customFormat="1" x14ac:dyDescent="0.2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329"/>
      <c r="O59" s="20"/>
      <c r="P59" s="294"/>
      <c r="Q59" s="355"/>
      <c r="R59" s="382" t="s">
        <v>997</v>
      </c>
      <c r="S59" s="523">
        <v>0</v>
      </c>
      <c r="T59" s="25"/>
      <c r="U59" s="347"/>
      <c r="V59" s="139"/>
      <c r="W59" s="139"/>
    </row>
    <row r="60" spans="1:23" s="71" customFormat="1" ht="13.5" thickBot="1" x14ac:dyDescent="0.25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29"/>
      <c r="O60" s="20"/>
      <c r="P60" s="294"/>
      <c r="Q60" s="355"/>
      <c r="R60" s="382" t="s">
        <v>998</v>
      </c>
      <c r="S60" s="536">
        <f>+S58-S59</f>
        <v>23400</v>
      </c>
      <c r="T60" s="25"/>
      <c r="U60" s="347"/>
      <c r="V60" s="139"/>
      <c r="W60" s="139"/>
    </row>
    <row r="61" spans="1:23" s="71" customFormat="1" ht="13.5" thickTop="1" x14ac:dyDescent="0.2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29"/>
      <c r="O61" s="20"/>
      <c r="P61" s="294"/>
      <c r="Q61" s="18"/>
      <c r="R61" s="16"/>
      <c r="S61" s="25"/>
      <c r="T61" s="25"/>
      <c r="U61" s="347"/>
      <c r="V61" s="139"/>
      <c r="W61" s="139"/>
    </row>
    <row r="62" spans="1:23" x14ac:dyDescent="0.2">
      <c r="A62" s="333" t="s">
        <v>49</v>
      </c>
      <c r="B62" s="334" t="s">
        <v>50</v>
      </c>
      <c r="C62" s="334" t="s">
        <v>51</v>
      </c>
      <c r="D62" s="335" t="s">
        <v>52</v>
      </c>
      <c r="E62" s="335"/>
      <c r="F62" s="333" t="s">
        <v>53</v>
      </c>
      <c r="G62" s="333" t="s">
        <v>54</v>
      </c>
      <c r="H62" s="334" t="s">
        <v>706</v>
      </c>
      <c r="I62" s="336" t="s">
        <v>56</v>
      </c>
      <c r="J62" s="334" t="s">
        <v>57</v>
      </c>
      <c r="K62" s="334" t="s">
        <v>58</v>
      </c>
      <c r="L62" s="334" t="s">
        <v>59</v>
      </c>
      <c r="M62" s="334" t="s">
        <v>60</v>
      </c>
      <c r="N62" s="337" t="s">
        <v>62</v>
      </c>
      <c r="O62" s="334" t="s">
        <v>63</v>
      </c>
      <c r="P62" s="338" t="s">
        <v>674</v>
      </c>
      <c r="Q62" s="334" t="s">
        <v>65</v>
      </c>
      <c r="R62" s="333" t="s">
        <v>66</v>
      </c>
      <c r="S62" s="291" t="s">
        <v>675</v>
      </c>
      <c r="T62" s="339" t="s">
        <v>676</v>
      </c>
      <c r="U62" s="340" t="s">
        <v>677</v>
      </c>
      <c r="V62" s="139"/>
      <c r="W62" s="139"/>
    </row>
    <row r="63" spans="1:23" s="71" customFormat="1" x14ac:dyDescent="0.2">
      <c r="A63" s="16" t="s">
        <v>67</v>
      </c>
      <c r="B63" s="18" t="s">
        <v>83</v>
      </c>
      <c r="C63" s="18" t="s">
        <v>83</v>
      </c>
      <c r="D63" s="19">
        <v>36100</v>
      </c>
      <c r="E63" s="19">
        <v>39022</v>
      </c>
      <c r="F63" s="16">
        <v>1</v>
      </c>
      <c r="G63" s="16">
        <v>2</v>
      </c>
      <c r="H63" s="18" t="s">
        <v>68</v>
      </c>
      <c r="I63" s="24">
        <f>(14.1123+0.2)/I$1</f>
        <v>0.46168709677419351</v>
      </c>
      <c r="J63" s="20">
        <v>5.4000000000000003E-3</v>
      </c>
      <c r="K63" s="20">
        <v>2.2000000000000001E-3</v>
      </c>
      <c r="L63" s="20">
        <v>7.4999999999999997E-3</v>
      </c>
      <c r="M63" s="20">
        <v>1.1999999999999999E-3</v>
      </c>
      <c r="N63" s="21">
        <v>7.0000000000000001E-3</v>
      </c>
      <c r="O63" s="20">
        <f>SUM(I63:M63)</f>
        <v>0.47798709677419349</v>
      </c>
      <c r="P63" s="33" t="s">
        <v>84</v>
      </c>
      <c r="Q63" s="18">
        <v>2017</v>
      </c>
      <c r="R63" s="16" t="s">
        <v>330</v>
      </c>
      <c r="S63" s="25">
        <f>I63*I$1*Q63</f>
        <v>28867.909099999997</v>
      </c>
      <c r="T63" s="25"/>
      <c r="U63" s="139">
        <v>77758</v>
      </c>
      <c r="V63" s="139"/>
    </row>
    <row r="64" spans="1:23" s="71" customFormat="1" x14ac:dyDescent="0.2">
      <c r="A64" s="16" t="s">
        <v>67</v>
      </c>
      <c r="B64" s="18" t="s">
        <v>83</v>
      </c>
      <c r="C64" s="18" t="s">
        <v>72</v>
      </c>
      <c r="D64" s="19">
        <v>36100</v>
      </c>
      <c r="E64" s="19">
        <v>39539</v>
      </c>
      <c r="F64" s="16" t="s">
        <v>85</v>
      </c>
      <c r="G64" s="16" t="s">
        <v>86</v>
      </c>
      <c r="H64" s="18" t="s">
        <v>47</v>
      </c>
      <c r="I64" s="24">
        <f>(8.5058)/I$1</f>
        <v>0.27438064516129035</v>
      </c>
      <c r="J64" s="20">
        <v>3.0000000000000001E-3</v>
      </c>
      <c r="K64" s="20">
        <v>2.2000000000000001E-3</v>
      </c>
      <c r="L64" s="20">
        <v>0</v>
      </c>
      <c r="M64" s="20">
        <v>6.9999999999999999E-4</v>
      </c>
      <c r="N64" s="21">
        <v>0</v>
      </c>
      <c r="O64" s="20">
        <f>SUM(I64:M64)</f>
        <v>0.28028064516129031</v>
      </c>
      <c r="P64" s="33" t="s">
        <v>87</v>
      </c>
      <c r="Q64" s="18">
        <v>35465</v>
      </c>
      <c r="R64" s="16" t="s">
        <v>331</v>
      </c>
      <c r="S64" s="25">
        <f>I64*I$1*Q64</f>
        <v>301658.19700000004</v>
      </c>
      <c r="T64" s="25"/>
      <c r="U64" s="139">
        <v>77729</v>
      </c>
      <c r="V64" s="139"/>
    </row>
    <row r="65" spans="1:23" s="71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1"/>
      <c r="O65" s="20"/>
      <c r="P65" s="33"/>
      <c r="Q65" s="18"/>
      <c r="R65" s="16"/>
      <c r="S65" s="25"/>
      <c r="T65" s="25"/>
      <c r="U65" s="139"/>
      <c r="V65" s="139"/>
    </row>
    <row r="66" spans="1:23" s="71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329"/>
      <c r="O66" s="20"/>
      <c r="P66" s="294"/>
      <c r="Q66" s="150">
        <f>SUM(Q63:Q65)</f>
        <v>37482</v>
      </c>
      <c r="R66" s="382" t="s">
        <v>715</v>
      </c>
      <c r="S66" s="523">
        <f>SUM(S63:S65)</f>
        <v>330526.10610000003</v>
      </c>
      <c r="T66" s="25"/>
      <c r="U66" s="347"/>
      <c r="V66" s="139"/>
      <c r="W66" s="139"/>
    </row>
    <row r="67" spans="1:23" s="71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329"/>
      <c r="O67" s="20"/>
      <c r="P67" s="294"/>
      <c r="Q67" s="355"/>
      <c r="R67" s="382" t="s">
        <v>997</v>
      </c>
      <c r="S67" s="523">
        <f>SUM(S64)</f>
        <v>301658.19700000004</v>
      </c>
      <c r="T67" s="25"/>
      <c r="U67" s="347"/>
      <c r="V67" s="139"/>
      <c r="W67" s="139"/>
    </row>
    <row r="68" spans="1:23" s="71" customFormat="1" ht="13.5" thickBo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29"/>
      <c r="O68" s="20"/>
      <c r="P68" s="294"/>
      <c r="Q68" s="355"/>
      <c r="R68" s="382" t="s">
        <v>998</v>
      </c>
      <c r="S68" s="536">
        <f>+S66-S67</f>
        <v>28867.90909999999</v>
      </c>
      <c r="T68" s="25"/>
      <c r="U68" s="347"/>
      <c r="V68" s="139"/>
      <c r="W68" s="139"/>
    </row>
    <row r="69" spans="1:23" s="71" customFormat="1" ht="13.5" thickTop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29"/>
      <c r="O69" s="20"/>
      <c r="P69" s="294"/>
      <c r="Q69" s="18"/>
      <c r="R69" s="16"/>
      <c r="S69" s="25"/>
      <c r="T69" s="25"/>
      <c r="U69" s="347"/>
      <c r="V69" s="139"/>
      <c r="W69" s="139"/>
    </row>
    <row r="70" spans="1:23" s="544" customFormat="1" x14ac:dyDescent="0.2">
      <c r="A70" s="537" t="s">
        <v>49</v>
      </c>
      <c r="B70" s="538" t="s">
        <v>50</v>
      </c>
      <c r="C70" s="538" t="s">
        <v>51</v>
      </c>
      <c r="D70" s="539" t="s">
        <v>52</v>
      </c>
      <c r="E70" s="539"/>
      <c r="F70" s="537" t="s">
        <v>53</v>
      </c>
      <c r="G70" s="537" t="s">
        <v>54</v>
      </c>
      <c r="H70" s="538" t="s">
        <v>55</v>
      </c>
      <c r="I70" s="540" t="s">
        <v>56</v>
      </c>
      <c r="J70" s="538" t="s">
        <v>57</v>
      </c>
      <c r="K70" s="538" t="s">
        <v>58</v>
      </c>
      <c r="L70" s="538" t="s">
        <v>59</v>
      </c>
      <c r="M70" s="538" t="s">
        <v>60</v>
      </c>
      <c r="N70" s="545" t="s">
        <v>62</v>
      </c>
      <c r="O70" s="538" t="s">
        <v>63</v>
      </c>
      <c r="P70" s="542" t="s">
        <v>64</v>
      </c>
      <c r="Q70" s="538" t="s">
        <v>65</v>
      </c>
      <c r="R70" s="537" t="s">
        <v>66</v>
      </c>
      <c r="S70" s="531" t="s">
        <v>634</v>
      </c>
      <c r="T70" s="531" t="s">
        <v>635</v>
      </c>
      <c r="U70" s="534"/>
      <c r="V70" s="534"/>
    </row>
    <row r="71" spans="1:23" s="71" customFormat="1" x14ac:dyDescent="0.2">
      <c r="A71" s="16" t="s">
        <v>67</v>
      </c>
      <c r="B71" s="18" t="s">
        <v>327</v>
      </c>
      <c r="C71" s="18" t="s">
        <v>88</v>
      </c>
      <c r="D71" s="19">
        <v>36100</v>
      </c>
      <c r="E71" s="19">
        <v>39387</v>
      </c>
      <c r="F71" s="16" t="s">
        <v>76</v>
      </c>
      <c r="G71" s="16" t="s">
        <v>328</v>
      </c>
      <c r="H71" s="18" t="s">
        <v>47</v>
      </c>
      <c r="I71" s="20">
        <f>6.1038/I$1</f>
        <v>0.19689677419354837</v>
      </c>
      <c r="J71" s="20">
        <v>1.2999999999999999E-3</v>
      </c>
      <c r="K71" s="20">
        <v>2.2000000000000001E-3</v>
      </c>
      <c r="L71" s="20">
        <v>0</v>
      </c>
      <c r="M71" s="20">
        <v>0</v>
      </c>
      <c r="N71" s="21">
        <v>0.02</v>
      </c>
      <c r="O71" s="20">
        <f>SUM(I71:M71)</f>
        <v>0.20039677419354837</v>
      </c>
      <c r="P71" s="33" t="s">
        <v>69</v>
      </c>
      <c r="Q71" s="18">
        <v>117</v>
      </c>
      <c r="R71" s="16" t="s">
        <v>329</v>
      </c>
      <c r="S71" s="130">
        <f>I71*I$1*Q71</f>
        <v>714.14459999999997</v>
      </c>
      <c r="T71" s="130"/>
      <c r="U71" s="139">
        <v>79923</v>
      </c>
      <c r="V71" s="139"/>
    </row>
    <row r="72" spans="1:23" s="71" customFormat="1" x14ac:dyDescent="0.2">
      <c r="A72" s="16" t="s">
        <v>67</v>
      </c>
      <c r="B72" s="18" t="s">
        <v>327</v>
      </c>
      <c r="C72" s="18" t="s">
        <v>88</v>
      </c>
      <c r="D72" s="19">
        <v>36465</v>
      </c>
      <c r="E72" s="19">
        <v>36831</v>
      </c>
      <c r="F72" s="16" t="s">
        <v>76</v>
      </c>
      <c r="G72" s="16" t="s">
        <v>328</v>
      </c>
      <c r="H72" s="18" t="s">
        <v>47</v>
      </c>
      <c r="I72" s="20">
        <f>6.1038/I$1</f>
        <v>0.19689677419354837</v>
      </c>
      <c r="J72" s="20">
        <v>1.2999999999999999E-3</v>
      </c>
      <c r="K72" s="20">
        <v>2.2000000000000001E-3</v>
      </c>
      <c r="L72" s="20">
        <v>0</v>
      </c>
      <c r="M72" s="20">
        <v>0</v>
      </c>
      <c r="N72" s="21">
        <v>0.02</v>
      </c>
      <c r="O72" s="20">
        <f>SUM(I72:M72)</f>
        <v>0.20039677419354837</v>
      </c>
      <c r="P72" s="33" t="s">
        <v>600</v>
      </c>
      <c r="Q72" s="18">
        <v>9189</v>
      </c>
      <c r="R72" s="16" t="s">
        <v>996</v>
      </c>
      <c r="S72" s="130">
        <f>I72*I$1*Q72</f>
        <v>56087.818199999994</v>
      </c>
      <c r="T72" s="130"/>
      <c r="U72" s="139"/>
      <c r="V72" s="139"/>
    </row>
    <row r="73" spans="1:23" s="220" customFormat="1" x14ac:dyDescent="0.2">
      <c r="A73" s="180" t="s">
        <v>67</v>
      </c>
      <c r="B73" s="362" t="s">
        <v>327</v>
      </c>
      <c r="C73" s="362" t="s">
        <v>88</v>
      </c>
      <c r="D73" s="363">
        <v>36700</v>
      </c>
      <c r="E73" s="363">
        <v>36769</v>
      </c>
      <c r="F73" s="180" t="s">
        <v>769</v>
      </c>
      <c r="G73" s="180" t="s">
        <v>328</v>
      </c>
      <c r="H73" s="362" t="s">
        <v>47</v>
      </c>
      <c r="I73" s="365">
        <v>0.75880000000000003</v>
      </c>
      <c r="J73" s="365">
        <v>1.2999999999999999E-3</v>
      </c>
      <c r="K73" s="365">
        <v>2.2000000000000001E-3</v>
      </c>
      <c r="L73" s="365">
        <v>0</v>
      </c>
      <c r="M73" s="365">
        <v>0</v>
      </c>
      <c r="N73" s="601">
        <v>0.02</v>
      </c>
      <c r="O73" s="365">
        <f>SUM(I73:M73)</f>
        <v>0.76229999999999998</v>
      </c>
      <c r="P73" s="556" t="s">
        <v>1065</v>
      </c>
      <c r="Q73" s="362">
        <v>33334</v>
      </c>
      <c r="R73" s="180" t="s">
        <v>1029</v>
      </c>
      <c r="S73" s="602">
        <f>I73*Q73</f>
        <v>25293.839200000002</v>
      </c>
      <c r="T73" s="602"/>
      <c r="U73" s="368">
        <v>316735</v>
      </c>
      <c r="V73" s="368"/>
    </row>
    <row r="74" spans="1:23" s="220" customFormat="1" x14ac:dyDescent="0.2">
      <c r="A74" s="180" t="s">
        <v>67</v>
      </c>
      <c r="B74" s="362" t="s">
        <v>327</v>
      </c>
      <c r="C74" s="362" t="s">
        <v>88</v>
      </c>
      <c r="D74" s="363">
        <v>36700</v>
      </c>
      <c r="E74" s="363">
        <v>36769</v>
      </c>
      <c r="F74" s="180" t="s">
        <v>769</v>
      </c>
      <c r="G74" s="180" t="s">
        <v>328</v>
      </c>
      <c r="H74" s="362" t="s">
        <v>47</v>
      </c>
      <c r="I74" s="365">
        <v>8.3199999999999996E-2</v>
      </c>
      <c r="J74" s="365">
        <v>1.2999999999999999E-3</v>
      </c>
      <c r="K74" s="365">
        <v>2.2000000000000001E-3</v>
      </c>
      <c r="L74" s="365">
        <v>0</v>
      </c>
      <c r="M74" s="365">
        <v>0</v>
      </c>
      <c r="N74" s="601">
        <v>0.02</v>
      </c>
      <c r="O74" s="365">
        <f>SUM(I74:M74)</f>
        <v>8.6699999999999985E-2</v>
      </c>
      <c r="P74" s="556" t="s">
        <v>1066</v>
      </c>
      <c r="Q74" s="362">
        <v>33334</v>
      </c>
      <c r="R74" s="180" t="s">
        <v>1029</v>
      </c>
      <c r="S74" s="602">
        <f>+I74*Q74</f>
        <v>2773.3887999999997</v>
      </c>
      <c r="T74" s="602"/>
      <c r="U74" s="368">
        <v>313315</v>
      </c>
      <c r="V74" s="368"/>
    </row>
    <row r="75" spans="1:23" s="71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1"/>
      <c r="O75" s="20"/>
      <c r="P75" s="33"/>
      <c r="Q75" s="18"/>
      <c r="R75" s="16"/>
      <c r="S75" s="25"/>
      <c r="T75" s="25">
        <f>SUM(T71:T74)</f>
        <v>0</v>
      </c>
      <c r="U75" s="139"/>
      <c r="V75" s="139"/>
    </row>
    <row r="76" spans="1:23" s="71" customFormat="1" x14ac:dyDescent="0.2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329"/>
      <c r="O76" s="20"/>
      <c r="P76" s="294"/>
      <c r="Q76" s="150">
        <f>SUM(Q71:Q75)</f>
        <v>75974</v>
      </c>
      <c r="R76" s="382" t="s">
        <v>715</v>
      </c>
      <c r="S76" s="523">
        <f>SUM(S71:S75)</f>
        <v>84869.190799999997</v>
      </c>
      <c r="T76" s="25"/>
      <c r="U76" s="347"/>
      <c r="V76" s="139"/>
      <c r="W76" s="139"/>
    </row>
    <row r="77" spans="1:23" s="71" customFormat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329"/>
      <c r="O77" s="20"/>
      <c r="P77" s="294"/>
      <c r="Q77" s="355"/>
      <c r="R77" s="382" t="s">
        <v>997</v>
      </c>
      <c r="S77" s="523">
        <f>SUM(S72)</f>
        <v>56087.818199999994</v>
      </c>
      <c r="T77" s="25"/>
      <c r="U77" s="347"/>
      <c r="V77" s="139"/>
      <c r="W77" s="139"/>
    </row>
    <row r="78" spans="1:23" s="71" customFormat="1" ht="13.5" thickBot="1" x14ac:dyDescent="0.25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329"/>
      <c r="O78" s="20"/>
      <c r="P78" s="294"/>
      <c r="Q78" s="355"/>
      <c r="R78" s="382" t="s">
        <v>998</v>
      </c>
      <c r="S78" s="536">
        <f>+S76-S77</f>
        <v>28781.372600000002</v>
      </c>
      <c r="T78" s="25"/>
      <c r="U78" s="347"/>
      <c r="V78" s="139"/>
      <c r="W78" s="139"/>
    </row>
    <row r="79" spans="1:23" s="71" customFormat="1" ht="13.5" thickTop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329"/>
      <c r="O79" s="20"/>
      <c r="P79" s="294"/>
      <c r="Q79" s="18"/>
      <c r="R79" s="16"/>
      <c r="S79" s="25"/>
      <c r="T79" s="25"/>
      <c r="U79" s="347"/>
      <c r="V79" s="139"/>
      <c r="W79" s="139"/>
    </row>
    <row r="80" spans="1:23" s="544" customFormat="1" x14ac:dyDescent="0.2">
      <c r="A80" s="537" t="s">
        <v>49</v>
      </c>
      <c r="B80" s="538" t="s">
        <v>50</v>
      </c>
      <c r="C80" s="538" t="s">
        <v>51</v>
      </c>
      <c r="D80" s="539" t="s">
        <v>52</v>
      </c>
      <c r="E80" s="539"/>
      <c r="F80" s="537" t="s">
        <v>53</v>
      </c>
      <c r="G80" s="537" t="s">
        <v>54</v>
      </c>
      <c r="H80" s="538" t="s">
        <v>55</v>
      </c>
      <c r="I80" s="540" t="s">
        <v>56</v>
      </c>
      <c r="J80" s="538" t="s">
        <v>57</v>
      </c>
      <c r="K80" s="538" t="s">
        <v>58</v>
      </c>
      <c r="L80" s="538" t="s">
        <v>59</v>
      </c>
      <c r="M80" s="538" t="s">
        <v>60</v>
      </c>
      <c r="N80" s="545" t="s">
        <v>62</v>
      </c>
      <c r="O80" s="538" t="s">
        <v>63</v>
      </c>
      <c r="P80" s="542" t="s">
        <v>64</v>
      </c>
      <c r="Q80" s="538" t="s">
        <v>65</v>
      </c>
      <c r="R80" s="537" t="s">
        <v>66</v>
      </c>
      <c r="S80" s="531" t="s">
        <v>634</v>
      </c>
      <c r="T80" s="531" t="s">
        <v>635</v>
      </c>
      <c r="U80" s="534"/>
      <c r="V80" s="534"/>
    </row>
    <row r="81" spans="1:23" s="71" customFormat="1" x14ac:dyDescent="0.2">
      <c r="A81" s="16" t="s">
        <v>67</v>
      </c>
      <c r="B81" s="18" t="s">
        <v>73</v>
      </c>
      <c r="C81" s="18" t="s">
        <v>72</v>
      </c>
      <c r="D81" s="19">
        <v>36342</v>
      </c>
      <c r="E81" s="19">
        <v>39539</v>
      </c>
      <c r="F81" s="16" t="s">
        <v>74</v>
      </c>
      <c r="G81" s="16" t="s">
        <v>75</v>
      </c>
      <c r="H81" s="18" t="s">
        <v>70</v>
      </c>
      <c r="I81" s="24">
        <f>(5.9+5.42)/I$1</f>
        <v>0.36516129032258066</v>
      </c>
      <c r="J81" s="20">
        <v>0</v>
      </c>
      <c r="K81" s="20">
        <v>2.2000000000000001E-3</v>
      </c>
      <c r="L81" s="20">
        <v>7.4999999999999997E-3</v>
      </c>
      <c r="M81" s="20">
        <v>0</v>
      </c>
      <c r="N81" s="292">
        <v>1.3100000000000001E-2</v>
      </c>
      <c r="O81" s="20">
        <f>SUM(I81:M81)</f>
        <v>0.37486129032258064</v>
      </c>
      <c r="P81" s="33">
        <v>29667</v>
      </c>
      <c r="Q81" s="18">
        <v>35000</v>
      </c>
      <c r="R81" s="585" t="s">
        <v>1032</v>
      </c>
      <c r="S81" s="638">
        <f>I81*$I$1*Q81</f>
        <v>396200</v>
      </c>
      <c r="T81" s="25"/>
      <c r="U81" s="139" t="s">
        <v>1119</v>
      </c>
      <c r="V81" s="139"/>
    </row>
    <row r="82" spans="1:23" s="71" customFormat="1" ht="12" customHeight="1" x14ac:dyDescent="0.2">
      <c r="A82" s="16" t="s">
        <v>491</v>
      </c>
      <c r="B82" s="18" t="s">
        <v>866</v>
      </c>
      <c r="C82" s="18" t="s">
        <v>428</v>
      </c>
      <c r="D82" s="19">
        <v>36617</v>
      </c>
      <c r="E82" s="19">
        <v>36829</v>
      </c>
      <c r="F82" s="16">
        <v>4</v>
      </c>
      <c r="G82" s="16">
        <v>6</v>
      </c>
      <c r="H82" s="18" t="s">
        <v>68</v>
      </c>
      <c r="I82" s="24">
        <f>0.76/I$1</f>
        <v>2.4516129032258065E-2</v>
      </c>
      <c r="J82" s="20">
        <v>0</v>
      </c>
      <c r="K82" s="20">
        <v>0</v>
      </c>
      <c r="L82" s="20">
        <v>0</v>
      </c>
      <c r="M82" s="20">
        <v>0</v>
      </c>
      <c r="N82" s="21">
        <v>1.01E-2</v>
      </c>
      <c r="O82" s="20">
        <f>SUM(I82:M82)</f>
        <v>2.4516129032258065E-2</v>
      </c>
      <c r="P82" s="33">
        <v>32958</v>
      </c>
      <c r="Q82" s="18">
        <v>5265</v>
      </c>
      <c r="R82" s="47" t="s">
        <v>47</v>
      </c>
      <c r="S82" s="638">
        <f>I82*$I$1*Q82</f>
        <v>4001.4</v>
      </c>
      <c r="T82" s="25"/>
      <c r="U82" s="139">
        <v>231270</v>
      </c>
      <c r="V82" s="139"/>
    </row>
    <row r="83" spans="1:23" s="71" customFormat="1" ht="12" customHeight="1" x14ac:dyDescent="0.2">
      <c r="A83" s="16" t="s">
        <v>491</v>
      </c>
      <c r="B83" s="18" t="s">
        <v>866</v>
      </c>
      <c r="C83" s="18" t="s">
        <v>428</v>
      </c>
      <c r="D83" s="19">
        <v>36617</v>
      </c>
      <c r="E83" s="19">
        <v>36646</v>
      </c>
      <c r="F83" s="16">
        <v>4</v>
      </c>
      <c r="G83" s="16">
        <v>6</v>
      </c>
      <c r="H83" s="18" t="s">
        <v>68</v>
      </c>
      <c r="I83" s="139">
        <f>0.6/I$1</f>
        <v>1.935483870967742E-2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>SUM(I83:M83)</f>
        <v>1.935483870967742E-2</v>
      </c>
      <c r="P83" s="33">
        <v>33072</v>
      </c>
      <c r="Q83" s="18">
        <v>5000</v>
      </c>
      <c r="R83" s="47" t="s">
        <v>47</v>
      </c>
      <c r="S83" s="638">
        <f>I83*$I$1*Q83</f>
        <v>3000</v>
      </c>
      <c r="T83" s="25"/>
      <c r="U83" s="139">
        <v>232900</v>
      </c>
      <c r="V83" s="139"/>
    </row>
    <row r="84" spans="1:23" s="71" customFormat="1" ht="12" customHeight="1" x14ac:dyDescent="0.2">
      <c r="A84" s="16" t="s">
        <v>491</v>
      </c>
      <c r="B84" s="18" t="s">
        <v>241</v>
      </c>
      <c r="C84" s="18" t="s">
        <v>428</v>
      </c>
      <c r="D84" s="19">
        <v>36526</v>
      </c>
      <c r="E84" s="19">
        <v>36556</v>
      </c>
      <c r="F84" s="16" t="s">
        <v>316</v>
      </c>
      <c r="G84" s="16" t="s">
        <v>315</v>
      </c>
      <c r="H84" s="18" t="s">
        <v>68</v>
      </c>
      <c r="I84" s="24">
        <v>0.1671</v>
      </c>
      <c r="J84" s="20">
        <v>7.6499999999999999E-2</v>
      </c>
      <c r="K84" s="20">
        <v>2.2000000000000001E-3</v>
      </c>
      <c r="L84" s="20">
        <v>7.4999999999999997E-3</v>
      </c>
      <c r="M84" s="20">
        <v>0</v>
      </c>
      <c r="N84" s="21">
        <v>1.2699999999999999E-2</v>
      </c>
      <c r="O84" s="20">
        <f>SUM(I84:M84)</f>
        <v>0.25329999999999997</v>
      </c>
      <c r="P84" s="33"/>
      <c r="Q84" s="18">
        <v>0</v>
      </c>
      <c r="R84" s="47" t="s">
        <v>47</v>
      </c>
      <c r="S84" s="638">
        <f>I84*$I$1*Q84</f>
        <v>0</v>
      </c>
      <c r="T84" s="25"/>
      <c r="U84" s="139"/>
      <c r="V84" s="139"/>
    </row>
    <row r="85" spans="1:23" s="71" customFormat="1" ht="12" customHeight="1" x14ac:dyDescent="0.2">
      <c r="A85" s="16" t="s">
        <v>491</v>
      </c>
      <c r="B85" s="18" t="s">
        <v>73</v>
      </c>
      <c r="C85" s="18" t="s">
        <v>602</v>
      </c>
      <c r="D85" s="19">
        <v>36708</v>
      </c>
      <c r="E85" s="19">
        <v>36830</v>
      </c>
      <c r="F85" s="16" t="s">
        <v>314</v>
      </c>
      <c r="G85" s="16" t="s">
        <v>316</v>
      </c>
      <c r="H85" s="18" t="s">
        <v>804</v>
      </c>
      <c r="I85" s="24">
        <f>0.61/$I$1</f>
        <v>1.9677419354838709E-2</v>
      </c>
      <c r="J85" s="20"/>
      <c r="K85" s="20"/>
      <c r="L85" s="20"/>
      <c r="M85" s="20"/>
      <c r="N85" s="21"/>
      <c r="O85" s="20"/>
      <c r="P85" s="33">
        <v>34226</v>
      </c>
      <c r="Q85" s="18">
        <v>2359</v>
      </c>
      <c r="R85" s="47"/>
      <c r="S85" s="638">
        <f>+Q85*0.6</f>
        <v>1415.3999999999999</v>
      </c>
      <c r="T85" s="25"/>
      <c r="U85" s="139" t="s">
        <v>1043</v>
      </c>
      <c r="V85" s="139"/>
    </row>
    <row r="86" spans="1:23" s="220" customFormat="1" ht="12" customHeight="1" x14ac:dyDescent="0.2">
      <c r="A86" s="180" t="s">
        <v>491</v>
      </c>
      <c r="B86" s="362" t="s">
        <v>73</v>
      </c>
      <c r="C86" s="362" t="s">
        <v>602</v>
      </c>
      <c r="D86" s="363">
        <v>36739</v>
      </c>
      <c r="E86" s="363">
        <v>36769</v>
      </c>
      <c r="F86" s="180">
        <v>1</v>
      </c>
      <c r="G86" s="180">
        <v>6</v>
      </c>
      <c r="H86" s="362" t="s">
        <v>867</v>
      </c>
      <c r="I86" s="364">
        <f>0.62/31</f>
        <v>0.02</v>
      </c>
      <c r="J86" s="365"/>
      <c r="K86" s="365"/>
      <c r="L86" s="365"/>
      <c r="M86" s="365"/>
      <c r="N86" s="601"/>
      <c r="O86" s="365"/>
      <c r="P86" s="556">
        <v>34422</v>
      </c>
      <c r="Q86" s="362">
        <v>2520</v>
      </c>
      <c r="R86" s="619"/>
      <c r="S86" s="639">
        <f>+Q86*0.6</f>
        <v>1512</v>
      </c>
      <c r="T86" s="367"/>
      <c r="U86" s="368" t="s">
        <v>1098</v>
      </c>
      <c r="V86" s="368"/>
    </row>
    <row r="87" spans="1:23" s="220" customFormat="1" ht="12" customHeight="1" x14ac:dyDescent="0.2">
      <c r="A87" s="180" t="s">
        <v>491</v>
      </c>
      <c r="B87" s="362" t="s">
        <v>73</v>
      </c>
      <c r="C87" s="362" t="s">
        <v>602</v>
      </c>
      <c r="D87" s="363">
        <v>36739</v>
      </c>
      <c r="E87" s="363">
        <v>36769</v>
      </c>
      <c r="F87" s="180">
        <v>1</v>
      </c>
      <c r="G87" s="180">
        <v>6</v>
      </c>
      <c r="H87" s="362" t="s">
        <v>867</v>
      </c>
      <c r="I87" s="364">
        <v>0.02</v>
      </c>
      <c r="J87" s="365"/>
      <c r="K87" s="365"/>
      <c r="L87" s="365"/>
      <c r="M87" s="365"/>
      <c r="N87" s="601"/>
      <c r="O87" s="365"/>
      <c r="P87" s="556">
        <v>34421</v>
      </c>
      <c r="Q87" s="362">
        <v>5280</v>
      </c>
      <c r="R87" s="619"/>
      <c r="S87" s="639">
        <f>+Q87*0.6</f>
        <v>3168</v>
      </c>
      <c r="T87" s="367"/>
      <c r="U87" s="368" t="s">
        <v>1099</v>
      </c>
      <c r="V87" s="368"/>
    </row>
    <row r="88" spans="1:23" s="220" customFormat="1" ht="12" customHeight="1" x14ac:dyDescent="0.2">
      <c r="A88" s="180" t="s">
        <v>491</v>
      </c>
      <c r="B88" s="362" t="s">
        <v>73</v>
      </c>
      <c r="C88" s="362" t="s">
        <v>602</v>
      </c>
      <c r="D88" s="363">
        <v>36739</v>
      </c>
      <c r="E88" s="363">
        <v>36769</v>
      </c>
      <c r="F88" s="180">
        <v>1</v>
      </c>
      <c r="G88" s="180">
        <v>6</v>
      </c>
      <c r="H88" s="362" t="s">
        <v>867</v>
      </c>
      <c r="I88" s="364">
        <v>0.02</v>
      </c>
      <c r="J88" s="365"/>
      <c r="K88" s="365"/>
      <c r="L88" s="365"/>
      <c r="M88" s="365"/>
      <c r="N88" s="601"/>
      <c r="O88" s="365"/>
      <c r="P88" s="556">
        <v>34425</v>
      </c>
      <c r="Q88" s="362">
        <v>5000</v>
      </c>
      <c r="R88" s="619"/>
      <c r="S88" s="639">
        <f>+Q88*0.6</f>
        <v>3000</v>
      </c>
      <c r="T88" s="367"/>
      <c r="U88" s="368" t="s">
        <v>1100</v>
      </c>
      <c r="V88" s="368"/>
    </row>
    <row r="89" spans="1:23" s="220" customFormat="1" ht="12" customHeight="1" x14ac:dyDescent="0.2">
      <c r="A89" s="180" t="s">
        <v>491</v>
      </c>
      <c r="B89" s="362" t="s">
        <v>73</v>
      </c>
      <c r="C89" s="362" t="s">
        <v>602</v>
      </c>
      <c r="D89" s="363">
        <v>36739</v>
      </c>
      <c r="E89" s="363">
        <v>36769</v>
      </c>
      <c r="F89" s="180">
        <v>1</v>
      </c>
      <c r="G89" s="180">
        <v>6</v>
      </c>
      <c r="H89" s="362" t="s">
        <v>867</v>
      </c>
      <c r="I89" s="364">
        <v>0.02</v>
      </c>
      <c r="J89" s="365"/>
      <c r="K89" s="365"/>
      <c r="L89" s="365"/>
      <c r="M89" s="365"/>
      <c r="N89" s="601"/>
      <c r="O89" s="365"/>
      <c r="P89" s="556">
        <v>34426</v>
      </c>
      <c r="Q89" s="362">
        <v>5331</v>
      </c>
      <c r="R89" s="619"/>
      <c r="S89" s="639">
        <f>+Q89*0.6</f>
        <v>3198.6</v>
      </c>
      <c r="T89" s="367"/>
      <c r="U89" s="368" t="s">
        <v>1101</v>
      </c>
      <c r="V89" s="368"/>
    </row>
    <row r="90" spans="1:23" s="220" customFormat="1" x14ac:dyDescent="0.2">
      <c r="A90" s="180" t="s">
        <v>491</v>
      </c>
      <c r="B90" s="362" t="s">
        <v>73</v>
      </c>
      <c r="C90" s="362" t="s">
        <v>1097</v>
      </c>
      <c r="D90" s="363">
        <v>36739</v>
      </c>
      <c r="E90" s="363">
        <v>36769</v>
      </c>
      <c r="F90" s="180" t="s">
        <v>820</v>
      </c>
      <c r="G90" s="180" t="s">
        <v>316</v>
      </c>
      <c r="H90" s="362" t="s">
        <v>734</v>
      </c>
      <c r="I90" s="364">
        <f>0.62/31</f>
        <v>0.02</v>
      </c>
      <c r="J90" s="365"/>
      <c r="K90" s="365"/>
      <c r="L90" s="365"/>
      <c r="M90" s="365"/>
      <c r="N90" s="601"/>
      <c r="O90" s="365"/>
      <c r="P90" s="556">
        <v>34410</v>
      </c>
      <c r="Q90" s="362">
        <v>3345</v>
      </c>
      <c r="R90" s="180"/>
      <c r="S90" s="640">
        <f>I90*I$1*Q90</f>
        <v>2073.9</v>
      </c>
      <c r="T90" s="367"/>
      <c r="U90" s="368">
        <v>347108</v>
      </c>
      <c r="V90" s="368"/>
    </row>
    <row r="91" spans="1:23" s="99" customFormat="1" x14ac:dyDescent="0.2">
      <c r="A91" s="382" t="s">
        <v>47</v>
      </c>
      <c r="B91" s="150" t="s">
        <v>47</v>
      </c>
      <c r="C91" s="150" t="s">
        <v>47</v>
      </c>
      <c r="D91" s="383" t="s">
        <v>47</v>
      </c>
      <c r="E91" s="383" t="s">
        <v>47</v>
      </c>
      <c r="F91" s="382" t="s">
        <v>47</v>
      </c>
      <c r="G91" s="382" t="s">
        <v>47</v>
      </c>
      <c r="H91" s="150" t="s">
        <v>47</v>
      </c>
      <c r="I91" s="384" t="s">
        <v>47</v>
      </c>
      <c r="J91" s="32" t="s">
        <v>47</v>
      </c>
      <c r="K91" s="32" t="s">
        <v>47</v>
      </c>
      <c r="L91" s="32" t="s">
        <v>47</v>
      </c>
      <c r="M91" s="32" t="s">
        <v>48</v>
      </c>
      <c r="N91" s="292" t="s">
        <v>47</v>
      </c>
      <c r="O91" s="32" t="s">
        <v>47</v>
      </c>
      <c r="P91" s="350" t="s">
        <v>47</v>
      </c>
      <c r="Q91" s="150" t="s">
        <v>47</v>
      </c>
      <c r="R91" s="382" t="s">
        <v>47</v>
      </c>
      <c r="S91" s="41"/>
      <c r="T91" s="41">
        <f>SUM(T80:T90)</f>
        <v>0</v>
      </c>
      <c r="U91" s="138"/>
      <c r="V91" s="138"/>
    </row>
    <row r="92" spans="1:23" s="99" customFormat="1" x14ac:dyDescent="0.2">
      <c r="A92" s="382"/>
      <c r="B92" s="150"/>
      <c r="C92" s="150">
        <f>65000/12</f>
        <v>5416.666666666667</v>
      </c>
      <c r="D92" s="383"/>
      <c r="E92" s="383"/>
      <c r="F92" s="382"/>
      <c r="G92" s="382"/>
      <c r="H92" s="150"/>
      <c r="I92" s="384"/>
      <c r="J92" s="32"/>
      <c r="K92" s="32"/>
      <c r="L92" s="32"/>
      <c r="M92" s="32"/>
      <c r="N92" s="521"/>
      <c r="O92" s="32"/>
      <c r="P92" s="546"/>
      <c r="Q92" s="150">
        <f>SUM(Q81:Q91)</f>
        <v>69100</v>
      </c>
      <c r="R92" s="382" t="s">
        <v>715</v>
      </c>
      <c r="S92" s="523">
        <f>SUM(S81:S91)</f>
        <v>417569.30000000005</v>
      </c>
      <c r="T92" s="41"/>
      <c r="U92" s="354"/>
      <c r="V92" s="138"/>
      <c r="W92" s="138"/>
    </row>
    <row r="93" spans="1:23" s="71" customFormat="1" x14ac:dyDescent="0.2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329"/>
      <c r="O93" s="20"/>
      <c r="P93" s="294"/>
      <c r="Q93" s="355"/>
      <c r="R93" s="382" t="s">
        <v>997</v>
      </c>
      <c r="S93" s="523">
        <f>SUM(S81)</f>
        <v>396200</v>
      </c>
      <c r="T93" s="25"/>
      <c r="U93" s="347"/>
      <c r="V93" s="139"/>
      <c r="W93" s="139"/>
    </row>
    <row r="94" spans="1:23" s="71" customFormat="1" ht="13.5" thickBot="1" x14ac:dyDescent="0.25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329"/>
      <c r="O94" s="20"/>
      <c r="P94" s="294"/>
      <c r="Q94" s="355"/>
      <c r="R94" s="382" t="s">
        <v>998</v>
      </c>
      <c r="S94" s="536">
        <f>+S92-S93</f>
        <v>21369.300000000047</v>
      </c>
      <c r="T94" s="25"/>
      <c r="U94" s="347"/>
      <c r="V94" s="139"/>
      <c r="W94" s="139"/>
    </row>
    <row r="95" spans="1:23" s="71" customFormat="1" ht="13.5" thickTop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329"/>
      <c r="O95" s="20"/>
      <c r="P95" s="294"/>
      <c r="Q95" s="18"/>
      <c r="R95" s="16"/>
      <c r="S95" s="25"/>
      <c r="T95" s="25"/>
      <c r="U95" s="347"/>
      <c r="V95" s="139"/>
      <c r="W95" s="139"/>
    </row>
    <row r="96" spans="1:23" s="544" customFormat="1" x14ac:dyDescent="0.2">
      <c r="A96" s="537" t="s">
        <v>49</v>
      </c>
      <c r="B96" s="538" t="s">
        <v>50</v>
      </c>
      <c r="C96" s="538" t="s">
        <v>51</v>
      </c>
      <c r="D96" s="539" t="s">
        <v>52</v>
      </c>
      <c r="E96" s="539"/>
      <c r="F96" s="537" t="s">
        <v>53</v>
      </c>
      <c r="G96" s="537" t="s">
        <v>54</v>
      </c>
      <c r="H96" s="538" t="s">
        <v>55</v>
      </c>
      <c r="I96" s="540" t="s">
        <v>56</v>
      </c>
      <c r="J96" s="538" t="s">
        <v>57</v>
      </c>
      <c r="K96" s="538" t="s">
        <v>58</v>
      </c>
      <c r="L96" s="538" t="s">
        <v>59</v>
      </c>
      <c r="M96" s="538" t="s">
        <v>60</v>
      </c>
      <c r="N96" s="538" t="s">
        <v>61</v>
      </c>
      <c r="O96" s="538" t="s">
        <v>63</v>
      </c>
      <c r="P96" s="542" t="s">
        <v>64</v>
      </c>
      <c r="Q96" s="538" t="s">
        <v>65</v>
      </c>
      <c r="R96" s="537" t="s">
        <v>66</v>
      </c>
      <c r="S96" s="547" t="s">
        <v>634</v>
      </c>
      <c r="T96" s="531" t="s">
        <v>635</v>
      </c>
      <c r="U96" s="534"/>
      <c r="V96" s="534"/>
    </row>
    <row r="97" spans="1:23" x14ac:dyDescent="0.2">
      <c r="A97" s="16" t="s">
        <v>491</v>
      </c>
      <c r="B97" s="17" t="s">
        <v>663</v>
      </c>
      <c r="C97" s="18" t="s">
        <v>863</v>
      </c>
      <c r="D97" s="19">
        <v>36647</v>
      </c>
      <c r="E97" s="19">
        <v>36830</v>
      </c>
      <c r="F97" s="42" t="s">
        <v>864</v>
      </c>
      <c r="G97" s="42" t="s">
        <v>928</v>
      </c>
      <c r="H97" s="17" t="s">
        <v>867</v>
      </c>
      <c r="I97" s="24">
        <f>1.38/I$1</f>
        <v>4.4516129032258059E-2</v>
      </c>
      <c r="J97" s="20"/>
      <c r="K97" s="20"/>
      <c r="L97" s="20"/>
      <c r="M97" s="20"/>
      <c r="N97" s="20"/>
      <c r="O97" s="20"/>
      <c r="P97" s="518" t="s">
        <v>929</v>
      </c>
      <c r="Q97" s="18">
        <v>10000</v>
      </c>
      <c r="R97" s="16" t="s">
        <v>930</v>
      </c>
      <c r="S97" s="25">
        <f>I97*$I$1*Q97</f>
        <v>13799.999999999998</v>
      </c>
      <c r="T97" s="25"/>
      <c r="U97" s="139">
        <v>253067</v>
      </c>
      <c r="V97" s="139"/>
      <c r="W97" s="34"/>
    </row>
    <row r="98" spans="1:23" x14ac:dyDescent="0.2">
      <c r="A98" s="16" t="s">
        <v>491</v>
      </c>
      <c r="B98" s="17" t="s">
        <v>663</v>
      </c>
      <c r="C98" s="18" t="s">
        <v>863</v>
      </c>
      <c r="D98" s="19">
        <v>36678</v>
      </c>
      <c r="E98" s="19">
        <v>36830</v>
      </c>
      <c r="F98" s="42" t="s">
        <v>864</v>
      </c>
      <c r="G98" s="42" t="s">
        <v>928</v>
      </c>
      <c r="H98" s="17" t="s">
        <v>867</v>
      </c>
      <c r="I98" s="24">
        <f>2.05/I$1</f>
        <v>6.6129032258064505E-2</v>
      </c>
      <c r="J98" s="20"/>
      <c r="K98" s="20"/>
      <c r="L98" s="20"/>
      <c r="M98" s="20"/>
      <c r="N98" s="20"/>
      <c r="O98" s="20"/>
      <c r="P98" s="518" t="s">
        <v>1016</v>
      </c>
      <c r="Q98" s="18">
        <v>6500</v>
      </c>
      <c r="R98" s="16" t="s">
        <v>1017</v>
      </c>
      <c r="S98" s="25">
        <f>I98*$I$1*Q98</f>
        <v>13324.999999999998</v>
      </c>
      <c r="T98" s="25"/>
      <c r="U98" s="139">
        <v>282594</v>
      </c>
      <c r="V98" s="139"/>
      <c r="W98" s="34"/>
    </row>
    <row r="99" spans="1:23" x14ac:dyDescent="0.2">
      <c r="N99" s="34"/>
      <c r="P99" s="71"/>
      <c r="Q99" s="71"/>
      <c r="S99" s="519"/>
      <c r="W99" s="34"/>
    </row>
    <row r="100" spans="1:23" s="99" customFormat="1" x14ac:dyDescent="0.2">
      <c r="A100" s="382"/>
      <c r="B100" s="150"/>
      <c r="C100" s="150"/>
      <c r="D100" s="383"/>
      <c r="E100" s="383"/>
      <c r="F100" s="382"/>
      <c r="G100" s="382"/>
      <c r="H100" s="150"/>
      <c r="I100" s="384"/>
      <c r="J100" s="32"/>
      <c r="K100" s="32"/>
      <c r="L100" s="32"/>
      <c r="M100" s="32"/>
      <c r="N100" s="521"/>
      <c r="O100" s="32"/>
      <c r="P100" s="546"/>
      <c r="Q100" s="150">
        <f>SUM(Q98:Q99)</f>
        <v>6500</v>
      </c>
      <c r="R100" s="382" t="s">
        <v>715</v>
      </c>
      <c r="S100" s="523">
        <f>SUM(S97:S99)</f>
        <v>27124.999999999996</v>
      </c>
      <c r="T100" s="41"/>
      <c r="U100" s="354"/>
      <c r="V100" s="138"/>
      <c r="W100" s="138"/>
    </row>
    <row r="101" spans="1:23" s="71" customFormat="1" x14ac:dyDescent="0.2">
      <c r="A101" s="16"/>
      <c r="B101" s="18"/>
      <c r="C101" s="18"/>
      <c r="D101" s="19"/>
      <c r="E101" s="19"/>
      <c r="F101" s="16"/>
      <c r="G101" s="16"/>
      <c r="H101" s="18"/>
      <c r="I101" s="24"/>
      <c r="J101" s="20"/>
      <c r="K101" s="20"/>
      <c r="L101" s="20"/>
      <c r="M101" s="20"/>
      <c r="N101" s="329"/>
      <c r="O101" s="20"/>
      <c r="P101" s="294"/>
      <c r="Q101" s="355"/>
      <c r="R101" s="382" t="s">
        <v>997</v>
      </c>
      <c r="S101" s="523">
        <v>0</v>
      </c>
      <c r="T101" s="25"/>
      <c r="U101" s="347"/>
      <c r="V101" s="139"/>
      <c r="W101" s="139"/>
    </row>
    <row r="102" spans="1:23" s="71" customFormat="1" ht="13.5" thickBot="1" x14ac:dyDescent="0.25">
      <c r="A102" s="16"/>
      <c r="B102" s="18"/>
      <c r="C102" s="18"/>
      <c r="D102" s="19"/>
      <c r="E102" s="19"/>
      <c r="F102" s="16"/>
      <c r="G102" s="16"/>
      <c r="H102" s="18"/>
      <c r="I102" s="24"/>
      <c r="J102" s="20"/>
      <c r="K102" s="20"/>
      <c r="L102" s="20"/>
      <c r="M102" s="20"/>
      <c r="N102" s="329"/>
      <c r="O102" s="20"/>
      <c r="P102" s="294"/>
      <c r="Q102" s="355"/>
      <c r="R102" s="382" t="s">
        <v>998</v>
      </c>
      <c r="S102" s="524">
        <f>+S100-S101</f>
        <v>27124.999999999996</v>
      </c>
      <c r="T102" s="25"/>
      <c r="U102" s="347"/>
      <c r="V102" s="139"/>
      <c r="W102" s="139"/>
    </row>
    <row r="103" spans="1:23" s="71" customFormat="1" ht="13.5" thickTop="1" x14ac:dyDescent="0.2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329"/>
      <c r="O103" s="20"/>
      <c r="P103" s="294"/>
      <c r="Q103" s="18"/>
      <c r="R103" s="16"/>
      <c r="S103" s="25"/>
      <c r="T103" s="25"/>
      <c r="U103" s="347"/>
      <c r="V103" s="139"/>
      <c r="W103" s="139"/>
    </row>
    <row r="104" spans="1:23" x14ac:dyDescent="0.2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32"/>
      <c r="L104" s="20"/>
      <c r="M104" s="20"/>
      <c r="N104" s="329"/>
      <c r="O104" s="20"/>
      <c r="P104" s="350"/>
      <c r="Q104" s="355"/>
      <c r="R104" s="150"/>
      <c r="S104" s="548"/>
      <c r="T104" s="41"/>
      <c r="U104" s="341"/>
      <c r="V104" s="139"/>
      <c r="W104" s="139"/>
    </row>
    <row r="105" spans="1:23" x14ac:dyDescent="0.2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32"/>
      <c r="L105" s="20"/>
      <c r="M105" s="20"/>
      <c r="N105" s="348"/>
      <c r="O105" s="20"/>
      <c r="P105" s="350"/>
      <c r="Q105" s="150"/>
      <c r="R105" s="150"/>
      <c r="S105" s="99"/>
      <c r="T105" s="69"/>
      <c r="V105" s="349"/>
      <c r="W105" s="349"/>
    </row>
    <row r="106" spans="1:23" x14ac:dyDescent="0.2">
      <c r="A106" s="16"/>
      <c r="B106" s="18"/>
      <c r="C106" s="18"/>
      <c r="D106" s="19" t="s">
        <v>47</v>
      </c>
      <c r="E106" s="19"/>
      <c r="F106" s="16"/>
      <c r="G106" s="16"/>
      <c r="H106" s="18"/>
      <c r="I106" s="24"/>
      <c r="J106" s="20"/>
      <c r="K106" s="32"/>
      <c r="L106" s="20"/>
      <c r="M106" s="20"/>
      <c r="N106" s="329"/>
      <c r="O106" s="20"/>
      <c r="P106" s="350"/>
      <c r="Q106" s="46"/>
      <c r="R106" s="351" t="s">
        <v>1023</v>
      </c>
      <c r="S106" s="352">
        <f>SUM(S18,S30,S51,S58,S66,S76,S92,S100)</f>
        <v>1172513.65194361</v>
      </c>
      <c r="T106" s="353"/>
      <c r="U106" s="354"/>
      <c r="V106" s="138"/>
      <c r="W106" s="138"/>
    </row>
    <row r="107" spans="1:23" x14ac:dyDescent="0.2">
      <c r="A107" s="40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329"/>
      <c r="O107" s="20"/>
      <c r="P107" s="350"/>
      <c r="Q107" s="355"/>
      <c r="R107" s="41" t="s">
        <v>1024</v>
      </c>
      <c r="S107" s="352">
        <f>SUM(S19,S31,S52,S59,S67,S77,S93,S101)</f>
        <v>799131.82019999996</v>
      </c>
      <c r="T107" s="41"/>
      <c r="U107" s="330"/>
      <c r="V107" s="138"/>
      <c r="W107" s="138"/>
    </row>
    <row r="108" spans="1:23" ht="13.5" thickBot="1" x14ac:dyDescent="0.25">
      <c r="A108" s="40"/>
      <c r="B108" s="18"/>
      <c r="C108" s="18"/>
      <c r="D108" s="19"/>
      <c r="E108" s="19"/>
      <c r="F108" s="16"/>
      <c r="G108" s="16"/>
      <c r="H108" s="18"/>
      <c r="I108" s="20"/>
      <c r="J108" s="20"/>
      <c r="K108" s="20"/>
      <c r="L108" s="20"/>
      <c r="M108" s="20"/>
      <c r="N108" s="329"/>
      <c r="O108" s="20"/>
      <c r="P108" s="350"/>
      <c r="Q108" s="355"/>
      <c r="R108" s="41" t="s">
        <v>998</v>
      </c>
      <c r="S108" s="571">
        <f>SUM(S20,S32,S53,S60,S68,S78,S94,S102)</f>
        <v>373381.83174361003</v>
      </c>
      <c r="T108" s="41"/>
      <c r="U108" s="330"/>
      <c r="V108" s="138"/>
      <c r="W108" s="138"/>
    </row>
    <row r="109" spans="1:23" ht="13.5" thickTop="1" x14ac:dyDescent="0.2">
      <c r="A109" s="40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329"/>
      <c r="O109" s="20"/>
      <c r="P109" s="350"/>
      <c r="Q109" s="355"/>
      <c r="R109" s="41"/>
      <c r="S109" s="41"/>
      <c r="T109" s="41"/>
      <c r="U109" s="330"/>
      <c r="V109" s="138"/>
      <c r="W109" s="138"/>
    </row>
    <row r="110" spans="1:23" x14ac:dyDescent="0.2">
      <c r="A110" s="40"/>
      <c r="B110" s="18"/>
      <c r="C110" s="18"/>
      <c r="D110" s="19"/>
      <c r="E110" s="19"/>
      <c r="F110" s="16"/>
      <c r="G110" s="16"/>
      <c r="H110" s="18"/>
      <c r="I110" s="20"/>
      <c r="J110" s="20"/>
      <c r="K110" s="20"/>
      <c r="L110" s="20"/>
      <c r="M110" s="20"/>
      <c r="N110" s="329"/>
      <c r="O110" s="20"/>
      <c r="P110" s="350"/>
      <c r="Q110" s="355"/>
      <c r="R110" s="41"/>
      <c r="S110" s="41"/>
      <c r="T110" s="41"/>
      <c r="U110" s="330"/>
      <c r="V110" s="138"/>
      <c r="W110" s="138"/>
    </row>
    <row r="111" spans="1:23" x14ac:dyDescent="0.2">
      <c r="A111" s="40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329"/>
      <c r="O111" s="20"/>
      <c r="P111" s="350"/>
      <c r="Q111" s="355"/>
      <c r="R111" s="41"/>
      <c r="S111" s="41"/>
      <c r="T111" s="41"/>
      <c r="U111" s="330"/>
      <c r="V111" s="138"/>
      <c r="W111" s="138"/>
    </row>
    <row r="112" spans="1:23" x14ac:dyDescent="0.2">
      <c r="A112" s="40"/>
      <c r="B112" s="18"/>
      <c r="C112" s="18"/>
      <c r="D112" s="19"/>
      <c r="E112" s="19"/>
      <c r="F112" s="16"/>
      <c r="G112" s="16"/>
      <c r="H112" s="18"/>
      <c r="I112" s="20"/>
      <c r="J112" s="20"/>
      <c r="K112" s="20"/>
      <c r="L112" s="20"/>
      <c r="M112" s="20"/>
      <c r="N112" s="329"/>
      <c r="O112" s="20"/>
      <c r="P112" s="350"/>
      <c r="Q112" s="355"/>
      <c r="R112" s="41"/>
      <c r="S112" s="41"/>
      <c r="T112" s="41"/>
      <c r="U112" s="330"/>
      <c r="V112" s="138"/>
      <c r="W112" s="138"/>
    </row>
    <row r="113" spans="1:23" x14ac:dyDescent="0.2">
      <c r="A113" s="40"/>
      <c r="B113" s="18"/>
      <c r="C113" s="18"/>
      <c r="D113" s="19"/>
      <c r="E113" s="19"/>
      <c r="F113" s="16"/>
      <c r="G113" s="16"/>
      <c r="H113" s="18"/>
      <c r="I113" s="20"/>
      <c r="J113" s="20"/>
      <c r="K113" s="20"/>
      <c r="L113" s="20"/>
      <c r="M113" s="20"/>
      <c r="N113" s="329"/>
      <c r="O113" s="20"/>
      <c r="P113" s="350"/>
      <c r="Q113" s="355"/>
      <c r="R113" s="41"/>
      <c r="S113" s="41"/>
      <c r="T113" s="41"/>
      <c r="U113" s="330"/>
      <c r="V113" s="150"/>
      <c r="W113" s="138"/>
    </row>
    <row r="114" spans="1:23" x14ac:dyDescent="0.2">
      <c r="A114" s="40"/>
      <c r="B114" s="18"/>
      <c r="C114" s="18"/>
      <c r="D114" s="19"/>
      <c r="E114" s="19"/>
      <c r="F114" s="16"/>
      <c r="G114" s="16"/>
      <c r="H114" s="18"/>
      <c r="I114" s="20"/>
      <c r="J114" s="20"/>
      <c r="K114" s="20"/>
      <c r="L114" s="20"/>
      <c r="M114" s="20"/>
      <c r="N114" s="329"/>
      <c r="O114" s="20"/>
      <c r="P114" s="350"/>
      <c r="Q114" s="355"/>
      <c r="R114" s="41"/>
      <c r="S114" s="41"/>
      <c r="T114" s="41"/>
      <c r="U114" s="330"/>
      <c r="V114" s="138"/>
      <c r="W114" s="138"/>
    </row>
    <row r="115" spans="1:23" x14ac:dyDescent="0.2">
      <c r="A115" s="40"/>
      <c r="B115" s="18"/>
      <c r="C115" s="18"/>
      <c r="D115" s="19"/>
      <c r="E115" s="19"/>
      <c r="F115" s="16"/>
      <c r="G115" s="16"/>
      <c r="H115" s="18"/>
      <c r="I115" s="20"/>
      <c r="J115" s="20"/>
      <c r="K115" s="20"/>
      <c r="L115" s="20"/>
      <c r="M115" s="20"/>
      <c r="N115" s="329"/>
      <c r="O115" s="20"/>
      <c r="P115" s="350"/>
      <c r="Q115" s="355"/>
      <c r="R115" s="41"/>
      <c r="S115" s="41"/>
      <c r="T115" s="41"/>
      <c r="U115" s="330"/>
      <c r="V115" s="138"/>
      <c r="W115" s="138"/>
    </row>
    <row r="116" spans="1:23" x14ac:dyDescent="0.2">
      <c r="A116" s="40"/>
      <c r="B116" s="18"/>
      <c r="C116" s="18"/>
      <c r="D116" s="19"/>
      <c r="E116" s="19"/>
      <c r="F116" s="16"/>
      <c r="G116" s="16"/>
      <c r="H116" s="18"/>
      <c r="I116" s="24"/>
      <c r="J116" s="20"/>
      <c r="K116" s="20"/>
      <c r="L116" s="20"/>
      <c r="M116" s="20"/>
      <c r="N116" s="329"/>
      <c r="O116" s="20"/>
      <c r="P116" s="350"/>
      <c r="Q116" s="355"/>
      <c r="R116" s="150"/>
      <c r="S116" s="41"/>
      <c r="T116" s="41"/>
      <c r="U116" s="330"/>
      <c r="V116" s="138"/>
      <c r="W116" s="138"/>
    </row>
    <row r="117" spans="1:23" x14ac:dyDescent="0.2">
      <c r="A117" s="40"/>
      <c r="B117" s="18"/>
      <c r="C117" s="18"/>
      <c r="D117" s="19"/>
      <c r="E117" s="19"/>
      <c r="F117" s="16"/>
      <c r="G117" s="16"/>
      <c r="H117" s="18"/>
      <c r="I117" s="24"/>
      <c r="J117" s="20"/>
      <c r="K117" s="20"/>
      <c r="L117" s="20"/>
      <c r="M117" s="20"/>
      <c r="N117" s="329"/>
      <c r="O117" s="20"/>
      <c r="P117" s="350"/>
      <c r="Q117" s="355"/>
      <c r="R117" s="150"/>
      <c r="S117" s="41"/>
      <c r="T117" s="41"/>
      <c r="U117" s="330"/>
      <c r="V117" s="138"/>
      <c r="W117" s="138"/>
    </row>
    <row r="118" spans="1:23" x14ac:dyDescent="0.2">
      <c r="P118" s="69"/>
      <c r="Q118" s="69"/>
      <c r="R118" s="69"/>
      <c r="S118" s="99"/>
      <c r="T118" s="69"/>
      <c r="U118" s="358"/>
      <c r="V118" s="358"/>
    </row>
    <row r="119" spans="1:23" x14ac:dyDescent="0.2">
      <c r="P119" s="69"/>
      <c r="Q119" s="69"/>
      <c r="R119" s="69"/>
      <c r="S119" s="99"/>
      <c r="T119" s="69"/>
      <c r="U119" s="358"/>
      <c r="V119" s="358"/>
    </row>
  </sheetData>
  <pageMargins left="0.75" right="0.75" top="1" bottom="1" header="0.5" footer="0.5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204"/>
  <sheetViews>
    <sheetView topLeftCell="E1" workbookViewId="0">
      <selection activeCell="R22" sqref="R22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0" customWidth="1"/>
    <col min="7" max="7" width="8" style="40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357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71" customWidth="1"/>
    <col min="20" max="20" width="9.140625" style="34"/>
    <col min="21" max="21" width="13.5703125" style="140" customWidth="1"/>
    <col min="22" max="23" width="9.140625" style="140"/>
    <col min="24" max="24" width="12.42578125" style="34" customWidth="1"/>
    <col min="25" max="16384" width="9.140625" style="34"/>
  </cols>
  <sheetData>
    <row r="1" spans="1:23" x14ac:dyDescent="0.2">
      <c r="A1" s="151" t="s">
        <v>1052</v>
      </c>
      <c r="B1" s="18"/>
      <c r="C1" s="18"/>
      <c r="D1" s="19"/>
      <c r="E1" s="19"/>
      <c r="F1" s="16" t="s">
        <v>1117</v>
      </c>
      <c r="G1" s="579">
        <v>8</v>
      </c>
      <c r="H1" s="18" t="s">
        <v>71</v>
      </c>
      <c r="I1" s="23">
        <v>31</v>
      </c>
      <c r="J1" s="328" t="s">
        <v>667</v>
      </c>
      <c r="K1" s="20"/>
      <c r="L1" s="20"/>
      <c r="M1" s="20"/>
      <c r="N1" s="329"/>
      <c r="O1" s="20"/>
      <c r="P1" s="33"/>
      <c r="Q1" s="17"/>
      <c r="R1" s="41"/>
      <c r="S1" s="41"/>
      <c r="T1" s="41"/>
      <c r="U1" s="330"/>
      <c r="V1" s="138"/>
      <c r="W1" s="138"/>
    </row>
    <row r="2" spans="1:23" x14ac:dyDescent="0.2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8" t="s">
        <v>668</v>
      </c>
      <c r="K2" s="20"/>
      <c r="L2" s="20"/>
      <c r="M2" s="20"/>
      <c r="N2" s="329"/>
      <c r="O2" s="20"/>
      <c r="P2" s="33"/>
      <c r="Q2" s="17"/>
      <c r="R2" s="41"/>
      <c r="S2" s="41"/>
      <c r="T2" s="41"/>
      <c r="U2" s="330"/>
      <c r="V2" s="138"/>
      <c r="W2" s="138"/>
    </row>
    <row r="3" spans="1:23" x14ac:dyDescent="0.2">
      <c r="A3" s="16" t="s">
        <v>581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29"/>
      <c r="O3" s="44" t="s">
        <v>47</v>
      </c>
      <c r="P3" s="33"/>
      <c r="Q3" s="17"/>
      <c r="R3" s="41"/>
      <c r="S3" s="41"/>
      <c r="T3" s="41"/>
      <c r="U3" s="330"/>
      <c r="V3" s="138"/>
      <c r="W3" s="138"/>
    </row>
    <row r="4" spans="1:23" x14ac:dyDescent="0.2">
      <c r="A4" s="16" t="s">
        <v>669</v>
      </c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29"/>
      <c r="O4" s="17"/>
      <c r="P4" s="33"/>
      <c r="Q4" s="17"/>
      <c r="R4" s="41"/>
      <c r="S4" s="41"/>
      <c r="T4" s="46"/>
      <c r="U4" s="331"/>
      <c r="V4" s="138"/>
      <c r="W4" s="138"/>
    </row>
    <row r="5" spans="1:23" x14ac:dyDescent="0.2">
      <c r="A5" s="16" t="s">
        <v>670</v>
      </c>
      <c r="B5" s="18"/>
      <c r="C5" s="332"/>
      <c r="D5" s="19"/>
      <c r="E5" s="19"/>
      <c r="F5" s="45"/>
      <c r="G5" s="16"/>
      <c r="H5" s="45"/>
      <c r="I5" s="24"/>
      <c r="J5" s="45"/>
      <c r="K5" s="20"/>
      <c r="L5" s="45"/>
      <c r="M5" s="17"/>
      <c r="N5" s="329"/>
      <c r="O5" s="17"/>
      <c r="P5" s="33"/>
      <c r="Q5" s="17"/>
      <c r="R5" s="41"/>
      <c r="S5" s="41"/>
      <c r="T5" s="46"/>
      <c r="U5" s="331"/>
      <c r="V5" s="138"/>
      <c r="W5" s="138"/>
    </row>
    <row r="6" spans="1:23" x14ac:dyDescent="0.2">
      <c r="A6" s="16"/>
      <c r="B6" s="18"/>
      <c r="C6" s="332"/>
      <c r="D6" s="19"/>
      <c r="E6" s="19"/>
      <c r="F6" s="45"/>
      <c r="G6" s="16"/>
      <c r="H6" s="45"/>
      <c r="I6" s="24"/>
      <c r="J6" s="45"/>
      <c r="K6" s="20"/>
      <c r="L6" s="45"/>
      <c r="M6" s="17"/>
      <c r="N6" s="329"/>
      <c r="O6" s="17"/>
      <c r="P6" s="33"/>
      <c r="Q6" s="17"/>
      <c r="R6" s="41"/>
      <c r="S6" s="41"/>
      <c r="T6" s="46"/>
      <c r="U6" s="331"/>
      <c r="V6" s="138"/>
      <c r="W6" s="138"/>
    </row>
    <row r="7" spans="1:23" x14ac:dyDescent="0.2">
      <c r="A7" s="16"/>
      <c r="B7" s="18"/>
      <c r="C7" s="332"/>
      <c r="D7" s="19"/>
      <c r="E7" s="19"/>
      <c r="F7" s="45"/>
      <c r="G7" s="16"/>
      <c r="H7" s="45"/>
      <c r="I7" s="24"/>
      <c r="J7" s="45"/>
      <c r="K7" s="20"/>
      <c r="L7" s="45"/>
      <c r="M7" s="17"/>
      <c r="N7" s="329"/>
      <c r="O7" s="17"/>
      <c r="P7" s="33"/>
      <c r="Q7" s="17"/>
      <c r="R7" s="41"/>
      <c r="S7" s="41"/>
      <c r="T7" s="46"/>
      <c r="U7" s="331"/>
      <c r="V7" s="138"/>
      <c r="W7" s="138"/>
    </row>
    <row r="8" spans="1:23" x14ac:dyDescent="0.2">
      <c r="A8" s="16"/>
      <c r="B8" s="18"/>
      <c r="C8" s="332"/>
      <c r="D8" s="19"/>
      <c r="E8" s="19"/>
      <c r="F8" s="45"/>
      <c r="G8" s="16"/>
      <c r="H8" s="45"/>
      <c r="I8" s="24"/>
      <c r="J8" s="45"/>
      <c r="K8" s="20"/>
      <c r="L8" s="45"/>
      <c r="M8" s="17"/>
      <c r="N8" s="329"/>
      <c r="O8" s="17"/>
      <c r="P8" s="33"/>
      <c r="Q8" s="17"/>
      <c r="R8" s="41"/>
      <c r="S8" s="41"/>
      <c r="T8" s="46"/>
      <c r="U8" s="331"/>
      <c r="V8" s="138"/>
      <c r="W8" s="138"/>
    </row>
    <row r="9" spans="1:23" x14ac:dyDescent="0.2">
      <c r="A9" s="16"/>
      <c r="B9" s="18"/>
      <c r="C9" s="332"/>
      <c r="D9" s="19"/>
      <c r="E9" s="19"/>
      <c r="F9" s="45"/>
      <c r="G9" s="16"/>
      <c r="H9" s="45"/>
      <c r="I9" s="24"/>
      <c r="J9" s="45"/>
      <c r="K9" s="20"/>
      <c r="L9" s="45"/>
      <c r="M9" s="17"/>
      <c r="N9" s="329"/>
      <c r="O9" s="17"/>
      <c r="P9" s="33"/>
      <c r="Q9" s="17"/>
      <c r="R9" s="41"/>
      <c r="S9" s="41"/>
      <c r="T9" s="46"/>
      <c r="U9" s="331"/>
      <c r="V9" s="138"/>
      <c r="W9" s="138"/>
    </row>
    <row r="10" spans="1:23" x14ac:dyDescent="0.2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29"/>
      <c r="O10" s="17"/>
      <c r="P10" s="33"/>
      <c r="Q10" s="17"/>
      <c r="R10" s="41"/>
      <c r="S10" s="41"/>
      <c r="T10" s="46"/>
      <c r="U10" s="331"/>
      <c r="V10" s="138"/>
      <c r="W10" s="138"/>
    </row>
    <row r="11" spans="1:23" x14ac:dyDescent="0.2">
      <c r="A11" s="382"/>
      <c r="B11" s="355"/>
      <c r="C11" s="150"/>
      <c r="D11" s="383"/>
      <c r="E11" s="383"/>
      <c r="F11" s="382"/>
      <c r="G11" s="520"/>
      <c r="H11" s="355"/>
      <c r="I11" s="384"/>
      <c r="J11" s="32"/>
      <c r="K11" s="32"/>
      <c r="L11" s="32"/>
      <c r="M11" s="32"/>
      <c r="N11" s="521"/>
      <c r="O11" s="32"/>
      <c r="P11" s="522"/>
      <c r="Q11" s="355"/>
      <c r="R11" s="382"/>
      <c r="S11" s="41"/>
      <c r="T11" s="46"/>
      <c r="U11" s="331"/>
      <c r="V11" s="139"/>
      <c r="W11" s="139"/>
    </row>
    <row r="12" spans="1:23" s="535" customFormat="1" x14ac:dyDescent="0.2">
      <c r="A12" s="525" t="s">
        <v>49</v>
      </c>
      <c r="B12" s="526" t="s">
        <v>50</v>
      </c>
      <c r="C12" s="526" t="s">
        <v>51</v>
      </c>
      <c r="D12" s="527" t="s">
        <v>52</v>
      </c>
      <c r="E12" s="527"/>
      <c r="F12" s="525" t="s">
        <v>53</v>
      </c>
      <c r="G12" s="525" t="s">
        <v>54</v>
      </c>
      <c r="H12" s="526" t="s">
        <v>55</v>
      </c>
      <c r="I12" s="528" t="s">
        <v>56</v>
      </c>
      <c r="J12" s="526" t="s">
        <v>57</v>
      </c>
      <c r="K12" s="526" t="s">
        <v>58</v>
      </c>
      <c r="L12" s="526" t="s">
        <v>59</v>
      </c>
      <c r="M12" s="526" t="s">
        <v>60</v>
      </c>
      <c r="N12" s="529" t="s">
        <v>62</v>
      </c>
      <c r="O12" s="526" t="s">
        <v>63</v>
      </c>
      <c r="P12" s="530" t="s">
        <v>674</v>
      </c>
      <c r="Q12" s="526" t="s">
        <v>65</v>
      </c>
      <c r="R12" s="525" t="s">
        <v>66</v>
      </c>
      <c r="S12" s="531" t="s">
        <v>675</v>
      </c>
      <c r="T12" s="532" t="s">
        <v>676</v>
      </c>
      <c r="U12" s="533" t="s">
        <v>677</v>
      </c>
      <c r="V12" s="534"/>
      <c r="W12" s="534"/>
    </row>
    <row r="13" spans="1:23" s="71" customFormat="1" x14ac:dyDescent="0.2">
      <c r="A13" s="16" t="s">
        <v>602</v>
      </c>
      <c r="B13" s="18" t="s">
        <v>678</v>
      </c>
      <c r="C13" s="18" t="s">
        <v>678</v>
      </c>
      <c r="D13" s="19">
        <v>34274</v>
      </c>
      <c r="E13" s="19">
        <v>37042</v>
      </c>
      <c r="F13" s="16" t="s">
        <v>28</v>
      </c>
      <c r="G13" s="16" t="s">
        <v>848</v>
      </c>
      <c r="H13" s="18" t="s">
        <v>68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329">
        <v>0</v>
      </c>
      <c r="O13" s="20">
        <f>SUM(I13:M13)</f>
        <v>3.4203225806451611E-2</v>
      </c>
      <c r="P13" s="33">
        <v>37393</v>
      </c>
      <c r="Q13" s="18">
        <v>20000</v>
      </c>
      <c r="R13" s="16" t="s">
        <v>992</v>
      </c>
      <c r="S13" s="25">
        <f>I13*I$1*Q13</f>
        <v>21206</v>
      </c>
      <c r="T13" s="25"/>
      <c r="U13" s="341">
        <v>92346</v>
      </c>
      <c r="V13" s="139"/>
      <c r="W13" s="139"/>
    </row>
    <row r="14" spans="1:23" s="220" customFormat="1" x14ac:dyDescent="0.2">
      <c r="A14" s="180" t="s">
        <v>602</v>
      </c>
      <c r="B14" s="362" t="s">
        <v>678</v>
      </c>
      <c r="C14" s="362" t="s">
        <v>678</v>
      </c>
      <c r="D14" s="363">
        <v>36434</v>
      </c>
      <c r="E14" s="363">
        <v>37164</v>
      </c>
      <c r="F14" s="180" t="s">
        <v>990</v>
      </c>
      <c r="G14" s="180" t="s">
        <v>577</v>
      </c>
      <c r="H14" s="362" t="s">
        <v>68</v>
      </c>
      <c r="I14" s="364">
        <v>1.4999999999999999E-2</v>
      </c>
      <c r="J14" s="365">
        <v>0</v>
      </c>
      <c r="K14" s="365">
        <v>0</v>
      </c>
      <c r="L14" s="365">
        <v>0</v>
      </c>
      <c r="M14" s="365">
        <v>0</v>
      </c>
      <c r="N14" s="555">
        <v>0</v>
      </c>
      <c r="O14" s="365">
        <f>SUM(I14:M14)</f>
        <v>1.4999999999999999E-2</v>
      </c>
      <c r="P14" s="556">
        <v>64937</v>
      </c>
      <c r="Q14" s="362">
        <v>10000</v>
      </c>
      <c r="R14" s="180" t="s">
        <v>1116</v>
      </c>
      <c r="S14" s="367">
        <f>I14*I$1*Q14</f>
        <v>4650</v>
      </c>
      <c r="T14" s="367"/>
      <c r="U14" s="557">
        <v>118000</v>
      </c>
      <c r="V14" s="368"/>
      <c r="W14" s="368"/>
    </row>
    <row r="15" spans="1:23" s="220" customFormat="1" x14ac:dyDescent="0.2">
      <c r="A15" s="180" t="s">
        <v>602</v>
      </c>
      <c r="B15" s="362" t="s">
        <v>678</v>
      </c>
      <c r="C15" s="362" t="s">
        <v>678</v>
      </c>
      <c r="D15" s="363">
        <v>36617</v>
      </c>
      <c r="E15" s="363">
        <v>36981</v>
      </c>
      <c r="F15" s="180" t="s">
        <v>609</v>
      </c>
      <c r="G15" s="180" t="s">
        <v>991</v>
      </c>
      <c r="H15" s="362" t="s">
        <v>68</v>
      </c>
      <c r="I15" s="364">
        <f>1.6199/I$1</f>
        <v>5.2254838709677419E-2</v>
      </c>
      <c r="J15" s="365">
        <v>0</v>
      </c>
      <c r="K15" s="365">
        <v>0</v>
      </c>
      <c r="L15" s="365">
        <v>0</v>
      </c>
      <c r="M15" s="365">
        <v>0</v>
      </c>
      <c r="N15" s="555">
        <v>0</v>
      </c>
      <c r="O15" s="365">
        <f>SUM(I15:M15)</f>
        <v>5.2254838709677419E-2</v>
      </c>
      <c r="P15" s="556">
        <v>66973</v>
      </c>
      <c r="Q15" s="362">
        <v>10000</v>
      </c>
      <c r="R15" s="180" t="s">
        <v>865</v>
      </c>
      <c r="S15" s="367">
        <f>I15*I$1*Q15</f>
        <v>16198.999999999998</v>
      </c>
      <c r="T15" s="367"/>
      <c r="U15" s="557">
        <v>231728</v>
      </c>
      <c r="V15" s="368"/>
      <c r="W15" s="368"/>
    </row>
    <row r="16" spans="1:23" s="71" customFormat="1" x14ac:dyDescent="0.2">
      <c r="A16" s="16" t="s">
        <v>602</v>
      </c>
      <c r="B16" s="18" t="s">
        <v>678</v>
      </c>
      <c r="C16" s="18" t="s">
        <v>678</v>
      </c>
      <c r="D16" s="19">
        <v>34274</v>
      </c>
      <c r="E16" s="19">
        <v>40117</v>
      </c>
      <c r="F16" s="16" t="s">
        <v>848</v>
      </c>
      <c r="G16" s="16" t="s">
        <v>321</v>
      </c>
      <c r="H16" s="18" t="s">
        <v>68</v>
      </c>
      <c r="I16" s="24">
        <f>3.145/I$1</f>
        <v>0.10145161290322581</v>
      </c>
      <c r="J16" s="20">
        <v>0</v>
      </c>
      <c r="K16" s="20">
        <v>0</v>
      </c>
      <c r="L16" s="20">
        <v>0</v>
      </c>
      <c r="M16" s="20">
        <v>0</v>
      </c>
      <c r="N16" s="329">
        <v>0</v>
      </c>
      <c r="O16" s="20">
        <f>SUM(I16:M16)</f>
        <v>0.10145161290322581</v>
      </c>
      <c r="P16" s="33">
        <v>37861</v>
      </c>
      <c r="Q16" s="18">
        <v>15000</v>
      </c>
      <c r="R16" s="16" t="s">
        <v>993</v>
      </c>
      <c r="S16" s="25">
        <f>I16*I$1*Q16</f>
        <v>47175</v>
      </c>
      <c r="T16" s="25"/>
      <c r="U16" s="341">
        <v>93034</v>
      </c>
      <c r="V16" s="139"/>
      <c r="W16" s="139"/>
    </row>
    <row r="17" spans="1:23" s="71" customFormat="1" x14ac:dyDescent="0.2">
      <c r="A17" s="16" t="s">
        <v>602</v>
      </c>
      <c r="B17" s="18" t="s">
        <v>678</v>
      </c>
      <c r="C17" s="18" t="s">
        <v>636</v>
      </c>
      <c r="D17" s="19">
        <v>36557</v>
      </c>
      <c r="E17" s="19">
        <v>36830</v>
      </c>
      <c r="F17" s="16" t="s">
        <v>679</v>
      </c>
      <c r="G17" s="16" t="s">
        <v>680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329">
        <v>0</v>
      </c>
      <c r="O17" s="20">
        <f t="shared" ref="O17:O22" si="0">SUM(I17:M17)</f>
        <v>3.4203225806451611E-2</v>
      </c>
      <c r="P17" s="33">
        <v>42789</v>
      </c>
      <c r="Q17" s="18">
        <v>30000</v>
      </c>
      <c r="R17" s="16" t="s">
        <v>681</v>
      </c>
      <c r="S17" s="25">
        <f t="shared" ref="S17:S26" si="1">I17*I$1*Q17</f>
        <v>31809</v>
      </c>
      <c r="T17" s="25"/>
      <c r="U17" s="341">
        <v>156388</v>
      </c>
      <c r="V17" s="139"/>
      <c r="W17" s="139"/>
    </row>
    <row r="18" spans="1:23" s="71" customFormat="1" x14ac:dyDescent="0.2">
      <c r="A18" s="16" t="s">
        <v>602</v>
      </c>
      <c r="B18" s="18" t="s">
        <v>678</v>
      </c>
      <c r="C18" s="18" t="s">
        <v>636</v>
      </c>
      <c r="D18" s="19">
        <v>36557</v>
      </c>
      <c r="E18" s="19">
        <v>36830</v>
      </c>
      <c r="F18" s="16" t="s">
        <v>682</v>
      </c>
      <c r="G18" s="16" t="s">
        <v>680</v>
      </c>
      <c r="H18" s="18"/>
      <c r="I18" s="24">
        <f>1.0603/I$1</f>
        <v>3.4203225806451611E-2</v>
      </c>
      <c r="J18" s="20">
        <v>0</v>
      </c>
      <c r="K18" s="20">
        <v>0</v>
      </c>
      <c r="L18" s="20">
        <v>0</v>
      </c>
      <c r="M18" s="20">
        <v>0</v>
      </c>
      <c r="N18" s="329">
        <v>0</v>
      </c>
      <c r="O18" s="20">
        <f t="shared" si="0"/>
        <v>3.4203225806451611E-2</v>
      </c>
      <c r="P18" s="33">
        <v>50250</v>
      </c>
      <c r="Q18" s="18">
        <v>20000</v>
      </c>
      <c r="R18" s="16" t="s">
        <v>683</v>
      </c>
      <c r="S18" s="25">
        <f t="shared" si="1"/>
        <v>21206</v>
      </c>
      <c r="T18" s="25"/>
      <c r="U18" s="341">
        <v>156399</v>
      </c>
      <c r="V18" s="139"/>
      <c r="W18" s="139"/>
    </row>
    <row r="19" spans="1:23" s="71" customFormat="1" x14ac:dyDescent="0.2">
      <c r="A19" s="16" t="s">
        <v>602</v>
      </c>
      <c r="B19" s="18" t="s">
        <v>678</v>
      </c>
      <c r="C19" s="18" t="s">
        <v>636</v>
      </c>
      <c r="D19" s="19">
        <v>36557</v>
      </c>
      <c r="E19" s="19">
        <v>38442</v>
      </c>
      <c r="F19" s="16" t="s">
        <v>680</v>
      </c>
      <c r="G19" s="16" t="s">
        <v>321</v>
      </c>
      <c r="H19" s="18"/>
      <c r="I19" s="24">
        <f>3.145/I$1</f>
        <v>0.10145161290322581</v>
      </c>
      <c r="J19" s="20">
        <v>0</v>
      </c>
      <c r="K19" s="20">
        <v>0</v>
      </c>
      <c r="L19" s="20">
        <v>0</v>
      </c>
      <c r="M19" s="20">
        <v>0</v>
      </c>
      <c r="N19" s="329">
        <v>0</v>
      </c>
      <c r="O19" s="20">
        <f t="shared" si="0"/>
        <v>0.10145161290322581</v>
      </c>
      <c r="P19" s="33">
        <v>58654</v>
      </c>
      <c r="Q19" s="18">
        <v>15000</v>
      </c>
      <c r="R19" s="16" t="s">
        <v>684</v>
      </c>
      <c r="S19" s="25">
        <f t="shared" si="1"/>
        <v>47175</v>
      </c>
      <c r="T19" s="25"/>
      <c r="U19" s="341">
        <v>156408</v>
      </c>
      <c r="V19" s="139"/>
      <c r="W19" s="139"/>
    </row>
    <row r="20" spans="1:23" s="71" customFormat="1" x14ac:dyDescent="0.2">
      <c r="A20" s="16" t="s">
        <v>602</v>
      </c>
      <c r="B20" s="18" t="s">
        <v>678</v>
      </c>
      <c r="C20" s="18" t="s">
        <v>636</v>
      </c>
      <c r="D20" s="19">
        <v>36557</v>
      </c>
      <c r="E20" s="19">
        <v>37955</v>
      </c>
      <c r="F20" s="16" t="s">
        <v>685</v>
      </c>
      <c r="G20" s="16" t="s">
        <v>686</v>
      </c>
      <c r="H20" s="18"/>
      <c r="I20" s="24">
        <f>1.0603/I$1</f>
        <v>3.4203225806451611E-2</v>
      </c>
      <c r="J20" s="20">
        <v>0</v>
      </c>
      <c r="K20" s="20">
        <v>0</v>
      </c>
      <c r="L20" s="20">
        <v>0</v>
      </c>
      <c r="M20" s="20">
        <v>0</v>
      </c>
      <c r="N20" s="329">
        <v>0</v>
      </c>
      <c r="O20" s="20">
        <f t="shared" si="0"/>
        <v>3.4203225806451611E-2</v>
      </c>
      <c r="P20" s="33">
        <v>62408</v>
      </c>
      <c r="Q20" s="18">
        <v>40000</v>
      </c>
      <c r="R20" s="16" t="s">
        <v>687</v>
      </c>
      <c r="S20" s="25">
        <f t="shared" si="1"/>
        <v>42412</v>
      </c>
      <c r="T20" s="25"/>
      <c r="U20" s="341">
        <v>156526</v>
      </c>
      <c r="V20" s="139"/>
      <c r="W20" s="139"/>
    </row>
    <row r="21" spans="1:23" s="71" customFormat="1" x14ac:dyDescent="0.2">
      <c r="A21" s="16" t="s">
        <v>602</v>
      </c>
      <c r="B21" s="18" t="s">
        <v>678</v>
      </c>
      <c r="C21" s="18" t="s">
        <v>636</v>
      </c>
      <c r="D21" s="19">
        <v>36557</v>
      </c>
      <c r="E21" s="19">
        <v>37346</v>
      </c>
      <c r="F21" s="16" t="s">
        <v>680</v>
      </c>
      <c r="G21" s="16" t="s">
        <v>321</v>
      </c>
      <c r="H21" s="18"/>
      <c r="I21" s="24">
        <f>2.6805/I$1</f>
        <v>8.6467741935483872E-2</v>
      </c>
      <c r="J21" s="20">
        <v>0</v>
      </c>
      <c r="K21" s="20">
        <v>0</v>
      </c>
      <c r="L21" s="20">
        <v>0</v>
      </c>
      <c r="M21" s="20">
        <v>0</v>
      </c>
      <c r="N21" s="329">
        <v>0</v>
      </c>
      <c r="O21" s="20">
        <f t="shared" si="0"/>
        <v>8.6467741935483872E-2</v>
      </c>
      <c r="P21" s="33">
        <v>63115</v>
      </c>
      <c r="Q21" s="18">
        <v>30000</v>
      </c>
      <c r="R21" s="16" t="s">
        <v>684</v>
      </c>
      <c r="S21" s="25">
        <f t="shared" si="1"/>
        <v>80415</v>
      </c>
      <c r="T21" s="25"/>
      <c r="U21" s="341">
        <v>156532</v>
      </c>
      <c r="V21" s="139"/>
      <c r="W21" s="139"/>
    </row>
    <row r="22" spans="1:23" s="71" customFormat="1" x14ac:dyDescent="0.2">
      <c r="A22" s="16" t="s">
        <v>602</v>
      </c>
      <c r="B22" s="18" t="s">
        <v>678</v>
      </c>
      <c r="C22" s="18" t="s">
        <v>636</v>
      </c>
      <c r="D22" s="19">
        <v>36557</v>
      </c>
      <c r="E22" s="19">
        <v>38291</v>
      </c>
      <c r="F22" s="16" t="s">
        <v>688</v>
      </c>
      <c r="G22" s="16" t="s">
        <v>680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329">
        <v>0</v>
      </c>
      <c r="O22" s="20">
        <f t="shared" si="0"/>
        <v>3.4203225806451611E-2</v>
      </c>
      <c r="P22" s="33">
        <v>63922</v>
      </c>
      <c r="Q22" s="18">
        <v>25654</v>
      </c>
      <c r="R22" s="16" t="s">
        <v>689</v>
      </c>
      <c r="S22" s="25">
        <f t="shared" si="1"/>
        <v>27200.9362</v>
      </c>
      <c r="T22" s="25"/>
      <c r="U22" s="341">
        <v>156540</v>
      </c>
      <c r="V22" s="139"/>
      <c r="W22" s="139"/>
    </row>
    <row r="23" spans="1:23" s="220" customFormat="1" x14ac:dyDescent="0.2">
      <c r="A23" s="180" t="s">
        <v>602</v>
      </c>
      <c r="B23" s="362" t="s">
        <v>678</v>
      </c>
      <c r="C23" s="362" t="s">
        <v>636</v>
      </c>
      <c r="D23" s="363">
        <v>36557</v>
      </c>
      <c r="E23" s="363">
        <v>36769</v>
      </c>
      <c r="F23" s="180" t="s">
        <v>690</v>
      </c>
      <c r="G23" s="180" t="s">
        <v>691</v>
      </c>
      <c r="H23" s="362"/>
      <c r="I23" s="364">
        <v>6.5000000000000002E-2</v>
      </c>
      <c r="J23" s="365">
        <v>0</v>
      </c>
      <c r="K23" s="365">
        <v>0</v>
      </c>
      <c r="L23" s="365">
        <v>0</v>
      </c>
      <c r="M23" s="365">
        <v>0</v>
      </c>
      <c r="N23" s="555">
        <v>0</v>
      </c>
      <c r="O23" s="365">
        <f>SUM(I23:M23)</f>
        <v>6.5000000000000002E-2</v>
      </c>
      <c r="P23" s="556">
        <v>64502</v>
      </c>
      <c r="Q23" s="362">
        <v>29000</v>
      </c>
      <c r="R23" s="180" t="s">
        <v>692</v>
      </c>
      <c r="S23" s="367">
        <f t="shared" si="1"/>
        <v>58435</v>
      </c>
      <c r="T23" s="367"/>
      <c r="U23" s="557"/>
      <c r="V23" s="633" t="s">
        <v>799</v>
      </c>
      <c r="W23" s="368"/>
    </row>
    <row r="24" spans="1:23" s="220" customFormat="1" x14ac:dyDescent="0.2">
      <c r="A24" s="180" t="s">
        <v>602</v>
      </c>
      <c r="B24" s="362" t="s">
        <v>678</v>
      </c>
      <c r="C24" s="362" t="s">
        <v>1021</v>
      </c>
      <c r="D24" s="363">
        <v>36746</v>
      </c>
      <c r="E24" s="363">
        <v>37103</v>
      </c>
      <c r="F24" s="180" t="s">
        <v>680</v>
      </c>
      <c r="G24" s="180" t="s">
        <v>321</v>
      </c>
      <c r="H24" s="362"/>
      <c r="I24" s="364">
        <f>3.14/I1</f>
        <v>0.10129032258064516</v>
      </c>
      <c r="J24" s="365"/>
      <c r="K24" s="365"/>
      <c r="L24" s="365"/>
      <c r="M24" s="365"/>
      <c r="N24" s="555"/>
      <c r="O24" s="365"/>
      <c r="P24" s="556">
        <v>69119</v>
      </c>
      <c r="Q24" s="362">
        <v>142</v>
      </c>
      <c r="R24" s="180" t="s">
        <v>1021</v>
      </c>
      <c r="S24" s="367">
        <f t="shared" si="1"/>
        <v>445.88</v>
      </c>
      <c r="T24" s="367"/>
      <c r="U24" s="557">
        <v>360720</v>
      </c>
      <c r="V24" s="633"/>
      <c r="W24" s="368"/>
    </row>
    <row r="25" spans="1:23" s="71" customFormat="1" x14ac:dyDescent="0.2">
      <c r="A25" s="16" t="s">
        <v>602</v>
      </c>
      <c r="B25" s="18" t="s">
        <v>678</v>
      </c>
      <c r="C25" s="18" t="s">
        <v>693</v>
      </c>
      <c r="D25" s="19">
        <v>36557</v>
      </c>
      <c r="E25" s="19">
        <v>36830</v>
      </c>
      <c r="F25" s="42" t="s">
        <v>694</v>
      </c>
      <c r="G25" s="42" t="s">
        <v>695</v>
      </c>
      <c r="H25" s="18"/>
      <c r="I25" s="24">
        <f>3.145/I$1</f>
        <v>0.10145161290322581</v>
      </c>
      <c r="J25" s="20">
        <v>0</v>
      </c>
      <c r="K25" s="20">
        <v>0</v>
      </c>
      <c r="L25" s="20">
        <v>0</v>
      </c>
      <c r="M25" s="20">
        <v>0</v>
      </c>
      <c r="N25" s="329">
        <v>0</v>
      </c>
      <c r="O25" s="20">
        <f>SUM(I25:M25)</f>
        <v>0.10145161290322581</v>
      </c>
      <c r="P25" s="33">
        <v>65072</v>
      </c>
      <c r="Q25" s="18">
        <v>7391</v>
      </c>
      <c r="R25" s="42" t="s">
        <v>696</v>
      </c>
      <c r="S25" s="25">
        <f t="shared" si="1"/>
        <v>23244.695</v>
      </c>
      <c r="T25" s="25"/>
      <c r="U25" s="341">
        <v>156603</v>
      </c>
      <c r="V25" s="139"/>
      <c r="W25" s="139"/>
    </row>
    <row r="26" spans="1:23" s="220" customFormat="1" x14ac:dyDescent="0.2">
      <c r="A26" s="180" t="s">
        <v>602</v>
      </c>
      <c r="B26" s="362" t="s">
        <v>678</v>
      </c>
      <c r="C26" s="362" t="s">
        <v>693</v>
      </c>
      <c r="D26" s="363">
        <v>36708</v>
      </c>
      <c r="E26" s="363">
        <v>36738</v>
      </c>
      <c r="F26" s="366" t="s">
        <v>694</v>
      </c>
      <c r="G26" s="366" t="s">
        <v>695</v>
      </c>
      <c r="H26" s="362"/>
      <c r="I26" s="364">
        <f>3.145/I$1</f>
        <v>0.10145161290322581</v>
      </c>
      <c r="J26" s="365">
        <v>0</v>
      </c>
      <c r="K26" s="365">
        <v>0</v>
      </c>
      <c r="L26" s="365">
        <v>0</v>
      </c>
      <c r="M26" s="365">
        <v>0</v>
      </c>
      <c r="N26" s="555">
        <v>0</v>
      </c>
      <c r="O26" s="365">
        <f>SUM(I26:M26)</f>
        <v>0.10145161290322581</v>
      </c>
      <c r="P26" s="556">
        <v>65072</v>
      </c>
      <c r="Q26" s="574">
        <v>-404</v>
      </c>
      <c r="R26" s="180" t="s">
        <v>941</v>
      </c>
      <c r="S26" s="367">
        <f t="shared" si="1"/>
        <v>-1270.58</v>
      </c>
      <c r="T26" s="367"/>
      <c r="U26" s="557">
        <v>310500</v>
      </c>
      <c r="V26" s="368"/>
      <c r="W26" s="368"/>
    </row>
    <row r="27" spans="1:23" s="71" customFormat="1" x14ac:dyDescent="0.2">
      <c r="A27" s="16"/>
      <c r="B27" s="18"/>
      <c r="C27" s="18"/>
      <c r="D27" s="19"/>
      <c r="E27" s="19"/>
      <c r="F27" s="42"/>
      <c r="G27" s="42"/>
      <c r="H27" s="18"/>
      <c r="I27" s="24"/>
      <c r="J27" s="20"/>
      <c r="K27" s="20"/>
      <c r="L27" s="20"/>
      <c r="M27" s="20"/>
      <c r="N27" s="329"/>
      <c r="O27" s="20"/>
      <c r="P27" s="33"/>
      <c r="Q27" s="506"/>
      <c r="R27" s="42"/>
      <c r="S27" s="25"/>
      <c r="T27" s="25"/>
      <c r="U27" s="341"/>
      <c r="V27" s="139"/>
      <c r="W27" s="139"/>
    </row>
    <row r="28" spans="1:23" s="69" customFormat="1" x14ac:dyDescent="0.2">
      <c r="A28" s="382" t="s">
        <v>47</v>
      </c>
      <c r="B28" s="355" t="s">
        <v>47</v>
      </c>
      <c r="C28" s="150" t="s">
        <v>47</v>
      </c>
      <c r="D28" s="383" t="s">
        <v>47</v>
      </c>
      <c r="E28" s="383"/>
      <c r="F28" s="382" t="s">
        <v>47</v>
      </c>
      <c r="G28" s="520" t="s">
        <v>47</v>
      </c>
      <c r="H28" s="355" t="s">
        <v>47</v>
      </c>
      <c r="I28" s="384"/>
      <c r="J28" s="32"/>
      <c r="K28" s="32"/>
      <c r="L28" s="32"/>
      <c r="M28" s="32"/>
      <c r="N28" s="521"/>
      <c r="O28" s="32"/>
      <c r="P28" s="522" t="s">
        <v>47</v>
      </c>
      <c r="Q28" s="150">
        <f>SUM(Q13:Q27)</f>
        <v>251783</v>
      </c>
      <c r="R28" s="382" t="s">
        <v>715</v>
      </c>
      <c r="S28" s="41">
        <f>SUM(S13:S27)</f>
        <v>420302.93119999999</v>
      </c>
      <c r="T28" s="46">
        <f>SUM(T17:T27)</f>
        <v>0</v>
      </c>
      <c r="U28" s="331"/>
      <c r="V28" s="138"/>
      <c r="W28" s="138"/>
    </row>
    <row r="29" spans="1:23" s="69" customFormat="1" x14ac:dyDescent="0.2">
      <c r="A29" s="382"/>
      <c r="B29" s="355"/>
      <c r="C29" s="150"/>
      <c r="D29" s="383"/>
      <c r="E29" s="383"/>
      <c r="F29" s="382"/>
      <c r="G29" s="520"/>
      <c r="H29" s="355"/>
      <c r="I29" s="384"/>
      <c r="J29" s="32"/>
      <c r="K29" s="32"/>
      <c r="L29" s="32"/>
      <c r="M29" s="32"/>
      <c r="N29" s="521"/>
      <c r="O29" s="32"/>
      <c r="P29" s="522"/>
      <c r="Q29" s="355"/>
      <c r="R29" s="382" t="s">
        <v>997</v>
      </c>
      <c r="S29" s="41">
        <f>SUM(S25:S26)</f>
        <v>21974.114999999998</v>
      </c>
      <c r="T29" s="46"/>
      <c r="U29" s="331"/>
      <c r="V29" s="138"/>
      <c r="W29" s="138"/>
    </row>
    <row r="30" spans="1:23" ht="13.5" thickBot="1" x14ac:dyDescent="0.25">
      <c r="A30" s="382"/>
      <c r="B30" s="355"/>
      <c r="C30" s="150"/>
      <c r="D30" s="383"/>
      <c r="E30" s="383"/>
      <c r="F30" s="382"/>
      <c r="G30" s="520"/>
      <c r="H30" s="355"/>
      <c r="I30" s="384"/>
      <c r="J30" s="32"/>
      <c r="K30" s="32"/>
      <c r="L30" s="32"/>
      <c r="M30" s="32"/>
      <c r="N30" s="521"/>
      <c r="O30" s="32"/>
      <c r="P30" s="522"/>
      <c r="Q30" s="355"/>
      <c r="R30" s="382" t="s">
        <v>998</v>
      </c>
      <c r="S30" s="572">
        <f>+S28-S29</f>
        <v>398328.8162</v>
      </c>
      <c r="T30" s="46"/>
      <c r="U30" s="331"/>
      <c r="V30" s="139"/>
      <c r="W30" s="139"/>
    </row>
    <row r="31" spans="1:23" ht="13.5" thickTop="1" x14ac:dyDescent="0.2">
      <c r="A31" s="382"/>
      <c r="B31" s="355"/>
      <c r="C31" s="150"/>
      <c r="D31" s="383"/>
      <c r="E31" s="383"/>
      <c r="F31" s="382"/>
      <c r="G31" s="520"/>
      <c r="H31" s="355"/>
      <c r="I31" s="384"/>
      <c r="J31" s="32"/>
      <c r="K31" s="32"/>
      <c r="L31" s="32"/>
      <c r="M31" s="32"/>
      <c r="N31" s="521"/>
      <c r="O31" s="32"/>
      <c r="P31" s="522"/>
      <c r="Q31" s="355"/>
      <c r="R31" s="382"/>
      <c r="S31" s="41"/>
      <c r="T31" s="46"/>
      <c r="U31" s="331"/>
      <c r="V31" s="139"/>
      <c r="W31" s="139"/>
    </row>
    <row r="32" spans="1:23" s="535" customFormat="1" x14ac:dyDescent="0.2">
      <c r="A32" s="525" t="s">
        <v>49</v>
      </c>
      <c r="B32" s="526" t="s">
        <v>50</v>
      </c>
      <c r="C32" s="526" t="s">
        <v>51</v>
      </c>
      <c r="D32" s="527" t="s">
        <v>52</v>
      </c>
      <c r="E32" s="527"/>
      <c r="F32" s="525" t="s">
        <v>53</v>
      </c>
      <c r="G32" s="525" t="s">
        <v>54</v>
      </c>
      <c r="H32" s="526" t="s">
        <v>706</v>
      </c>
      <c r="I32" s="528" t="s">
        <v>56</v>
      </c>
      <c r="J32" s="526" t="s">
        <v>57</v>
      </c>
      <c r="K32" s="526" t="s">
        <v>58</v>
      </c>
      <c r="L32" s="526" t="s">
        <v>59</v>
      </c>
      <c r="M32" s="526" t="s">
        <v>60</v>
      </c>
      <c r="N32" s="529" t="s">
        <v>62</v>
      </c>
      <c r="O32" s="526" t="s">
        <v>63</v>
      </c>
      <c r="P32" s="530" t="s">
        <v>674</v>
      </c>
      <c r="Q32" s="526" t="s">
        <v>65</v>
      </c>
      <c r="R32" s="525" t="s">
        <v>66</v>
      </c>
      <c r="S32" s="531" t="s">
        <v>675</v>
      </c>
      <c r="T32" s="532" t="s">
        <v>676</v>
      </c>
      <c r="U32" s="533" t="s">
        <v>677</v>
      </c>
      <c r="V32" s="534"/>
      <c r="W32" s="534"/>
    </row>
    <row r="33" spans="1:23" s="71" customFormat="1" x14ac:dyDescent="0.2">
      <c r="A33" s="16" t="s">
        <v>767</v>
      </c>
      <c r="B33" s="16" t="s">
        <v>768</v>
      </c>
      <c r="C33" s="18"/>
      <c r="D33" s="19">
        <v>36526</v>
      </c>
      <c r="E33" s="19">
        <v>36769</v>
      </c>
      <c r="F33" s="16" t="s">
        <v>769</v>
      </c>
      <c r="G33" s="16"/>
      <c r="H33" s="18" t="s">
        <v>770</v>
      </c>
      <c r="I33" s="24">
        <v>0.125</v>
      </c>
      <c r="J33" s="20">
        <v>0</v>
      </c>
      <c r="K33" s="20">
        <v>2.2000000000000001E-3</v>
      </c>
      <c r="L33" s="20">
        <v>7.1999999999999998E-3</v>
      </c>
      <c r="M33" s="20">
        <v>1.3100000000000001E-2</v>
      </c>
      <c r="N33" s="329">
        <v>0</v>
      </c>
      <c r="O33" s="20">
        <f>SUM(I33:M33)</f>
        <v>0.14750000000000002</v>
      </c>
      <c r="P33" s="33" t="s">
        <v>771</v>
      </c>
      <c r="Q33" s="18">
        <v>1000000</v>
      </c>
      <c r="R33" s="16" t="s">
        <v>772</v>
      </c>
      <c r="S33" s="25">
        <v>125000</v>
      </c>
      <c r="T33" s="25"/>
      <c r="U33" s="347"/>
      <c r="V33" s="139"/>
      <c r="W33" s="139"/>
    </row>
    <row r="34" spans="1:23" s="71" customFormat="1" x14ac:dyDescent="0.2">
      <c r="A34" s="16"/>
      <c r="B34" s="18"/>
      <c r="C34" s="18"/>
      <c r="D34" s="19"/>
      <c r="E34" s="19"/>
      <c r="F34" s="16"/>
      <c r="G34" s="16"/>
      <c r="H34" s="18"/>
      <c r="I34" s="24"/>
      <c r="J34" s="20"/>
      <c r="K34" s="20"/>
      <c r="L34" s="20"/>
      <c r="M34" s="20"/>
      <c r="N34" s="329"/>
      <c r="O34" s="20"/>
      <c r="P34" s="294"/>
      <c r="Q34" s="18"/>
      <c r="R34" s="16"/>
      <c r="S34" s="25"/>
      <c r="T34" s="25"/>
      <c r="U34" s="347"/>
      <c r="V34" s="139"/>
      <c r="W34" s="139"/>
    </row>
    <row r="35" spans="1:23" s="71" customFormat="1" x14ac:dyDescent="0.2">
      <c r="A35" s="16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29"/>
      <c r="O35" s="20"/>
      <c r="P35" s="294"/>
      <c r="Q35" s="150">
        <f>SUM(Q33:Q34)</f>
        <v>1000000</v>
      </c>
      <c r="R35" s="382" t="s">
        <v>715</v>
      </c>
      <c r="S35" s="41">
        <f>SUM(S33:S34)</f>
        <v>125000</v>
      </c>
      <c r="T35" s="25"/>
      <c r="U35" s="347"/>
      <c r="V35" s="139"/>
      <c r="W35" s="139"/>
    </row>
    <row r="36" spans="1:23" s="71" customFormat="1" x14ac:dyDescent="0.2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29"/>
      <c r="O36" s="20"/>
      <c r="P36" s="294"/>
      <c r="Q36" s="355"/>
      <c r="R36" s="382" t="s">
        <v>997</v>
      </c>
      <c r="S36" s="41">
        <v>0</v>
      </c>
      <c r="T36" s="25"/>
      <c r="U36" s="347"/>
      <c r="V36" s="139"/>
      <c r="W36" s="139"/>
    </row>
    <row r="37" spans="1:23" s="71" customFormat="1" ht="13.5" thickBot="1" x14ac:dyDescent="0.25">
      <c r="A37" s="16"/>
      <c r="B37" s="18"/>
      <c r="C37" s="18"/>
      <c r="D37" s="19"/>
      <c r="E37" s="19"/>
      <c r="F37" s="16"/>
      <c r="G37" s="16"/>
      <c r="H37" s="18"/>
      <c r="I37" s="24"/>
      <c r="J37" s="20"/>
      <c r="K37" s="20"/>
      <c r="L37" s="20"/>
      <c r="M37" s="20"/>
      <c r="N37" s="329"/>
      <c r="O37" s="20"/>
      <c r="P37" s="294"/>
      <c r="Q37" s="355"/>
      <c r="R37" s="382" t="s">
        <v>998</v>
      </c>
      <c r="S37" s="572">
        <f>+S35-S36</f>
        <v>125000</v>
      </c>
      <c r="T37" s="25"/>
      <c r="U37" s="347"/>
      <c r="V37" s="139"/>
      <c r="W37" s="139"/>
    </row>
    <row r="38" spans="1:23" s="71" customFormat="1" ht="13.5" thickTop="1" x14ac:dyDescent="0.2">
      <c r="A38" s="16"/>
      <c r="B38" s="18"/>
      <c r="C38" s="18"/>
      <c r="D38" s="19"/>
      <c r="E38" s="19"/>
      <c r="F38" s="16"/>
      <c r="G38" s="16"/>
      <c r="H38" s="18"/>
      <c r="I38" s="24"/>
      <c r="J38" s="20"/>
      <c r="K38" s="20"/>
      <c r="L38" s="20"/>
      <c r="M38" s="20"/>
      <c r="N38" s="329"/>
      <c r="O38" s="20"/>
      <c r="P38" s="294"/>
      <c r="Q38" s="18"/>
      <c r="R38" s="16"/>
      <c r="S38" s="25"/>
      <c r="T38" s="25"/>
      <c r="U38" s="347"/>
      <c r="V38" s="139"/>
      <c r="W38" s="139"/>
    </row>
    <row r="39" spans="1:23" s="71" customFormat="1" x14ac:dyDescent="0.2">
      <c r="A39" s="285" t="s">
        <v>49</v>
      </c>
      <c r="B39" s="286" t="s">
        <v>50</v>
      </c>
      <c r="C39" s="286" t="s">
        <v>51</v>
      </c>
      <c r="D39" s="287" t="s">
        <v>52</v>
      </c>
      <c r="E39" s="287"/>
      <c r="F39" s="285" t="s">
        <v>53</v>
      </c>
      <c r="G39" s="285" t="s">
        <v>54</v>
      </c>
      <c r="H39" s="286" t="s">
        <v>55</v>
      </c>
      <c r="I39" s="288" t="s">
        <v>56</v>
      </c>
      <c r="J39" s="286" t="s">
        <v>57</v>
      </c>
      <c r="K39" s="286" t="s">
        <v>58</v>
      </c>
      <c r="L39" s="286" t="s">
        <v>59</v>
      </c>
      <c r="M39" s="286" t="s">
        <v>60</v>
      </c>
      <c r="N39" s="289" t="s">
        <v>62</v>
      </c>
      <c r="O39" s="286" t="s">
        <v>63</v>
      </c>
      <c r="P39" s="290" t="s">
        <v>64</v>
      </c>
      <c r="Q39" s="286" t="s">
        <v>65</v>
      </c>
      <c r="R39" s="285" t="s">
        <v>66</v>
      </c>
      <c r="S39" s="291" t="s">
        <v>634</v>
      </c>
      <c r="T39" s="291" t="s">
        <v>635</v>
      </c>
      <c r="U39" s="139"/>
      <c r="V39" s="139"/>
    </row>
    <row r="40" spans="1:23" s="71" customFormat="1" ht="13.5" customHeight="1" x14ac:dyDescent="0.2">
      <c r="A40" s="16" t="s">
        <v>556</v>
      </c>
      <c r="B40" s="18" t="s">
        <v>638</v>
      </c>
      <c r="C40" s="18" t="s">
        <v>639</v>
      </c>
      <c r="D40" s="19">
        <v>36526</v>
      </c>
      <c r="E40" s="19">
        <v>36830</v>
      </c>
      <c r="F40" s="16" t="s">
        <v>428</v>
      </c>
      <c r="G40" s="16" t="s">
        <v>639</v>
      </c>
      <c r="H40" s="18"/>
      <c r="I40" s="24">
        <f>2.7493/I1</f>
        <v>8.868709677419355E-2</v>
      </c>
      <c r="J40" s="20">
        <v>0</v>
      </c>
      <c r="K40" s="20">
        <v>0</v>
      </c>
      <c r="L40" s="20">
        <v>0</v>
      </c>
      <c r="M40" s="20">
        <v>0</v>
      </c>
      <c r="N40" s="21">
        <v>8.0000000000000002E-3</v>
      </c>
      <c r="O40" s="20">
        <f>SUM(I40:M40)</f>
        <v>8.868709677419355E-2</v>
      </c>
      <c r="P40" s="33">
        <v>6025</v>
      </c>
      <c r="Q40" s="18">
        <v>4581</v>
      </c>
      <c r="R40" s="16"/>
      <c r="S40" s="130">
        <f t="shared" ref="S40:S60" si="2">I40*I$1*Q40</f>
        <v>12594.543299999999</v>
      </c>
      <c r="T40" s="25"/>
      <c r="U40" s="139">
        <v>145032</v>
      </c>
      <c r="V40" s="139"/>
    </row>
    <row r="41" spans="1:23" s="220" customFormat="1" x14ac:dyDescent="0.2">
      <c r="A41" s="180" t="s">
        <v>556</v>
      </c>
      <c r="B41" s="362" t="s">
        <v>638</v>
      </c>
      <c r="C41" s="362" t="s">
        <v>639</v>
      </c>
      <c r="D41" s="363">
        <v>36526</v>
      </c>
      <c r="E41" s="363">
        <v>36830</v>
      </c>
      <c r="F41" s="180" t="s">
        <v>428</v>
      </c>
      <c r="G41" s="180" t="s">
        <v>639</v>
      </c>
      <c r="H41" s="362"/>
      <c r="I41" s="364">
        <f>2.9957/I1</f>
        <v>9.6635483870967737E-2</v>
      </c>
      <c r="J41" s="365">
        <v>0</v>
      </c>
      <c r="K41" s="365">
        <v>0</v>
      </c>
      <c r="L41" s="365">
        <v>0</v>
      </c>
      <c r="M41" s="365">
        <v>0</v>
      </c>
      <c r="N41" s="601">
        <v>8.0000000000000002E-3</v>
      </c>
      <c r="O41" s="365">
        <f>SUM(I41:M41)</f>
        <v>9.6635483870967737E-2</v>
      </c>
      <c r="P41" s="556">
        <v>6025</v>
      </c>
      <c r="Q41" s="362">
        <v>-1000</v>
      </c>
      <c r="R41" s="180"/>
      <c r="S41" s="602">
        <f>I41*I$1*Q41</f>
        <v>-2995.7</v>
      </c>
      <c r="T41" s="367"/>
      <c r="U41" s="368">
        <v>277059</v>
      </c>
      <c r="V41" s="368"/>
    </row>
    <row r="42" spans="1:23" s="71" customFormat="1" x14ac:dyDescent="0.2">
      <c r="A42" s="16" t="s">
        <v>556</v>
      </c>
      <c r="B42" s="18" t="s">
        <v>638</v>
      </c>
      <c r="C42" s="18" t="s">
        <v>639</v>
      </c>
      <c r="D42" s="19">
        <v>36526</v>
      </c>
      <c r="E42" s="19">
        <v>36830</v>
      </c>
      <c r="F42" s="16" t="s">
        <v>428</v>
      </c>
      <c r="G42" s="16" t="s">
        <v>639</v>
      </c>
      <c r="H42" s="18"/>
      <c r="I42" s="24">
        <f>2.7493/I1</f>
        <v>8.868709677419355E-2</v>
      </c>
      <c r="J42" s="20">
        <v>0</v>
      </c>
      <c r="K42" s="20">
        <v>0</v>
      </c>
      <c r="L42" s="20">
        <v>0</v>
      </c>
      <c r="M42" s="20">
        <v>0</v>
      </c>
      <c r="N42" s="21">
        <v>8.0000000000000002E-3</v>
      </c>
      <c r="O42" s="20">
        <f>SUM(I42:M42)</f>
        <v>8.868709677419355E-2</v>
      </c>
      <c r="P42" s="33">
        <v>6014</v>
      </c>
      <c r="Q42" s="18">
        <v>835</v>
      </c>
      <c r="R42" s="16"/>
      <c r="S42" s="130">
        <f t="shared" si="2"/>
        <v>2295.6655000000001</v>
      </c>
      <c r="T42" s="25"/>
      <c r="U42" s="139">
        <v>145036</v>
      </c>
      <c r="V42" s="139"/>
    </row>
    <row r="43" spans="1:23" s="220" customFormat="1" ht="13.5" customHeight="1" x14ac:dyDescent="0.2">
      <c r="A43" s="180" t="s">
        <v>556</v>
      </c>
      <c r="B43" s="362" t="s">
        <v>638</v>
      </c>
      <c r="C43" s="362" t="s">
        <v>639</v>
      </c>
      <c r="D43" s="363">
        <v>36526</v>
      </c>
      <c r="E43" s="363">
        <v>36830</v>
      </c>
      <c r="F43" s="180" t="s">
        <v>428</v>
      </c>
      <c r="G43" s="180" t="s">
        <v>639</v>
      </c>
      <c r="H43" s="362"/>
      <c r="I43" s="364">
        <f>2.9557/I1</f>
        <v>9.5345161290322583E-2</v>
      </c>
      <c r="J43" s="365">
        <v>0</v>
      </c>
      <c r="K43" s="365">
        <v>0</v>
      </c>
      <c r="L43" s="365">
        <v>0</v>
      </c>
      <c r="M43" s="365">
        <v>0</v>
      </c>
      <c r="N43" s="601">
        <v>8.0000000000000002E-3</v>
      </c>
      <c r="O43" s="365">
        <f>SUM(I43:M43)</f>
        <v>9.5345161290322583E-2</v>
      </c>
      <c r="P43" s="556">
        <v>6014</v>
      </c>
      <c r="Q43" s="362">
        <v>-117</v>
      </c>
      <c r="R43" s="180"/>
      <c r="S43" s="602">
        <f>I43*I$1*Q43</f>
        <v>-345.81690000000003</v>
      </c>
      <c r="T43" s="367"/>
      <c r="U43" s="368">
        <v>277022</v>
      </c>
      <c r="V43" s="368"/>
    </row>
    <row r="44" spans="1:23" s="71" customFormat="1" x14ac:dyDescent="0.2">
      <c r="A44" s="16" t="s">
        <v>556</v>
      </c>
      <c r="B44" s="18" t="s">
        <v>638</v>
      </c>
      <c r="C44" s="18" t="s">
        <v>947</v>
      </c>
      <c r="D44" s="19">
        <v>36526</v>
      </c>
      <c r="E44" s="19">
        <v>36830</v>
      </c>
      <c r="F44" s="16" t="s">
        <v>428</v>
      </c>
      <c r="G44" s="16" t="s">
        <v>947</v>
      </c>
      <c r="H44" s="18"/>
      <c r="I44" s="24">
        <f>2.9557/I1</f>
        <v>9.5345161290322583E-2</v>
      </c>
      <c r="J44" s="20">
        <v>0</v>
      </c>
      <c r="K44" s="20">
        <v>0</v>
      </c>
      <c r="L44" s="20">
        <v>0</v>
      </c>
      <c r="M44" s="20">
        <v>0</v>
      </c>
      <c r="N44" s="21">
        <v>8.0000000000000002E-3</v>
      </c>
      <c r="O44" s="20">
        <f>SUM(I44:M44)</f>
        <v>9.5345161290322583E-2</v>
      </c>
      <c r="P44" s="33">
        <v>6011</v>
      </c>
      <c r="Q44" s="18">
        <v>500</v>
      </c>
      <c r="R44" s="16"/>
      <c r="S44" s="130">
        <f t="shared" si="2"/>
        <v>1477.8500000000001</v>
      </c>
      <c r="T44" s="25"/>
      <c r="U44" s="139">
        <v>145040</v>
      </c>
      <c r="V44" s="139"/>
    </row>
    <row r="45" spans="1:23" s="567" customFormat="1" x14ac:dyDescent="0.2">
      <c r="A45" s="558" t="s">
        <v>716</v>
      </c>
      <c r="B45" s="559" t="s">
        <v>638</v>
      </c>
      <c r="C45" s="559" t="s">
        <v>947</v>
      </c>
      <c r="D45" s="560">
        <v>36739</v>
      </c>
      <c r="E45" s="560">
        <v>36769</v>
      </c>
      <c r="F45" s="558" t="s">
        <v>428</v>
      </c>
      <c r="G45" s="558" t="s">
        <v>947</v>
      </c>
      <c r="H45" s="559"/>
      <c r="I45" s="561">
        <v>0.01</v>
      </c>
      <c r="J45" s="562"/>
      <c r="K45" s="562"/>
      <c r="L45" s="562"/>
      <c r="M45" s="562"/>
      <c r="N45" s="563"/>
      <c r="O45" s="562"/>
      <c r="P45" s="564">
        <v>6011</v>
      </c>
      <c r="Q45" s="559">
        <v>-500</v>
      </c>
      <c r="R45" s="558"/>
      <c r="S45" s="578">
        <v>-500</v>
      </c>
      <c r="T45" s="565"/>
      <c r="U45" s="566">
        <v>356680</v>
      </c>
      <c r="V45" s="566"/>
    </row>
    <row r="46" spans="1:23" s="71" customFormat="1" x14ac:dyDescent="0.2">
      <c r="A46" s="16" t="s">
        <v>556</v>
      </c>
      <c r="B46" s="18" t="s">
        <v>638</v>
      </c>
      <c r="C46" s="18" t="s">
        <v>640</v>
      </c>
      <c r="D46" s="19">
        <v>36526</v>
      </c>
      <c r="E46" s="19">
        <v>36830</v>
      </c>
      <c r="F46" s="16" t="s">
        <v>428</v>
      </c>
      <c r="G46" s="16" t="s">
        <v>640</v>
      </c>
      <c r="H46" s="18"/>
      <c r="I46" s="24">
        <v>0.21609999999999999</v>
      </c>
      <c r="J46" s="20">
        <v>0</v>
      </c>
      <c r="K46" s="20">
        <v>0</v>
      </c>
      <c r="L46" s="20">
        <v>0</v>
      </c>
      <c r="M46" s="20">
        <v>0</v>
      </c>
      <c r="N46" s="21">
        <v>8.0000000000000002E-3</v>
      </c>
      <c r="O46" s="20">
        <f t="shared" ref="O46:O60" si="3">SUM(I46:M46)</f>
        <v>0.21609999999999999</v>
      </c>
      <c r="P46" s="33">
        <v>6500</v>
      </c>
      <c r="Q46" s="18">
        <v>7</v>
      </c>
      <c r="R46" s="16"/>
      <c r="S46" s="130">
        <f t="shared" si="2"/>
        <v>46.893699999999995</v>
      </c>
      <c r="T46" s="25"/>
      <c r="U46" s="139">
        <v>145042</v>
      </c>
      <c r="V46" s="139"/>
    </row>
    <row r="47" spans="1:23" s="71" customFormat="1" x14ac:dyDescent="0.2">
      <c r="A47" s="16" t="s">
        <v>556</v>
      </c>
      <c r="B47" s="18" t="s">
        <v>638</v>
      </c>
      <c r="C47" s="18" t="s">
        <v>642</v>
      </c>
      <c r="D47" s="19">
        <v>36526</v>
      </c>
      <c r="E47" s="19">
        <v>36830</v>
      </c>
      <c r="F47" s="16" t="s">
        <v>428</v>
      </c>
      <c r="G47" s="16" t="s">
        <v>640</v>
      </c>
      <c r="H47" s="18"/>
      <c r="I47" s="24">
        <f>2.9557/I1</f>
        <v>9.5345161290322583E-2</v>
      </c>
      <c r="J47" s="20">
        <v>0</v>
      </c>
      <c r="K47" s="20">
        <v>0</v>
      </c>
      <c r="L47" s="20">
        <v>0</v>
      </c>
      <c r="M47" s="20">
        <v>0</v>
      </c>
      <c r="N47" s="21">
        <v>8.0000000000000002E-3</v>
      </c>
      <c r="O47" s="20">
        <f t="shared" si="3"/>
        <v>9.5345161290322583E-2</v>
      </c>
      <c r="P47" s="33">
        <v>6005</v>
      </c>
      <c r="Q47" s="18">
        <v>1690</v>
      </c>
      <c r="R47" s="16"/>
      <c r="S47" s="130">
        <f t="shared" si="2"/>
        <v>4995.1330000000007</v>
      </c>
      <c r="T47" s="25"/>
      <c r="U47" s="139">
        <v>144644</v>
      </c>
      <c r="V47" s="139"/>
    </row>
    <row r="48" spans="1:23" s="71" customFormat="1" x14ac:dyDescent="0.2">
      <c r="A48" s="16" t="s">
        <v>556</v>
      </c>
      <c r="B48" s="18" t="s">
        <v>638</v>
      </c>
      <c r="C48" s="18" t="s">
        <v>642</v>
      </c>
      <c r="D48" s="19">
        <v>36526</v>
      </c>
      <c r="E48" s="19">
        <v>36830</v>
      </c>
      <c r="F48" s="16" t="s">
        <v>428</v>
      </c>
      <c r="G48" s="16" t="s">
        <v>640</v>
      </c>
      <c r="H48" s="18"/>
      <c r="I48" s="24">
        <f>2.9557/I1</f>
        <v>9.5345161290322583E-2</v>
      </c>
      <c r="J48" s="20">
        <v>0</v>
      </c>
      <c r="K48" s="20">
        <v>0</v>
      </c>
      <c r="L48" s="20">
        <v>0</v>
      </c>
      <c r="M48" s="20">
        <v>0</v>
      </c>
      <c r="N48" s="21">
        <v>8.0000000000000002E-3</v>
      </c>
      <c r="O48" s="20">
        <f t="shared" si="3"/>
        <v>9.5345161290322583E-2</v>
      </c>
      <c r="P48" s="33">
        <v>6047</v>
      </c>
      <c r="Q48" s="18">
        <v>1758</v>
      </c>
      <c r="R48" s="16"/>
      <c r="S48" s="130">
        <f t="shared" si="2"/>
        <v>5196.1206000000002</v>
      </c>
      <c r="T48" s="25"/>
      <c r="U48" s="139">
        <v>145016</v>
      </c>
      <c r="V48" s="139"/>
    </row>
    <row r="49" spans="1:23" s="71" customFormat="1" x14ac:dyDescent="0.2">
      <c r="A49" s="16" t="s">
        <v>556</v>
      </c>
      <c r="B49" s="18" t="s">
        <v>638</v>
      </c>
      <c r="C49" s="18" t="s">
        <v>642</v>
      </c>
      <c r="D49" s="19">
        <v>36526</v>
      </c>
      <c r="E49" s="19">
        <v>36830</v>
      </c>
      <c r="F49" s="16" t="s">
        <v>428</v>
      </c>
      <c r="G49" s="16" t="s">
        <v>640</v>
      </c>
      <c r="H49" s="18"/>
      <c r="I49" s="24">
        <f>2.9557/I1</f>
        <v>9.5345161290322583E-2</v>
      </c>
      <c r="J49" s="20">
        <v>0</v>
      </c>
      <c r="K49" s="20">
        <v>0</v>
      </c>
      <c r="L49" s="20">
        <v>0</v>
      </c>
      <c r="M49" s="20">
        <v>0</v>
      </c>
      <c r="N49" s="21">
        <v>8.0000000000000002E-3</v>
      </c>
      <c r="O49" s="20">
        <f t="shared" si="3"/>
        <v>9.5345161290322583E-2</v>
      </c>
      <c r="P49" s="33">
        <v>6048</v>
      </c>
      <c r="Q49" s="18">
        <v>2500</v>
      </c>
      <c r="R49" s="16"/>
      <c r="S49" s="130">
        <f t="shared" si="2"/>
        <v>7389.2500000000009</v>
      </c>
      <c r="T49" s="25"/>
      <c r="U49" s="139">
        <v>145019</v>
      </c>
      <c r="V49" s="139"/>
    </row>
    <row r="50" spans="1:23" s="71" customFormat="1" x14ac:dyDescent="0.2">
      <c r="A50" s="16" t="s">
        <v>556</v>
      </c>
      <c r="B50" s="18" t="s">
        <v>638</v>
      </c>
      <c r="C50" s="18" t="s">
        <v>642</v>
      </c>
      <c r="D50" s="19">
        <v>36526</v>
      </c>
      <c r="E50" s="19">
        <v>36830</v>
      </c>
      <c r="F50" s="16" t="s">
        <v>428</v>
      </c>
      <c r="G50" s="16" t="s">
        <v>640</v>
      </c>
      <c r="H50" s="18"/>
      <c r="I50" s="24">
        <f>2.9557/I1</f>
        <v>9.5345161290322583E-2</v>
      </c>
      <c r="J50" s="20">
        <v>0</v>
      </c>
      <c r="K50" s="20">
        <v>0</v>
      </c>
      <c r="L50" s="20">
        <v>0</v>
      </c>
      <c r="M50" s="20">
        <v>0</v>
      </c>
      <c r="N50" s="21">
        <v>8.0000000000000002E-3</v>
      </c>
      <c r="O50" s="20">
        <f t="shared" si="3"/>
        <v>9.5345161290322583E-2</v>
      </c>
      <c r="P50" s="33">
        <v>6049</v>
      </c>
      <c r="Q50" s="18">
        <v>12000</v>
      </c>
      <c r="R50" s="16"/>
      <c r="S50" s="130">
        <f t="shared" si="2"/>
        <v>35468.400000000001</v>
      </c>
      <c r="T50" s="25"/>
      <c r="U50" s="139">
        <v>145020</v>
      </c>
      <c r="V50" s="139"/>
    </row>
    <row r="51" spans="1:23" s="567" customFormat="1" x14ac:dyDescent="0.2">
      <c r="A51" s="558" t="s">
        <v>556</v>
      </c>
      <c r="B51" s="559" t="s">
        <v>638</v>
      </c>
      <c r="C51" s="559" t="s">
        <v>642</v>
      </c>
      <c r="D51" s="560">
        <v>36739</v>
      </c>
      <c r="E51" s="560">
        <v>36769</v>
      </c>
      <c r="F51" s="558" t="s">
        <v>428</v>
      </c>
      <c r="G51" s="558" t="s">
        <v>642</v>
      </c>
      <c r="H51" s="559"/>
      <c r="I51" s="561">
        <v>0.02</v>
      </c>
      <c r="J51" s="562"/>
      <c r="K51" s="562"/>
      <c r="L51" s="562"/>
      <c r="M51" s="562"/>
      <c r="N51" s="563"/>
      <c r="O51" s="562"/>
      <c r="P51" s="564">
        <v>6049</v>
      </c>
      <c r="Q51" s="559">
        <v>-1700</v>
      </c>
      <c r="R51" s="558"/>
      <c r="S51" s="578">
        <f>+I51*Q51*30</f>
        <v>-1020</v>
      </c>
      <c r="T51" s="565"/>
      <c r="U51" s="566">
        <v>356697</v>
      </c>
      <c r="V51" s="566"/>
    </row>
    <row r="52" spans="1:23" s="71" customFormat="1" x14ac:dyDescent="0.2">
      <c r="A52" s="16" t="s">
        <v>556</v>
      </c>
      <c r="B52" s="18" t="s">
        <v>638</v>
      </c>
      <c r="C52" s="18" t="s">
        <v>642</v>
      </c>
      <c r="D52" s="19">
        <v>36526</v>
      </c>
      <c r="E52" s="19">
        <v>36830</v>
      </c>
      <c r="F52" s="16" t="s">
        <v>428</v>
      </c>
      <c r="G52" s="16" t="s">
        <v>640</v>
      </c>
      <c r="H52" s="18"/>
      <c r="I52" s="24">
        <f>2.9557/I1</f>
        <v>9.5345161290322583E-2</v>
      </c>
      <c r="J52" s="20">
        <v>0</v>
      </c>
      <c r="K52" s="20">
        <v>0</v>
      </c>
      <c r="L52" s="20">
        <v>0</v>
      </c>
      <c r="M52" s="20">
        <v>0</v>
      </c>
      <c r="N52" s="21">
        <v>8.0000000000000002E-3</v>
      </c>
      <c r="O52" s="20">
        <f t="shared" si="3"/>
        <v>9.5345161290322583E-2</v>
      </c>
      <c r="P52" s="33">
        <v>6050</v>
      </c>
      <c r="Q52" s="18">
        <v>1745</v>
      </c>
      <c r="R52" s="16"/>
      <c r="S52" s="130">
        <f t="shared" si="2"/>
        <v>5157.6965</v>
      </c>
      <c r="T52" s="25"/>
      <c r="U52" s="139">
        <v>145025</v>
      </c>
      <c r="V52" s="139"/>
    </row>
    <row r="53" spans="1:23" s="71" customFormat="1" x14ac:dyDescent="0.2">
      <c r="A53" s="16" t="s">
        <v>556</v>
      </c>
      <c r="B53" s="18" t="s">
        <v>638</v>
      </c>
      <c r="C53" s="18" t="s">
        <v>642</v>
      </c>
      <c r="D53" s="19">
        <v>36526</v>
      </c>
      <c r="E53" s="19">
        <v>36830</v>
      </c>
      <c r="F53" s="16" t="s">
        <v>428</v>
      </c>
      <c r="G53" s="16" t="s">
        <v>640</v>
      </c>
      <c r="H53" s="18"/>
      <c r="I53" s="24">
        <f>2.9557/I1</f>
        <v>9.5345161290322583E-2</v>
      </c>
      <c r="J53" s="20">
        <v>0</v>
      </c>
      <c r="K53" s="20">
        <v>0</v>
      </c>
      <c r="L53" s="20">
        <v>0</v>
      </c>
      <c r="M53" s="20">
        <v>0</v>
      </c>
      <c r="N53" s="21">
        <v>8.0000000000000002E-3</v>
      </c>
      <c r="O53" s="20">
        <f t="shared" si="3"/>
        <v>9.5345161290322583E-2</v>
      </c>
      <c r="P53" s="33">
        <v>6051</v>
      </c>
      <c r="Q53" s="18">
        <v>2800</v>
      </c>
      <c r="R53" s="16"/>
      <c r="S53" s="130">
        <f t="shared" si="2"/>
        <v>8275.9600000000009</v>
      </c>
      <c r="T53" s="25"/>
      <c r="U53" s="139">
        <v>145028</v>
      </c>
      <c r="V53" s="139"/>
    </row>
    <row r="54" spans="1:23" s="71" customFormat="1" x14ac:dyDescent="0.2">
      <c r="A54" s="16" t="s">
        <v>556</v>
      </c>
      <c r="B54" s="18" t="s">
        <v>638</v>
      </c>
      <c r="C54" s="18" t="s">
        <v>642</v>
      </c>
      <c r="D54" s="19">
        <v>36526</v>
      </c>
      <c r="E54" s="19">
        <v>36830</v>
      </c>
      <c r="F54" s="16" t="s">
        <v>428</v>
      </c>
      <c r="G54" s="16" t="s">
        <v>640</v>
      </c>
      <c r="H54" s="18"/>
      <c r="I54" s="24">
        <f>2.9557/I1</f>
        <v>9.5345161290322583E-2</v>
      </c>
      <c r="J54" s="20">
        <v>0</v>
      </c>
      <c r="K54" s="20">
        <v>0</v>
      </c>
      <c r="L54" s="20">
        <v>0</v>
      </c>
      <c r="M54" s="20">
        <v>0</v>
      </c>
      <c r="N54" s="21">
        <v>8.0000000000000002E-3</v>
      </c>
      <c r="O54" s="20">
        <f t="shared" si="3"/>
        <v>9.5345161290322583E-2</v>
      </c>
      <c r="P54" s="33">
        <v>6052</v>
      </c>
      <c r="Q54" s="18">
        <v>1241</v>
      </c>
      <c r="R54" s="16"/>
      <c r="S54" s="130">
        <f t="shared" si="2"/>
        <v>3668.0237000000002</v>
      </c>
      <c r="T54" s="25"/>
      <c r="U54" s="139">
        <v>145029</v>
      </c>
      <c r="V54" s="139"/>
    </row>
    <row r="55" spans="1:23" s="71" customFormat="1" x14ac:dyDescent="0.2">
      <c r="A55" s="16" t="s">
        <v>556</v>
      </c>
      <c r="B55" s="18" t="s">
        <v>638</v>
      </c>
      <c r="C55" s="18" t="s">
        <v>642</v>
      </c>
      <c r="D55" s="19">
        <v>36526</v>
      </c>
      <c r="E55" s="19">
        <v>36830</v>
      </c>
      <c r="F55" s="16" t="s">
        <v>428</v>
      </c>
      <c r="G55" s="16" t="s">
        <v>640</v>
      </c>
      <c r="H55" s="18"/>
      <c r="I55" s="24">
        <f>2.9557/I1</f>
        <v>9.5345161290322583E-2</v>
      </c>
      <c r="J55" s="20">
        <v>0</v>
      </c>
      <c r="K55" s="20">
        <v>0</v>
      </c>
      <c r="L55" s="20">
        <v>0</v>
      </c>
      <c r="M55" s="20">
        <v>0</v>
      </c>
      <c r="N55" s="21">
        <v>8.0000000000000002E-3</v>
      </c>
      <c r="O55" s="20">
        <f t="shared" si="3"/>
        <v>9.5345161290322583E-2</v>
      </c>
      <c r="P55" s="33">
        <v>6053</v>
      </c>
      <c r="Q55" s="18">
        <v>2500</v>
      </c>
      <c r="R55" s="16"/>
      <c r="S55" s="130">
        <f t="shared" si="2"/>
        <v>7389.2500000000009</v>
      </c>
      <c r="T55" s="25"/>
      <c r="U55" s="139">
        <v>145030</v>
      </c>
      <c r="V55" s="139"/>
    </row>
    <row r="56" spans="1:23" s="71" customFormat="1" x14ac:dyDescent="0.2">
      <c r="A56" s="16" t="s">
        <v>556</v>
      </c>
      <c r="B56" s="18" t="s">
        <v>638</v>
      </c>
      <c r="C56" s="18" t="s">
        <v>641</v>
      </c>
      <c r="D56" s="19">
        <v>36526</v>
      </c>
      <c r="E56" s="19">
        <v>36830</v>
      </c>
      <c r="F56" s="16" t="s">
        <v>428</v>
      </c>
      <c r="G56" s="16" t="s">
        <v>641</v>
      </c>
      <c r="H56" s="18"/>
      <c r="I56" s="24">
        <f>2.9557/I1</f>
        <v>9.5345161290322583E-2</v>
      </c>
      <c r="J56" s="20">
        <v>0</v>
      </c>
      <c r="K56" s="20">
        <v>0</v>
      </c>
      <c r="L56" s="20">
        <v>0</v>
      </c>
      <c r="M56" s="20">
        <v>0</v>
      </c>
      <c r="N56" s="21">
        <v>8.0000000000000002E-3</v>
      </c>
      <c r="O56" s="20">
        <f t="shared" si="3"/>
        <v>9.5345161290322583E-2</v>
      </c>
      <c r="P56" s="33">
        <v>6009</v>
      </c>
      <c r="Q56" s="18">
        <v>5281</v>
      </c>
      <c r="R56" s="16"/>
      <c r="S56" s="130">
        <f t="shared" si="2"/>
        <v>15609.051700000002</v>
      </c>
      <c r="T56" s="25"/>
      <c r="U56" s="139">
        <v>212387</v>
      </c>
      <c r="V56" s="139"/>
    </row>
    <row r="57" spans="1:23" s="567" customFormat="1" x14ac:dyDescent="0.2">
      <c r="A57" s="558" t="s">
        <v>556</v>
      </c>
      <c r="B57" s="559" t="s">
        <v>638</v>
      </c>
      <c r="C57" s="559" t="s">
        <v>641</v>
      </c>
      <c r="D57" s="560">
        <v>36739</v>
      </c>
      <c r="E57" s="560">
        <v>36769</v>
      </c>
      <c r="F57" s="558" t="s">
        <v>428</v>
      </c>
      <c r="G57" s="558" t="s">
        <v>641</v>
      </c>
      <c r="H57" s="559"/>
      <c r="I57" s="561">
        <v>0.02</v>
      </c>
      <c r="J57" s="562"/>
      <c r="K57" s="562"/>
      <c r="L57" s="562"/>
      <c r="M57" s="562"/>
      <c r="N57" s="563"/>
      <c r="O57" s="562"/>
      <c r="P57" s="564">
        <v>6009</v>
      </c>
      <c r="Q57" s="559">
        <v>-1400</v>
      </c>
      <c r="R57" s="558"/>
      <c r="S57" s="578">
        <f>+Q57*I57*30</f>
        <v>-840</v>
      </c>
      <c r="T57" s="565"/>
      <c r="U57" s="566">
        <v>346727</v>
      </c>
      <c r="V57" s="566"/>
    </row>
    <row r="58" spans="1:23" s="71" customFormat="1" x14ac:dyDescent="0.2">
      <c r="A58" s="16" t="s">
        <v>556</v>
      </c>
      <c r="B58" s="18" t="s">
        <v>638</v>
      </c>
      <c r="C58" s="18" t="s">
        <v>641</v>
      </c>
      <c r="D58" s="19">
        <v>36526</v>
      </c>
      <c r="E58" s="19">
        <v>36830</v>
      </c>
      <c r="F58" s="16" t="s">
        <v>428</v>
      </c>
      <c r="G58" s="16" t="s">
        <v>641</v>
      </c>
      <c r="H58" s="18"/>
      <c r="I58" s="24">
        <f>2.9557/I1</f>
        <v>9.5345161290322583E-2</v>
      </c>
      <c r="J58" s="20">
        <v>0</v>
      </c>
      <c r="K58" s="20">
        <v>0</v>
      </c>
      <c r="L58" s="20">
        <v>0</v>
      </c>
      <c r="M58" s="20">
        <v>0</v>
      </c>
      <c r="N58" s="21">
        <v>8.0000000000000002E-3</v>
      </c>
      <c r="O58" s="20">
        <f t="shared" si="3"/>
        <v>9.5345161290322583E-2</v>
      </c>
      <c r="P58" s="33">
        <v>6055</v>
      </c>
      <c r="Q58" s="18">
        <v>23254</v>
      </c>
      <c r="R58" s="16"/>
      <c r="S58" s="130">
        <f t="shared" si="2"/>
        <v>68731.847800000003</v>
      </c>
      <c r="T58" s="25"/>
      <c r="U58" s="139">
        <v>145048</v>
      </c>
      <c r="V58" s="139"/>
    </row>
    <row r="59" spans="1:23" s="71" customFormat="1" x14ac:dyDescent="0.2">
      <c r="A59" s="16" t="s">
        <v>556</v>
      </c>
      <c r="B59" s="18" t="s">
        <v>638</v>
      </c>
      <c r="C59" s="18" t="s">
        <v>641</v>
      </c>
      <c r="D59" s="19">
        <v>36526</v>
      </c>
      <c r="E59" s="19">
        <v>36830</v>
      </c>
      <c r="F59" s="16" t="s">
        <v>428</v>
      </c>
      <c r="G59" s="16" t="s">
        <v>641</v>
      </c>
      <c r="H59" s="18"/>
      <c r="I59" s="24">
        <f>2.9557/I1</f>
        <v>9.5345161290322583E-2</v>
      </c>
      <c r="J59" s="20">
        <v>0</v>
      </c>
      <c r="K59" s="20">
        <v>0</v>
      </c>
      <c r="L59" s="20">
        <v>0</v>
      </c>
      <c r="M59" s="20">
        <v>0</v>
      </c>
      <c r="N59" s="21">
        <v>8.0000000000000002E-3</v>
      </c>
      <c r="O59" s="20">
        <f t="shared" si="3"/>
        <v>9.5345161290322583E-2</v>
      </c>
      <c r="P59" s="33">
        <v>6056</v>
      </c>
      <c r="Q59" s="18">
        <v>10000</v>
      </c>
      <c r="R59" s="16"/>
      <c r="S59" s="130">
        <f t="shared" si="2"/>
        <v>29557.000000000004</v>
      </c>
      <c r="T59" s="25"/>
      <c r="U59" s="139">
        <v>145049</v>
      </c>
      <c r="V59" s="139"/>
    </row>
    <row r="60" spans="1:23" s="71" customFormat="1" x14ac:dyDescent="0.2">
      <c r="A60" s="16" t="s">
        <v>556</v>
      </c>
      <c r="B60" s="18" t="s">
        <v>638</v>
      </c>
      <c r="C60" s="18" t="s">
        <v>641</v>
      </c>
      <c r="D60" s="19">
        <v>36526</v>
      </c>
      <c r="E60" s="19">
        <v>36830</v>
      </c>
      <c r="F60" s="16" t="s">
        <v>428</v>
      </c>
      <c r="G60" s="16" t="s">
        <v>641</v>
      </c>
      <c r="H60" s="18"/>
      <c r="I60" s="24">
        <f>2.9557/I1</f>
        <v>9.5345161290322583E-2</v>
      </c>
      <c r="J60" s="20">
        <v>0</v>
      </c>
      <c r="K60" s="20">
        <v>0</v>
      </c>
      <c r="L60" s="20">
        <v>0</v>
      </c>
      <c r="M60" s="20">
        <v>0</v>
      </c>
      <c r="N60" s="21">
        <v>8.0000000000000002E-3</v>
      </c>
      <c r="O60" s="20">
        <f t="shared" si="3"/>
        <v>9.5345161290322583E-2</v>
      </c>
      <c r="P60" s="33">
        <v>6063</v>
      </c>
      <c r="Q60" s="18">
        <v>5000</v>
      </c>
      <c r="R60" s="16"/>
      <c r="S60" s="130">
        <f t="shared" si="2"/>
        <v>14778.500000000002</v>
      </c>
      <c r="T60" s="25"/>
      <c r="U60" s="139">
        <v>145050</v>
      </c>
      <c r="V60" s="139"/>
    </row>
    <row r="62" spans="1:23" s="71" customFormat="1" x14ac:dyDescent="0.2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32"/>
      <c r="L62" s="20"/>
      <c r="M62" s="20"/>
      <c r="N62" s="21"/>
      <c r="O62" s="20"/>
      <c r="P62" s="33"/>
      <c r="Q62" s="18"/>
      <c r="R62" s="18"/>
      <c r="S62" s="25"/>
      <c r="T62" s="25"/>
      <c r="U62" s="139"/>
      <c r="V62" s="139"/>
    </row>
    <row r="63" spans="1:23" s="71" customFormat="1" x14ac:dyDescent="0.2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29"/>
      <c r="O63" s="20"/>
      <c r="P63" s="294"/>
      <c r="Q63" s="150">
        <f>SUM(Q40:Q62)</f>
        <v>70975</v>
      </c>
      <c r="R63" s="382" t="s">
        <v>715</v>
      </c>
      <c r="S63" s="41">
        <f>SUM(S40:S62)</f>
        <v>216929.66890000002</v>
      </c>
      <c r="T63" s="25"/>
      <c r="U63" s="347"/>
      <c r="V63" s="139"/>
      <c r="W63" s="139"/>
    </row>
    <row r="64" spans="1:23" s="71" customFormat="1" x14ac:dyDescent="0.2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29"/>
      <c r="O64" s="20"/>
      <c r="P64" s="294"/>
      <c r="Q64" s="355"/>
      <c r="R64" s="382" t="s">
        <v>997</v>
      </c>
      <c r="S64" s="41">
        <f>SUM(S40:S60)</f>
        <v>216929.66890000002</v>
      </c>
      <c r="T64" s="25"/>
      <c r="U64" s="347"/>
      <c r="V64" s="139"/>
      <c r="W64" s="139"/>
    </row>
    <row r="65" spans="1:35" s="71" customFormat="1" ht="13.5" thickBot="1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329"/>
      <c r="O65" s="20"/>
      <c r="P65" s="294"/>
      <c r="Q65" s="355"/>
      <c r="R65" s="382" t="s">
        <v>998</v>
      </c>
      <c r="S65" s="572">
        <f>+S63-S64</f>
        <v>0</v>
      </c>
      <c r="T65" s="25"/>
      <c r="U65" s="347"/>
      <c r="V65" s="139"/>
      <c r="W65" s="139"/>
    </row>
    <row r="66" spans="1:35" s="71" customFormat="1" ht="13.5" thickTop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329"/>
      <c r="O66" s="20"/>
      <c r="P66" s="294"/>
      <c r="Q66" s="18"/>
      <c r="R66" s="16"/>
      <c r="S66" s="25"/>
      <c r="T66" s="25"/>
      <c r="U66" s="347"/>
      <c r="V66" s="139"/>
      <c r="W66" s="139"/>
    </row>
    <row r="67" spans="1:35" s="544" customFormat="1" x14ac:dyDescent="0.2">
      <c r="A67" s="537" t="s">
        <v>49</v>
      </c>
      <c r="B67" s="538" t="s">
        <v>50</v>
      </c>
      <c r="C67" s="538" t="s">
        <v>51</v>
      </c>
      <c r="D67" s="539" t="s">
        <v>52</v>
      </c>
      <c r="E67" s="539"/>
      <c r="F67" s="537" t="s">
        <v>53</v>
      </c>
      <c r="G67" s="537" t="s">
        <v>54</v>
      </c>
      <c r="H67" s="538" t="s">
        <v>55</v>
      </c>
      <c r="I67" s="540" t="s">
        <v>56</v>
      </c>
      <c r="J67" s="538" t="s">
        <v>57</v>
      </c>
      <c r="K67" s="538" t="s">
        <v>58</v>
      </c>
      <c r="L67" s="538" t="s">
        <v>59</v>
      </c>
      <c r="M67" s="538" t="s">
        <v>60</v>
      </c>
      <c r="N67" s="545" t="s">
        <v>62</v>
      </c>
      <c r="O67" s="538" t="s">
        <v>63</v>
      </c>
      <c r="P67" s="542" t="s">
        <v>64</v>
      </c>
      <c r="Q67" s="538" t="s">
        <v>65</v>
      </c>
      <c r="R67" s="537" t="s">
        <v>66</v>
      </c>
      <c r="S67" s="531" t="s">
        <v>634</v>
      </c>
      <c r="T67" s="531" t="s">
        <v>635</v>
      </c>
      <c r="U67" s="534"/>
      <c r="V67" s="534"/>
    </row>
    <row r="68" spans="1:35" s="71" customFormat="1" x14ac:dyDescent="0.2">
      <c r="A68" s="16" t="s">
        <v>67</v>
      </c>
      <c r="B68" s="16" t="s">
        <v>466</v>
      </c>
      <c r="C68" s="18" t="s">
        <v>88</v>
      </c>
      <c r="D68" s="19">
        <v>36281</v>
      </c>
      <c r="E68" s="19">
        <v>36831</v>
      </c>
      <c r="F68" s="16" t="s">
        <v>467</v>
      </c>
      <c r="G68" s="16" t="s">
        <v>468</v>
      </c>
      <c r="H68" s="18" t="s">
        <v>47</v>
      </c>
      <c r="I68" s="20">
        <v>3.9E-2</v>
      </c>
      <c r="J68" s="20">
        <v>3.0000000000000001E-3</v>
      </c>
      <c r="K68" s="20">
        <v>2.2000000000000001E-3</v>
      </c>
      <c r="L68" s="20">
        <v>0</v>
      </c>
      <c r="M68" s="20">
        <v>0</v>
      </c>
      <c r="N68" s="21">
        <v>0</v>
      </c>
      <c r="O68" s="20">
        <f>SUM(I68:M68)</f>
        <v>4.4200000000000003E-2</v>
      </c>
      <c r="P68" s="33">
        <v>105431</v>
      </c>
      <c r="Q68" s="18">
        <v>5000</v>
      </c>
      <c r="R68" s="16" t="s">
        <v>469</v>
      </c>
      <c r="S68" s="130">
        <f>I68*I$1*Q68</f>
        <v>6045</v>
      </c>
      <c r="T68" s="130"/>
      <c r="U68" s="139">
        <v>93729</v>
      </c>
      <c r="V68" s="139"/>
    </row>
    <row r="69" spans="1:35" s="71" customForma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32"/>
      <c r="L69" s="20"/>
      <c r="M69" s="20"/>
      <c r="N69" s="21"/>
      <c r="O69" s="20"/>
      <c r="P69" s="33"/>
      <c r="Q69" s="18"/>
      <c r="R69" s="18"/>
      <c r="S69" s="293"/>
      <c r="T69" s="293">
        <f>SUM(T68:T68)</f>
        <v>0</v>
      </c>
      <c r="U69" s="139"/>
      <c r="V69" s="139"/>
    </row>
    <row r="70" spans="1:35" s="71" customFormat="1" x14ac:dyDescent="0.2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29"/>
      <c r="O70" s="20"/>
      <c r="P70" s="294"/>
      <c r="Q70" s="150">
        <f>SUM(Q68:Q69)</f>
        <v>5000</v>
      </c>
      <c r="R70" s="382" t="s">
        <v>715</v>
      </c>
      <c r="S70" s="41">
        <f>SUM(S68:S69)</f>
        <v>6045</v>
      </c>
      <c r="T70" s="25"/>
      <c r="U70" s="347"/>
      <c r="V70" s="139"/>
      <c r="W70" s="139"/>
    </row>
    <row r="71" spans="1:35" s="71" customFormat="1" x14ac:dyDescent="0.2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29"/>
      <c r="O71" s="20"/>
      <c r="P71" s="294"/>
      <c r="Q71" s="355"/>
      <c r="R71" s="382" t="s">
        <v>997</v>
      </c>
      <c r="S71" s="41">
        <v>0</v>
      </c>
      <c r="T71" s="25"/>
      <c r="U71" s="347"/>
      <c r="V71" s="139"/>
      <c r="W71" s="139"/>
    </row>
    <row r="72" spans="1:35" s="71" customFormat="1" ht="13.5" thickBot="1" x14ac:dyDescent="0.25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20"/>
      <c r="L72" s="20"/>
      <c r="M72" s="20"/>
      <c r="N72" s="329"/>
      <c r="O72" s="20"/>
      <c r="P72" s="294"/>
      <c r="Q72" s="355"/>
      <c r="R72" s="382" t="s">
        <v>998</v>
      </c>
      <c r="S72" s="572">
        <f>+S70-S71</f>
        <v>6045</v>
      </c>
      <c r="T72" s="25"/>
      <c r="U72" s="347"/>
      <c r="V72" s="139"/>
      <c r="W72" s="139"/>
    </row>
    <row r="73" spans="1:35" s="71" customFormat="1" ht="13.5" thickTop="1" x14ac:dyDescent="0.2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329"/>
      <c r="O73" s="20"/>
      <c r="P73" s="294"/>
      <c r="Q73" s="18"/>
      <c r="R73" s="16"/>
      <c r="S73" s="25"/>
      <c r="T73" s="25"/>
      <c r="U73" s="347"/>
      <c r="V73" s="139"/>
      <c r="W73" s="139"/>
    </row>
    <row r="74" spans="1:35" s="544" customFormat="1" x14ac:dyDescent="0.2">
      <c r="A74" s="537" t="s">
        <v>49</v>
      </c>
      <c r="B74" s="538" t="s">
        <v>50</v>
      </c>
      <c r="C74" s="538" t="s">
        <v>51</v>
      </c>
      <c r="D74" s="539" t="s">
        <v>52</v>
      </c>
      <c r="E74" s="539"/>
      <c r="F74" s="537" t="s">
        <v>53</v>
      </c>
      <c r="G74" s="537" t="s">
        <v>54</v>
      </c>
      <c r="H74" s="538" t="s">
        <v>55</v>
      </c>
      <c r="I74" s="540" t="s">
        <v>56</v>
      </c>
      <c r="J74" s="538" t="s">
        <v>57</v>
      </c>
      <c r="K74" s="538" t="s">
        <v>58</v>
      </c>
      <c r="L74" s="538" t="s">
        <v>59</v>
      </c>
      <c r="M74" s="538" t="s">
        <v>60</v>
      </c>
      <c r="N74" s="545" t="s">
        <v>62</v>
      </c>
      <c r="O74" s="538" t="s">
        <v>63</v>
      </c>
      <c r="P74" s="542" t="s">
        <v>64</v>
      </c>
      <c r="Q74" s="538" t="s">
        <v>65</v>
      </c>
      <c r="R74" s="537" t="s">
        <v>66</v>
      </c>
      <c r="S74" s="531" t="s">
        <v>634</v>
      </c>
      <c r="T74" s="531" t="s">
        <v>635</v>
      </c>
      <c r="U74" s="534"/>
      <c r="V74" s="534"/>
    </row>
    <row r="75" spans="1:35" s="567" customFormat="1" x14ac:dyDescent="0.2">
      <c r="A75" s="558" t="s">
        <v>556</v>
      </c>
      <c r="B75" s="559" t="s">
        <v>73</v>
      </c>
      <c r="C75" s="559" t="s">
        <v>582</v>
      </c>
      <c r="D75" s="560">
        <v>36526</v>
      </c>
      <c r="E75" s="560"/>
      <c r="F75" s="558" t="s">
        <v>664</v>
      </c>
      <c r="G75" s="558" t="s">
        <v>664</v>
      </c>
      <c r="H75" s="559" t="s">
        <v>68</v>
      </c>
      <c r="I75" s="561">
        <f>5.4801/I1</f>
        <v>0.17677741935483871</v>
      </c>
      <c r="J75" s="562">
        <v>0</v>
      </c>
      <c r="K75" s="562">
        <v>0</v>
      </c>
      <c r="L75" s="562">
        <v>0</v>
      </c>
      <c r="M75" s="562">
        <v>0</v>
      </c>
      <c r="N75" s="563">
        <v>3.6900000000000002E-2</v>
      </c>
      <c r="O75" s="562">
        <v>0</v>
      </c>
      <c r="P75" s="580">
        <v>1440</v>
      </c>
      <c r="Q75" s="559">
        <v>5553</v>
      </c>
      <c r="R75" s="565" t="s">
        <v>47</v>
      </c>
      <c r="S75" s="565">
        <f>+I75*Q75*I1</f>
        <v>30430.995299999999</v>
      </c>
      <c r="T75" s="565"/>
      <c r="U75" s="566"/>
      <c r="V75" s="566"/>
      <c r="W75" s="567" t="s">
        <v>644</v>
      </c>
    </row>
    <row r="76" spans="1:35" s="567" customFormat="1" x14ac:dyDescent="0.2">
      <c r="A76" s="558" t="s">
        <v>556</v>
      </c>
      <c r="B76" s="559" t="s">
        <v>73</v>
      </c>
      <c r="C76" s="559" t="s">
        <v>582</v>
      </c>
      <c r="D76" s="560">
        <v>36526</v>
      </c>
      <c r="E76" s="560"/>
      <c r="F76" s="558" t="s">
        <v>664</v>
      </c>
      <c r="G76" s="558" t="s">
        <v>664</v>
      </c>
      <c r="H76" s="559" t="s">
        <v>68</v>
      </c>
      <c r="I76" s="561">
        <f>5.64/I1</f>
        <v>0.18193548387096772</v>
      </c>
      <c r="J76" s="562">
        <v>0</v>
      </c>
      <c r="K76" s="562">
        <v>0</v>
      </c>
      <c r="L76" s="562">
        <v>0</v>
      </c>
      <c r="M76" s="562">
        <v>0</v>
      </c>
      <c r="N76" s="563">
        <v>3.6900000000000002E-2</v>
      </c>
      <c r="O76" s="562">
        <v>0</v>
      </c>
      <c r="P76" s="580">
        <v>1548</v>
      </c>
      <c r="Q76" s="559">
        <v>4591</v>
      </c>
      <c r="R76" s="565" t="s">
        <v>47</v>
      </c>
      <c r="S76" s="565">
        <f>+I76*Q76*I1</f>
        <v>25893.239999999994</v>
      </c>
      <c r="T76" s="565"/>
      <c r="U76" s="566"/>
      <c r="V76" s="566"/>
      <c r="W76" s="567" t="s">
        <v>644</v>
      </c>
    </row>
    <row r="77" spans="1:35" s="567" customFormat="1" x14ac:dyDescent="0.2">
      <c r="A77" s="558" t="s">
        <v>556</v>
      </c>
      <c r="B77" s="559" t="s">
        <v>73</v>
      </c>
      <c r="C77" s="559" t="s">
        <v>582</v>
      </c>
      <c r="D77" s="560">
        <v>36039</v>
      </c>
      <c r="E77" s="560">
        <v>36831</v>
      </c>
      <c r="F77" s="558" t="s">
        <v>583</v>
      </c>
      <c r="G77" s="558"/>
      <c r="H77" s="559" t="s">
        <v>68</v>
      </c>
      <c r="I77" s="561">
        <v>1.8700000000000001E-2</v>
      </c>
      <c r="J77" s="562">
        <v>0</v>
      </c>
      <c r="K77" s="562">
        <v>0</v>
      </c>
      <c r="L77" s="562">
        <v>0</v>
      </c>
      <c r="M77" s="562">
        <v>0</v>
      </c>
      <c r="N77" s="563">
        <v>3.6900000000000002E-2</v>
      </c>
      <c r="O77" s="562">
        <v>0</v>
      </c>
      <c r="P77" s="564">
        <v>2210</v>
      </c>
      <c r="Q77" s="559">
        <v>709765</v>
      </c>
      <c r="R77" s="565" t="s">
        <v>643</v>
      </c>
      <c r="S77" s="565">
        <f>+Q77*I77</f>
        <v>13272.605500000001</v>
      </c>
      <c r="T77" s="565"/>
      <c r="U77" s="566">
        <v>105938</v>
      </c>
      <c r="V77" s="566">
        <v>96005270</v>
      </c>
      <c r="W77" s="567" t="s">
        <v>644</v>
      </c>
    </row>
    <row r="78" spans="1:35" s="567" customFormat="1" x14ac:dyDescent="0.2">
      <c r="A78" s="558" t="s">
        <v>556</v>
      </c>
      <c r="B78" s="559" t="s">
        <v>73</v>
      </c>
      <c r="C78" s="559" t="s">
        <v>582</v>
      </c>
      <c r="D78" s="560">
        <v>36039</v>
      </c>
      <c r="E78" s="560">
        <v>36831</v>
      </c>
      <c r="F78" s="558" t="s">
        <v>583</v>
      </c>
      <c r="G78" s="558"/>
      <c r="H78" s="559" t="s">
        <v>68</v>
      </c>
      <c r="I78" s="561">
        <v>3.9E-2</v>
      </c>
      <c r="J78" s="562">
        <v>0</v>
      </c>
      <c r="K78" s="562">
        <v>0</v>
      </c>
      <c r="L78" s="562">
        <v>0</v>
      </c>
      <c r="M78" s="562">
        <v>0</v>
      </c>
      <c r="N78" s="563">
        <v>3.6900000000000002E-2</v>
      </c>
      <c r="O78" s="562">
        <v>0</v>
      </c>
      <c r="P78" s="564">
        <v>2210</v>
      </c>
      <c r="Q78" s="559">
        <v>14388</v>
      </c>
      <c r="R78" s="565" t="s">
        <v>643</v>
      </c>
      <c r="S78" s="565">
        <f>+I78*Q78*I1</f>
        <v>17395.091999999997</v>
      </c>
      <c r="T78" s="565"/>
      <c r="U78" s="566">
        <v>105938</v>
      </c>
      <c r="V78" s="566">
        <v>96005270</v>
      </c>
      <c r="W78" s="567" t="s">
        <v>644</v>
      </c>
    </row>
    <row r="79" spans="1:35" s="567" customFormat="1" x14ac:dyDescent="0.2">
      <c r="A79" s="558" t="s">
        <v>556</v>
      </c>
      <c r="B79" s="559" t="s">
        <v>73</v>
      </c>
      <c r="C79" s="559" t="s">
        <v>1044</v>
      </c>
      <c r="D79" s="560">
        <v>36039</v>
      </c>
      <c r="E79" s="560">
        <v>36831</v>
      </c>
      <c r="F79" s="558" t="s">
        <v>583</v>
      </c>
      <c r="G79" s="558"/>
      <c r="H79" s="559" t="s">
        <v>68</v>
      </c>
      <c r="I79" s="561">
        <v>1.8700000000000001E-2</v>
      </c>
      <c r="J79" s="562">
        <v>0</v>
      </c>
      <c r="K79" s="562">
        <v>0</v>
      </c>
      <c r="L79" s="562">
        <v>0</v>
      </c>
      <c r="M79" s="562">
        <v>0</v>
      </c>
      <c r="N79" s="563">
        <v>3.6900000000000002E-2</v>
      </c>
      <c r="O79" s="562">
        <v>0</v>
      </c>
      <c r="P79" s="564">
        <v>2076</v>
      </c>
      <c r="Q79" s="559">
        <v>11827</v>
      </c>
      <c r="R79" s="565" t="s">
        <v>666</v>
      </c>
      <c r="S79" s="565">
        <f>+I79*Q79</f>
        <v>221.16490000000002</v>
      </c>
      <c r="T79" s="565"/>
      <c r="U79" s="566">
        <v>105939</v>
      </c>
      <c r="V79" s="566">
        <v>96006727</v>
      </c>
    </row>
    <row r="80" spans="1:35" s="567" customFormat="1" x14ac:dyDescent="0.2">
      <c r="A80" s="558" t="s">
        <v>556</v>
      </c>
      <c r="B80" s="559" t="s">
        <v>73</v>
      </c>
      <c r="C80" s="559" t="s">
        <v>1044</v>
      </c>
      <c r="D80" s="560">
        <v>36039</v>
      </c>
      <c r="E80" s="560">
        <v>36831</v>
      </c>
      <c r="F80" s="558" t="s">
        <v>583</v>
      </c>
      <c r="G80" s="558"/>
      <c r="H80" s="559"/>
      <c r="I80" s="561">
        <v>3.9E-2</v>
      </c>
      <c r="J80" s="562"/>
      <c r="K80" s="562"/>
      <c r="L80" s="562"/>
      <c r="M80" s="562"/>
      <c r="N80" s="563"/>
      <c r="O80" s="562"/>
      <c r="P80" s="564">
        <v>2076</v>
      </c>
      <c r="Q80" s="559">
        <v>209</v>
      </c>
      <c r="R80" s="565" t="s">
        <v>666</v>
      </c>
      <c r="S80" s="565">
        <f>+I80*Q80*I1</f>
        <v>252.68099999999998</v>
      </c>
      <c r="T80" s="565"/>
      <c r="U80" s="566"/>
      <c r="V80" s="566"/>
      <c r="X80" s="567">
        <v>1</v>
      </c>
      <c r="Y80" s="567">
        <v>2</v>
      </c>
      <c r="Z80" s="567">
        <v>3</v>
      </c>
      <c r="AA80" s="567">
        <v>4</v>
      </c>
      <c r="AB80" s="567">
        <v>5</v>
      </c>
      <c r="AC80" s="567">
        <v>6</v>
      </c>
      <c r="AD80" s="567">
        <v>7</v>
      </c>
      <c r="AE80" s="567">
        <v>8</v>
      </c>
      <c r="AF80" s="567">
        <v>9</v>
      </c>
      <c r="AG80" s="567">
        <v>10</v>
      </c>
      <c r="AH80" s="567">
        <v>11</v>
      </c>
      <c r="AI80" s="567">
        <v>12</v>
      </c>
    </row>
    <row r="81" spans="1:35" s="567" customFormat="1" x14ac:dyDescent="0.2">
      <c r="A81" s="558" t="s">
        <v>556</v>
      </c>
      <c r="B81" s="559" t="s">
        <v>73</v>
      </c>
      <c r="C81" s="559" t="s">
        <v>1044</v>
      </c>
      <c r="D81" s="560">
        <v>36039</v>
      </c>
      <c r="E81" s="560">
        <v>36831</v>
      </c>
      <c r="F81" s="558" t="s">
        <v>664</v>
      </c>
      <c r="G81" s="558" t="s">
        <v>664</v>
      </c>
      <c r="H81" s="559" t="s">
        <v>68</v>
      </c>
      <c r="I81" s="561">
        <v>0.19567000000000001</v>
      </c>
      <c r="J81" s="562">
        <v>0</v>
      </c>
      <c r="K81" s="562">
        <v>0</v>
      </c>
      <c r="L81" s="562">
        <v>0</v>
      </c>
      <c r="M81" s="562">
        <v>0</v>
      </c>
      <c r="N81" s="563">
        <v>3.6900000000000002E-2</v>
      </c>
      <c r="O81" s="562">
        <v>0</v>
      </c>
      <c r="P81" s="564">
        <v>1339</v>
      </c>
      <c r="Q81" s="559">
        <f>VLOOKUP(X81,X80:AI81,$G$1)</f>
        <v>58</v>
      </c>
      <c r="R81" s="565" t="s">
        <v>665</v>
      </c>
      <c r="S81" s="565">
        <f>+I81*Q81*I1</f>
        <v>351.81466</v>
      </c>
      <c r="T81" s="565"/>
      <c r="U81" s="566">
        <v>251714</v>
      </c>
      <c r="V81" s="566"/>
      <c r="X81" s="567">
        <f>373+72</f>
        <v>445</v>
      </c>
      <c r="Y81" s="567">
        <f>230+72</f>
        <v>302</v>
      </c>
      <c r="Z81" s="567">
        <f>180+72</f>
        <v>252</v>
      </c>
      <c r="AA81" s="567">
        <f>120+52</f>
        <v>172</v>
      </c>
      <c r="AB81" s="567">
        <f>90+40</f>
        <v>130</v>
      </c>
      <c r="AC81" s="567">
        <f>40+18</f>
        <v>58</v>
      </c>
      <c r="AD81" s="567">
        <f>40+18</f>
        <v>58</v>
      </c>
      <c r="AE81" s="567">
        <v>58</v>
      </c>
      <c r="AF81" s="567">
        <f>90+40</f>
        <v>130</v>
      </c>
      <c r="AG81" s="567">
        <f>120+52</f>
        <v>172</v>
      </c>
      <c r="AH81" s="567">
        <f>200+72+200+72</f>
        <v>544</v>
      </c>
      <c r="AI81" s="567">
        <f>373+72</f>
        <v>445</v>
      </c>
    </row>
    <row r="82" spans="1:35" s="220" customFormat="1" ht="12" customHeight="1" x14ac:dyDescent="0.2">
      <c r="A82" s="180" t="s">
        <v>491</v>
      </c>
      <c r="B82" s="362" t="s">
        <v>73</v>
      </c>
      <c r="C82" s="362" t="s">
        <v>492</v>
      </c>
      <c r="D82" s="363">
        <v>36617</v>
      </c>
      <c r="E82" s="363">
        <v>36830</v>
      </c>
      <c r="F82" s="180" t="s">
        <v>738</v>
      </c>
      <c r="G82" s="180" t="s">
        <v>490</v>
      </c>
      <c r="H82" s="362" t="s">
        <v>68</v>
      </c>
      <c r="I82" s="364">
        <f>0.47/I1</f>
        <v>1.5161290322580644E-2</v>
      </c>
      <c r="J82" s="365">
        <v>6.6900000000000001E-2</v>
      </c>
      <c r="K82" s="365">
        <v>2.2000000000000001E-3</v>
      </c>
      <c r="L82" s="365">
        <v>7.4999999999999997E-3</v>
      </c>
      <c r="M82" s="365">
        <v>0</v>
      </c>
      <c r="N82" s="601">
        <v>2.7900000000000001E-2</v>
      </c>
      <c r="O82" s="365">
        <f t="shared" ref="O82:O88" si="4">SUM(I82:M82)</f>
        <v>9.1761290322580624E-2</v>
      </c>
      <c r="P82" s="556">
        <v>32976</v>
      </c>
      <c r="Q82" s="362">
        <v>10000</v>
      </c>
      <c r="R82" s="619" t="s">
        <v>47</v>
      </c>
      <c r="S82" s="367">
        <f>I82*$I$1*Q82</f>
        <v>4700</v>
      </c>
      <c r="T82" s="367"/>
      <c r="U82" s="368">
        <v>227993</v>
      </c>
      <c r="V82" s="368"/>
    </row>
    <row r="83" spans="1:35" s="71" customFormat="1" ht="12" customHeight="1" x14ac:dyDescent="0.2">
      <c r="A83" s="16" t="s">
        <v>491</v>
      </c>
      <c r="B83" s="18" t="s">
        <v>73</v>
      </c>
      <c r="C83" s="18" t="s">
        <v>603</v>
      </c>
      <c r="D83" s="19">
        <v>36617</v>
      </c>
      <c r="E83" s="19">
        <v>36830</v>
      </c>
      <c r="F83" s="16" t="s">
        <v>738</v>
      </c>
      <c r="G83" s="16" t="s">
        <v>738</v>
      </c>
      <c r="H83" s="18" t="s">
        <v>68</v>
      </c>
      <c r="I83" s="24">
        <v>0</v>
      </c>
      <c r="J83" s="20">
        <v>6.6900000000000001E-2</v>
      </c>
      <c r="K83" s="20">
        <v>2.2000000000000001E-3</v>
      </c>
      <c r="L83" s="20">
        <v>7.4999999999999997E-3</v>
      </c>
      <c r="M83" s="20">
        <v>0</v>
      </c>
      <c r="N83" s="21">
        <v>2.7900000000000001E-2</v>
      </c>
      <c r="O83" s="20">
        <f t="shared" si="4"/>
        <v>7.6600000000000001E-2</v>
      </c>
      <c r="P83" s="33">
        <v>32975</v>
      </c>
      <c r="Q83" s="18">
        <v>10000</v>
      </c>
      <c r="R83" s="47" t="s">
        <v>811</v>
      </c>
      <c r="S83" s="25">
        <f>I83*$I$1*Q83</f>
        <v>0</v>
      </c>
      <c r="T83" s="25"/>
      <c r="U83" s="139">
        <v>231367</v>
      </c>
      <c r="V83" s="139"/>
    </row>
    <row r="84" spans="1:35" s="71" customFormat="1" ht="12" customHeight="1" x14ac:dyDescent="0.2">
      <c r="A84" s="16" t="s">
        <v>491</v>
      </c>
      <c r="B84" s="18" t="s">
        <v>810</v>
      </c>
      <c r="C84" s="18" t="s">
        <v>428</v>
      </c>
      <c r="D84" s="19">
        <v>36617</v>
      </c>
      <c r="E84" s="19">
        <v>36829</v>
      </c>
      <c r="F84" s="16" t="s">
        <v>637</v>
      </c>
      <c r="G84" s="16">
        <v>5</v>
      </c>
      <c r="H84" s="18" t="s">
        <v>68</v>
      </c>
      <c r="I84" s="24">
        <f>0.91/I$1</f>
        <v>2.9354838709677419E-2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 t="shared" si="4"/>
        <v>2.9354838709677419E-2</v>
      </c>
      <c r="P84" s="33">
        <v>32954</v>
      </c>
      <c r="Q84" s="18">
        <v>1900</v>
      </c>
      <c r="R84" s="47" t="s">
        <v>47</v>
      </c>
      <c r="S84" s="25">
        <f>I84*$I$1*Q84</f>
        <v>1729</v>
      </c>
      <c r="T84" s="25"/>
      <c r="U84" s="139">
        <v>231261</v>
      </c>
      <c r="V84" s="139"/>
    </row>
    <row r="85" spans="1:35" s="71" customFormat="1" ht="12" customHeight="1" x14ac:dyDescent="0.2">
      <c r="A85" s="16" t="s">
        <v>491</v>
      </c>
      <c r="B85" s="18" t="s">
        <v>810</v>
      </c>
      <c r="C85" s="18" t="s">
        <v>428</v>
      </c>
      <c r="D85" s="19">
        <v>36617</v>
      </c>
      <c r="E85" s="19">
        <v>36829</v>
      </c>
      <c r="F85" s="16" t="s">
        <v>637</v>
      </c>
      <c r="G85" s="16">
        <v>5</v>
      </c>
      <c r="H85" s="18" t="s">
        <v>68</v>
      </c>
      <c r="I85" s="24">
        <f>0.91/I$1</f>
        <v>2.9354838709677419E-2</v>
      </c>
      <c r="J85" s="20">
        <v>0</v>
      </c>
      <c r="K85" s="20">
        <v>0</v>
      </c>
      <c r="L85" s="20">
        <v>0</v>
      </c>
      <c r="M85" s="20">
        <v>0</v>
      </c>
      <c r="N85" s="21">
        <v>1.01E-2</v>
      </c>
      <c r="O85" s="20">
        <f t="shared" si="4"/>
        <v>2.9354838709677419E-2</v>
      </c>
      <c r="P85" s="33">
        <v>32956</v>
      </c>
      <c r="Q85" s="18">
        <v>2899</v>
      </c>
      <c r="R85" s="47" t="s">
        <v>47</v>
      </c>
      <c r="S85" s="25">
        <f>I85*$I$1*Q85</f>
        <v>2638.09</v>
      </c>
      <c r="T85" s="25"/>
      <c r="U85" s="139">
        <v>231241</v>
      </c>
      <c r="V85" s="139"/>
    </row>
    <row r="86" spans="1:35" s="71" customFormat="1" ht="12" customHeight="1" x14ac:dyDescent="0.2">
      <c r="A86" s="16" t="s">
        <v>491</v>
      </c>
      <c r="B86" s="18" t="s">
        <v>866</v>
      </c>
      <c r="C86" s="18" t="s">
        <v>428</v>
      </c>
      <c r="D86" s="19">
        <v>36617</v>
      </c>
      <c r="E86" s="19">
        <v>36829</v>
      </c>
      <c r="F86" s="16">
        <v>4</v>
      </c>
      <c r="G86" s="16">
        <v>6</v>
      </c>
      <c r="H86" s="18" t="s">
        <v>68</v>
      </c>
      <c r="I86" s="24">
        <f>0.76/I$1</f>
        <v>2.4516129032258065E-2</v>
      </c>
      <c r="J86" s="20">
        <v>0</v>
      </c>
      <c r="K86" s="20">
        <v>0</v>
      </c>
      <c r="L86" s="20">
        <v>0</v>
      </c>
      <c r="M86" s="20">
        <v>0</v>
      </c>
      <c r="N86" s="21">
        <v>1.01E-2</v>
      </c>
      <c r="O86" s="20">
        <f t="shared" si="4"/>
        <v>2.4516129032258065E-2</v>
      </c>
      <c r="P86" s="33">
        <v>32958</v>
      </c>
      <c r="Q86" s="18">
        <v>5265</v>
      </c>
      <c r="R86" s="47" t="s">
        <v>47</v>
      </c>
      <c r="S86" s="25">
        <f>I86*$I$1*Q86</f>
        <v>4001.4</v>
      </c>
      <c r="T86" s="25"/>
      <c r="U86" s="139">
        <v>231270</v>
      </c>
      <c r="V86" s="139"/>
    </row>
    <row r="87" spans="1:35" s="71" customFormat="1" ht="12" customHeight="1" x14ac:dyDescent="0.2">
      <c r="A87" s="16" t="s">
        <v>872</v>
      </c>
      <c r="B87" s="18" t="s">
        <v>241</v>
      </c>
      <c r="C87" s="18" t="s">
        <v>428</v>
      </c>
      <c r="D87" s="19">
        <v>36617</v>
      </c>
      <c r="E87" s="19">
        <v>36829</v>
      </c>
      <c r="F87" s="16" t="s">
        <v>873</v>
      </c>
      <c r="G87" s="16" t="s">
        <v>872</v>
      </c>
      <c r="H87" s="18" t="s">
        <v>68</v>
      </c>
      <c r="I87" s="24" t="s">
        <v>874</v>
      </c>
      <c r="J87" s="20">
        <v>0</v>
      </c>
      <c r="K87" s="20">
        <v>0</v>
      </c>
      <c r="L87" s="20">
        <v>0</v>
      </c>
      <c r="M87" s="20">
        <v>0</v>
      </c>
      <c r="N87" s="21">
        <v>0</v>
      </c>
      <c r="O87" s="20">
        <f t="shared" si="4"/>
        <v>0</v>
      </c>
      <c r="P87" s="33">
        <v>33140</v>
      </c>
      <c r="Q87" s="18">
        <v>250000</v>
      </c>
      <c r="R87" s="47" t="s">
        <v>875</v>
      </c>
      <c r="S87" s="25">
        <v>10000</v>
      </c>
      <c r="T87" s="25"/>
      <c r="U87" s="139"/>
      <c r="V87" s="139"/>
    </row>
    <row r="88" spans="1:35" s="629" customFormat="1" ht="12" customHeight="1" x14ac:dyDescent="0.2">
      <c r="A88" s="620" t="s">
        <v>1033</v>
      </c>
      <c r="B88" s="621" t="s">
        <v>241</v>
      </c>
      <c r="C88" s="621" t="s">
        <v>428</v>
      </c>
      <c r="D88" s="622">
        <v>36736</v>
      </c>
      <c r="E88" s="622">
        <v>36769</v>
      </c>
      <c r="F88" s="620" t="s">
        <v>873</v>
      </c>
      <c r="G88" s="620" t="s">
        <v>872</v>
      </c>
      <c r="H88" s="621" t="s">
        <v>68</v>
      </c>
      <c r="I88" s="623" t="s">
        <v>874</v>
      </c>
      <c r="J88" s="624">
        <v>0</v>
      </c>
      <c r="K88" s="624">
        <v>0</v>
      </c>
      <c r="L88" s="624">
        <v>0</v>
      </c>
      <c r="M88" s="624">
        <v>0</v>
      </c>
      <c r="N88" s="625">
        <v>0</v>
      </c>
      <c r="O88" s="624">
        <f t="shared" si="4"/>
        <v>0</v>
      </c>
      <c r="P88" s="626">
        <v>34445</v>
      </c>
      <c r="Q88" s="621">
        <v>20000</v>
      </c>
      <c r="R88" s="630"/>
      <c r="S88" s="627">
        <v>22500</v>
      </c>
      <c r="T88" s="627"/>
      <c r="U88" s="628">
        <v>348687</v>
      </c>
      <c r="V88" s="628"/>
    </row>
    <row r="89" spans="1:35" s="220" customFormat="1" ht="12" customHeight="1" x14ac:dyDescent="0.2">
      <c r="A89" s="180" t="s">
        <v>1033</v>
      </c>
      <c r="B89" s="362" t="s">
        <v>241</v>
      </c>
      <c r="C89" s="362" t="s">
        <v>428</v>
      </c>
      <c r="D89" s="363" t="s">
        <v>1115</v>
      </c>
      <c r="E89" s="363">
        <v>36799</v>
      </c>
      <c r="F89" s="180" t="s">
        <v>873</v>
      </c>
      <c r="G89" s="180" t="s">
        <v>872</v>
      </c>
      <c r="H89" s="362" t="s">
        <v>68</v>
      </c>
      <c r="I89" s="364">
        <v>1.4999999999999999E-2</v>
      </c>
      <c r="J89" s="365">
        <v>0</v>
      </c>
      <c r="K89" s="365">
        <v>0</v>
      </c>
      <c r="L89" s="365">
        <v>0</v>
      </c>
      <c r="M89" s="365">
        <v>0</v>
      </c>
      <c r="N89" s="601">
        <v>0</v>
      </c>
      <c r="O89" s="365">
        <f>SUM(I89:M89)</f>
        <v>1.4999999999999999E-2</v>
      </c>
      <c r="P89" s="556">
        <v>34518</v>
      </c>
      <c r="Q89" s="362">
        <v>100000</v>
      </c>
      <c r="R89" s="619"/>
      <c r="S89" s="367">
        <f>+Q89*I89</f>
        <v>1500</v>
      </c>
      <c r="T89" s="367"/>
      <c r="U89" s="368">
        <v>363363</v>
      </c>
      <c r="V89" s="368"/>
    </row>
    <row r="90" spans="1:35" s="71" customFormat="1" x14ac:dyDescent="0.2">
      <c r="A90" s="16" t="s">
        <v>556</v>
      </c>
      <c r="B90" s="18" t="s">
        <v>73</v>
      </c>
      <c r="C90" s="18" t="s">
        <v>640</v>
      </c>
      <c r="D90" s="19">
        <v>36526</v>
      </c>
      <c r="E90" s="19">
        <v>36556</v>
      </c>
      <c r="F90" s="16" t="s">
        <v>428</v>
      </c>
      <c r="G90" s="16" t="s">
        <v>645</v>
      </c>
      <c r="H90" s="18"/>
      <c r="I90" s="24">
        <v>0.22159999999999999</v>
      </c>
      <c r="J90" s="20">
        <v>0</v>
      </c>
      <c r="K90" s="20">
        <v>0</v>
      </c>
      <c r="L90" s="20">
        <v>0</v>
      </c>
      <c r="M90" s="20">
        <v>0</v>
      </c>
      <c r="N90" s="21">
        <v>2.4400000000000002E-2</v>
      </c>
      <c r="O90" s="20">
        <f t="shared" ref="O90:O113" si="5">SUM(I90:M90)</f>
        <v>0.22159999999999999</v>
      </c>
      <c r="P90" s="33">
        <v>1943</v>
      </c>
      <c r="Q90" s="18">
        <v>359</v>
      </c>
      <c r="R90" s="16" t="s">
        <v>646</v>
      </c>
      <c r="S90" s="130">
        <f t="shared" ref="S90:S115" si="6">I90*I$1*Q90</f>
        <v>2466.1864</v>
      </c>
      <c r="T90" s="25"/>
      <c r="U90" s="139">
        <v>142636</v>
      </c>
      <c r="V90" s="139"/>
    </row>
    <row r="91" spans="1:35" s="220" customFormat="1" x14ac:dyDescent="0.2">
      <c r="A91" s="180" t="s">
        <v>556</v>
      </c>
      <c r="B91" s="362" t="s">
        <v>73</v>
      </c>
      <c r="C91" s="362" t="s">
        <v>640</v>
      </c>
      <c r="D91" s="363">
        <v>36526</v>
      </c>
      <c r="E91" s="363">
        <v>37560</v>
      </c>
      <c r="F91" s="180" t="s">
        <v>428</v>
      </c>
      <c r="G91" s="180" t="s">
        <v>645</v>
      </c>
      <c r="H91" s="362"/>
      <c r="I91" s="364"/>
      <c r="J91" s="365"/>
      <c r="K91" s="365"/>
      <c r="L91" s="365"/>
      <c r="M91" s="365"/>
      <c r="N91" s="601"/>
      <c r="O91" s="365"/>
      <c r="P91" s="556">
        <v>1990</v>
      </c>
      <c r="Q91" s="362"/>
      <c r="R91" s="180" t="s">
        <v>1118</v>
      </c>
      <c r="S91" s="602">
        <v>430.5</v>
      </c>
      <c r="T91" s="367"/>
      <c r="U91" s="368">
        <v>145771</v>
      </c>
      <c r="V91" s="368"/>
    </row>
    <row r="92" spans="1:35" s="71" customFormat="1" x14ac:dyDescent="0.2">
      <c r="A92" s="16" t="s">
        <v>556</v>
      </c>
      <c r="B92" s="636" t="s">
        <v>241</v>
      </c>
      <c r="C92" s="18" t="s">
        <v>81</v>
      </c>
      <c r="D92" s="19">
        <v>36526</v>
      </c>
      <c r="E92" s="19">
        <v>36556</v>
      </c>
      <c r="F92" s="16" t="s">
        <v>428</v>
      </c>
      <c r="G92" s="16" t="s">
        <v>645</v>
      </c>
      <c r="H92" s="18"/>
      <c r="I92" s="24">
        <v>0.22159999999999999</v>
      </c>
      <c r="J92" s="20">
        <v>0</v>
      </c>
      <c r="K92" s="20">
        <v>0</v>
      </c>
      <c r="L92" s="20">
        <v>0</v>
      </c>
      <c r="M92" s="20">
        <v>0</v>
      </c>
      <c r="N92" s="21">
        <v>2.4400000000000002E-2</v>
      </c>
      <c r="O92" s="20">
        <f>SUM(I92:M92)</f>
        <v>0.22159999999999999</v>
      </c>
      <c r="P92" s="33"/>
      <c r="Q92" s="18"/>
      <c r="R92" s="16"/>
      <c r="S92" s="25"/>
      <c r="T92" s="25"/>
      <c r="U92" s="139"/>
      <c r="V92" s="139"/>
    </row>
    <row r="93" spans="1:35" s="220" customFormat="1" x14ac:dyDescent="0.2">
      <c r="A93" s="180" t="s">
        <v>556</v>
      </c>
      <c r="B93" s="637" t="s">
        <v>241</v>
      </c>
      <c r="C93" s="362" t="s">
        <v>642</v>
      </c>
      <c r="D93" s="363">
        <v>36526</v>
      </c>
      <c r="E93" s="363">
        <v>36830</v>
      </c>
      <c r="F93" s="180" t="s">
        <v>428</v>
      </c>
      <c r="G93" s="180" t="s">
        <v>645</v>
      </c>
      <c r="H93" s="362"/>
      <c r="I93" s="364"/>
      <c r="J93" s="365"/>
      <c r="K93" s="365"/>
      <c r="L93" s="365"/>
      <c r="M93" s="365"/>
      <c r="N93" s="601"/>
      <c r="O93" s="365"/>
      <c r="P93" s="556">
        <v>1991</v>
      </c>
      <c r="Q93" s="362"/>
      <c r="R93" s="180"/>
      <c r="S93" s="602">
        <v>3756.4</v>
      </c>
      <c r="T93" s="367"/>
      <c r="U93" s="368">
        <v>145870</v>
      </c>
      <c r="V93" s="368"/>
    </row>
    <row r="94" spans="1:35" s="71" customFormat="1" x14ac:dyDescent="0.2">
      <c r="A94" s="16" t="s">
        <v>556</v>
      </c>
      <c r="B94" s="636" t="s">
        <v>241</v>
      </c>
      <c r="C94" s="18" t="s">
        <v>642</v>
      </c>
      <c r="D94" s="19">
        <v>36526</v>
      </c>
      <c r="E94" s="19">
        <v>36556</v>
      </c>
      <c r="F94" s="16" t="s">
        <v>428</v>
      </c>
      <c r="G94" s="16" t="s">
        <v>645</v>
      </c>
      <c r="H94" s="18"/>
      <c r="I94" s="24">
        <v>0.22159999999999999</v>
      </c>
      <c r="J94" s="20">
        <v>0</v>
      </c>
      <c r="K94" s="20">
        <v>0</v>
      </c>
      <c r="L94" s="20">
        <v>0</v>
      </c>
      <c r="M94" s="20">
        <v>0</v>
      </c>
      <c r="N94" s="21">
        <v>2.4400000000000002E-2</v>
      </c>
      <c r="O94" s="20">
        <f t="shared" si="5"/>
        <v>0.22159999999999999</v>
      </c>
      <c r="P94" s="33">
        <v>248</v>
      </c>
      <c r="Q94" s="18">
        <v>6000</v>
      </c>
      <c r="R94" s="16"/>
      <c r="S94" s="130">
        <f t="shared" si="6"/>
        <v>41217.599999999999</v>
      </c>
      <c r="T94" s="25"/>
      <c r="U94" s="139">
        <v>142568</v>
      </c>
      <c r="V94" s="139"/>
    </row>
    <row r="95" spans="1:35" s="71" customFormat="1" x14ac:dyDescent="0.2">
      <c r="A95" s="16" t="s">
        <v>556</v>
      </c>
      <c r="B95" s="636" t="s">
        <v>241</v>
      </c>
      <c r="C95" s="18" t="s">
        <v>642</v>
      </c>
      <c r="D95" s="19">
        <v>36526</v>
      </c>
      <c r="E95" s="19">
        <v>36556</v>
      </c>
      <c r="F95" s="16" t="s">
        <v>428</v>
      </c>
      <c r="G95" s="16" t="s">
        <v>645</v>
      </c>
      <c r="H95" s="18"/>
      <c r="I95" s="24">
        <v>0.22159999999999999</v>
      </c>
      <c r="J95" s="20">
        <v>0</v>
      </c>
      <c r="K95" s="20">
        <v>0</v>
      </c>
      <c r="L95" s="20">
        <v>0</v>
      </c>
      <c r="M95" s="20">
        <v>0</v>
      </c>
      <c r="N95" s="21">
        <v>2.4400000000000002E-2</v>
      </c>
      <c r="O95" s="20">
        <f t="shared" si="5"/>
        <v>0.22159999999999999</v>
      </c>
      <c r="P95" s="33">
        <v>250</v>
      </c>
      <c r="Q95" s="18">
        <v>5400</v>
      </c>
      <c r="R95" s="16"/>
      <c r="S95" s="130">
        <f t="shared" si="6"/>
        <v>37095.840000000004</v>
      </c>
      <c r="T95" s="25"/>
      <c r="U95" s="139">
        <v>142585</v>
      </c>
      <c r="V95" s="139"/>
    </row>
    <row r="96" spans="1:35" s="71" customFormat="1" x14ac:dyDescent="0.2">
      <c r="A96" s="16" t="s">
        <v>556</v>
      </c>
      <c r="B96" s="636" t="s">
        <v>241</v>
      </c>
      <c r="C96" s="18" t="s">
        <v>642</v>
      </c>
      <c r="D96" s="19">
        <v>36526</v>
      </c>
      <c r="E96" s="19">
        <v>36556</v>
      </c>
      <c r="F96" s="16" t="s">
        <v>428</v>
      </c>
      <c r="G96" s="16" t="s">
        <v>645</v>
      </c>
      <c r="H96" s="18"/>
      <c r="I96" s="24">
        <v>0.22159999999999999</v>
      </c>
      <c r="J96" s="20">
        <v>0</v>
      </c>
      <c r="K96" s="20">
        <v>0</v>
      </c>
      <c r="L96" s="20">
        <v>0</v>
      </c>
      <c r="M96" s="20">
        <v>0</v>
      </c>
      <c r="N96" s="21">
        <v>2.4400000000000002E-2</v>
      </c>
      <c r="O96" s="20">
        <f t="shared" si="5"/>
        <v>0.22159999999999999</v>
      </c>
      <c r="P96" s="33">
        <v>495</v>
      </c>
      <c r="Q96" s="18">
        <v>1371</v>
      </c>
      <c r="R96" s="16"/>
      <c r="S96" s="130">
        <f t="shared" si="6"/>
        <v>9418.2216000000008</v>
      </c>
      <c r="T96" s="25"/>
      <c r="U96" s="139">
        <v>142595</v>
      </c>
      <c r="V96" s="139"/>
    </row>
    <row r="97" spans="1:35" s="71" customFormat="1" x14ac:dyDescent="0.2">
      <c r="A97" s="16" t="s">
        <v>556</v>
      </c>
      <c r="B97" s="636" t="s">
        <v>241</v>
      </c>
      <c r="C97" s="18" t="s">
        <v>642</v>
      </c>
      <c r="D97" s="19">
        <v>36526</v>
      </c>
      <c r="E97" s="19">
        <v>36556</v>
      </c>
      <c r="F97" s="16" t="s">
        <v>428</v>
      </c>
      <c r="G97" s="16" t="s">
        <v>645</v>
      </c>
      <c r="H97" s="18"/>
      <c r="I97" s="24">
        <v>0.22159999999999999</v>
      </c>
      <c r="J97" s="20">
        <v>0</v>
      </c>
      <c r="K97" s="20">
        <v>0</v>
      </c>
      <c r="L97" s="20">
        <v>0</v>
      </c>
      <c r="M97" s="20">
        <v>0</v>
      </c>
      <c r="N97" s="21">
        <v>2.4400000000000002E-2</v>
      </c>
      <c r="O97" s="20">
        <f t="shared" si="5"/>
        <v>0.22159999999999999</v>
      </c>
      <c r="P97" s="33">
        <v>497</v>
      </c>
      <c r="Q97" s="18">
        <v>9273</v>
      </c>
      <c r="R97" s="16"/>
      <c r="S97" s="130">
        <f t="shared" si="6"/>
        <v>63701.800800000005</v>
      </c>
      <c r="T97" s="25"/>
      <c r="U97" s="139">
        <v>142601</v>
      </c>
      <c r="V97" s="139"/>
    </row>
    <row r="98" spans="1:35" s="71" customFormat="1" x14ac:dyDescent="0.2">
      <c r="A98" s="16" t="s">
        <v>556</v>
      </c>
      <c r="B98" s="636" t="s">
        <v>241</v>
      </c>
      <c r="C98" s="18" t="s">
        <v>642</v>
      </c>
      <c r="D98" s="19">
        <v>36526</v>
      </c>
      <c r="E98" s="19">
        <v>36830</v>
      </c>
      <c r="F98" s="16" t="s">
        <v>428</v>
      </c>
      <c r="G98" s="16" t="s">
        <v>645</v>
      </c>
      <c r="H98" s="18"/>
      <c r="I98" s="24">
        <f>5.29/$I$1</f>
        <v>0.17064516129032259</v>
      </c>
      <c r="J98" s="20">
        <v>0</v>
      </c>
      <c r="K98" s="20">
        <v>0</v>
      </c>
      <c r="L98" s="20">
        <v>0</v>
      </c>
      <c r="M98" s="20">
        <v>0</v>
      </c>
      <c r="N98" s="21">
        <v>2.4400000000000002E-2</v>
      </c>
      <c r="O98" s="20">
        <f t="shared" si="5"/>
        <v>0.17064516129032259</v>
      </c>
      <c r="P98" s="33">
        <v>2042</v>
      </c>
      <c r="Q98" s="18">
        <v>1690</v>
      </c>
      <c r="R98" s="16"/>
      <c r="S98" s="130">
        <f>I98*I$1*Q98</f>
        <v>8940.1</v>
      </c>
      <c r="T98" s="25"/>
      <c r="U98" s="139">
        <v>142604</v>
      </c>
      <c r="V98" s="139"/>
    </row>
    <row r="99" spans="1:35" s="71" customFormat="1" x14ac:dyDescent="0.2">
      <c r="A99" s="16" t="s">
        <v>556</v>
      </c>
      <c r="B99" s="636" t="s">
        <v>241</v>
      </c>
      <c r="C99" s="18" t="s">
        <v>642</v>
      </c>
      <c r="D99" s="19">
        <v>36526</v>
      </c>
      <c r="E99" s="19">
        <v>36556</v>
      </c>
      <c r="F99" s="16" t="s">
        <v>428</v>
      </c>
      <c r="G99" s="16" t="s">
        <v>645</v>
      </c>
      <c r="H99" s="18"/>
      <c r="I99" s="24">
        <f>5.17/I1</f>
        <v>0.1667741935483871</v>
      </c>
      <c r="J99" s="20">
        <v>0</v>
      </c>
      <c r="K99" s="20">
        <v>0</v>
      </c>
      <c r="L99" s="20">
        <v>0</v>
      </c>
      <c r="M99" s="20">
        <v>0</v>
      </c>
      <c r="N99" s="21">
        <v>2.4400000000000002E-2</v>
      </c>
      <c r="O99" s="20">
        <f t="shared" si="5"/>
        <v>0.1667741935483871</v>
      </c>
      <c r="P99" s="33">
        <v>23091</v>
      </c>
      <c r="Q99" s="18">
        <v>2500</v>
      </c>
      <c r="R99" s="16"/>
      <c r="S99" s="130">
        <f t="shared" si="6"/>
        <v>12925</v>
      </c>
      <c r="T99" s="25"/>
      <c r="U99" s="139">
        <v>142606</v>
      </c>
      <c r="V99" s="139"/>
    </row>
    <row r="100" spans="1:35" s="71" customFormat="1" x14ac:dyDescent="0.2">
      <c r="A100" s="16" t="s">
        <v>556</v>
      </c>
      <c r="B100" s="636" t="s">
        <v>241</v>
      </c>
      <c r="C100" s="18" t="s">
        <v>642</v>
      </c>
      <c r="D100" s="19">
        <v>36526</v>
      </c>
      <c r="E100" s="19">
        <v>36556</v>
      </c>
      <c r="F100" s="16" t="s">
        <v>428</v>
      </c>
      <c r="G100" s="16" t="s">
        <v>645</v>
      </c>
      <c r="H100" s="18"/>
      <c r="I100" s="24">
        <v>0.22159999999999999</v>
      </c>
      <c r="J100" s="20">
        <v>0</v>
      </c>
      <c r="K100" s="20">
        <v>0</v>
      </c>
      <c r="L100" s="20">
        <v>0</v>
      </c>
      <c r="M100" s="20">
        <v>0</v>
      </c>
      <c r="N100" s="21">
        <v>2.4400000000000002E-2</v>
      </c>
      <c r="O100" s="20">
        <f t="shared" si="5"/>
        <v>0.22159999999999999</v>
      </c>
      <c r="P100" s="33"/>
      <c r="Q100" s="18">
        <v>0</v>
      </c>
      <c r="R100" s="16"/>
      <c r="S100" s="130">
        <f t="shared" si="6"/>
        <v>0</v>
      </c>
      <c r="T100" s="25"/>
      <c r="U100" s="139"/>
      <c r="V100" s="139"/>
    </row>
    <row r="101" spans="1:35" s="71" customFormat="1" x14ac:dyDescent="0.2">
      <c r="A101" s="16" t="s">
        <v>556</v>
      </c>
      <c r="B101" s="636" t="s">
        <v>241</v>
      </c>
      <c r="C101" s="18" t="s">
        <v>642</v>
      </c>
      <c r="D101" s="19">
        <v>36526</v>
      </c>
      <c r="E101" s="19">
        <v>36556</v>
      </c>
      <c r="F101" s="16" t="s">
        <v>428</v>
      </c>
      <c r="G101" s="16" t="s">
        <v>645</v>
      </c>
      <c r="H101" s="18"/>
      <c r="I101" s="24">
        <v>0.22159999999999999</v>
      </c>
      <c r="J101" s="20">
        <v>0</v>
      </c>
      <c r="K101" s="20">
        <v>0</v>
      </c>
      <c r="L101" s="20">
        <v>0</v>
      </c>
      <c r="M101" s="20">
        <v>0</v>
      </c>
      <c r="N101" s="21">
        <v>2.4400000000000002E-2</v>
      </c>
      <c r="O101" s="20">
        <f t="shared" si="5"/>
        <v>0.22159999999999999</v>
      </c>
      <c r="P101" s="33"/>
      <c r="Q101" s="18">
        <v>0</v>
      </c>
      <c r="R101" s="16"/>
      <c r="S101" s="130">
        <f t="shared" si="6"/>
        <v>0</v>
      </c>
      <c r="T101" s="25"/>
      <c r="U101" s="139"/>
      <c r="V101" s="139"/>
    </row>
    <row r="102" spans="1:35" s="220" customFormat="1" x14ac:dyDescent="0.2">
      <c r="A102" s="180" t="s">
        <v>556</v>
      </c>
      <c r="B102" s="637" t="s">
        <v>241</v>
      </c>
      <c r="C102" s="362" t="s">
        <v>642</v>
      </c>
      <c r="D102" s="363">
        <v>36526</v>
      </c>
      <c r="E102" s="363">
        <v>36830</v>
      </c>
      <c r="F102" s="180" t="s">
        <v>428</v>
      </c>
      <c r="G102" s="180" t="s">
        <v>645</v>
      </c>
      <c r="H102" s="362"/>
      <c r="I102" s="364">
        <v>0.22159999999999999</v>
      </c>
      <c r="J102" s="365">
        <v>0</v>
      </c>
      <c r="K102" s="365">
        <v>0</v>
      </c>
      <c r="L102" s="365">
        <v>0</v>
      </c>
      <c r="M102" s="365">
        <v>0</v>
      </c>
      <c r="N102" s="601">
        <v>2.4400000000000002E-2</v>
      </c>
      <c r="O102" s="365">
        <f>SUM(I102:M102)</f>
        <v>0.22159999999999999</v>
      </c>
      <c r="P102" s="556">
        <v>2054</v>
      </c>
      <c r="Q102" s="362">
        <v>0</v>
      </c>
      <c r="R102" s="180"/>
      <c r="S102" s="602">
        <v>958.08</v>
      </c>
      <c r="T102" s="367"/>
      <c r="U102" s="368">
        <v>145877</v>
      </c>
      <c r="V102" s="368"/>
    </row>
    <row r="103" spans="1:35" s="71" customFormat="1" x14ac:dyDescent="0.2">
      <c r="A103" s="16" t="s">
        <v>556</v>
      </c>
      <c r="B103" s="636" t="s">
        <v>241</v>
      </c>
      <c r="C103" s="18" t="s">
        <v>641</v>
      </c>
      <c r="D103" s="19">
        <v>36526</v>
      </c>
      <c r="E103" s="19">
        <v>36556</v>
      </c>
      <c r="F103" s="16" t="s">
        <v>428</v>
      </c>
      <c r="G103" s="16" t="s">
        <v>645</v>
      </c>
      <c r="H103" s="18"/>
      <c r="I103" s="24">
        <v>0.22159999999999999</v>
      </c>
      <c r="J103" s="20">
        <v>0</v>
      </c>
      <c r="K103" s="20">
        <v>0</v>
      </c>
      <c r="L103" s="20">
        <v>0</v>
      </c>
      <c r="M103" s="20">
        <v>0</v>
      </c>
      <c r="N103" s="21">
        <v>2.4400000000000002E-2</v>
      </c>
      <c r="O103" s="20">
        <f t="shared" si="5"/>
        <v>0.22159999999999999</v>
      </c>
      <c r="P103" s="33">
        <v>504</v>
      </c>
      <c r="Q103" s="18">
        <v>28970</v>
      </c>
      <c r="R103" s="16"/>
      <c r="S103" s="130">
        <f t="shared" si="6"/>
        <v>199012.31200000001</v>
      </c>
      <c r="T103" s="25"/>
      <c r="U103" s="139">
        <v>142770</v>
      </c>
      <c r="V103" s="139"/>
    </row>
    <row r="104" spans="1:35" s="71" customFormat="1" x14ac:dyDescent="0.2">
      <c r="A104" s="16" t="s">
        <v>556</v>
      </c>
      <c r="B104" s="636" t="s">
        <v>241</v>
      </c>
      <c r="C104" s="18" t="s">
        <v>641</v>
      </c>
      <c r="D104" s="19">
        <v>36526</v>
      </c>
      <c r="E104" s="19">
        <v>36556</v>
      </c>
      <c r="F104" s="16" t="s">
        <v>428</v>
      </c>
      <c r="G104" s="16" t="s">
        <v>645</v>
      </c>
      <c r="H104" s="18"/>
      <c r="I104" s="24">
        <v>0.22159999999999999</v>
      </c>
      <c r="J104" s="20">
        <v>0</v>
      </c>
      <c r="K104" s="20">
        <v>0</v>
      </c>
      <c r="L104" s="20">
        <v>0</v>
      </c>
      <c r="M104" s="20">
        <v>0</v>
      </c>
      <c r="N104" s="21">
        <v>2.4400000000000002E-2</v>
      </c>
      <c r="O104" s="20">
        <f t="shared" si="5"/>
        <v>0.22159999999999999</v>
      </c>
      <c r="P104" s="33">
        <v>507</v>
      </c>
      <c r="Q104" s="18">
        <v>4284</v>
      </c>
      <c r="R104" s="16"/>
      <c r="S104" s="130">
        <f t="shared" si="6"/>
        <v>29429.366399999999</v>
      </c>
      <c r="T104" s="25"/>
      <c r="U104" s="139">
        <v>142775</v>
      </c>
      <c r="V104" s="139"/>
    </row>
    <row r="105" spans="1:35" s="71" customFormat="1" x14ac:dyDescent="0.2">
      <c r="A105" s="16" t="s">
        <v>981</v>
      </c>
      <c r="B105" s="636" t="s">
        <v>241</v>
      </c>
      <c r="C105" s="18" t="s">
        <v>641</v>
      </c>
      <c r="D105" s="19">
        <v>36651</v>
      </c>
      <c r="E105" s="19">
        <v>36830</v>
      </c>
      <c r="F105" s="16">
        <v>500</v>
      </c>
      <c r="G105" s="16">
        <v>2037</v>
      </c>
      <c r="H105" s="18"/>
      <c r="I105" s="24">
        <f>5.37/I$1</f>
        <v>0.1732258064516129</v>
      </c>
      <c r="J105" s="20"/>
      <c r="K105" s="20"/>
      <c r="L105" s="20"/>
      <c r="M105" s="20"/>
      <c r="N105" s="21"/>
      <c r="O105" s="20"/>
      <c r="P105" s="33"/>
      <c r="Q105" s="18">
        <v>-1</v>
      </c>
      <c r="R105" s="16"/>
      <c r="S105" s="130">
        <f t="shared" si="6"/>
        <v>-5.37</v>
      </c>
      <c r="T105" s="25"/>
      <c r="U105" s="139">
        <v>260848</v>
      </c>
      <c r="V105" s="139"/>
    </row>
    <row r="106" spans="1:35" s="220" customFormat="1" x14ac:dyDescent="0.2">
      <c r="A106" s="180" t="s">
        <v>556</v>
      </c>
      <c r="B106" s="637" t="s">
        <v>241</v>
      </c>
      <c r="C106" s="362" t="s">
        <v>641</v>
      </c>
      <c r="D106" s="363">
        <v>36526</v>
      </c>
      <c r="E106" s="363">
        <v>36830</v>
      </c>
      <c r="F106" s="180" t="s">
        <v>428</v>
      </c>
      <c r="G106" s="180" t="s">
        <v>645</v>
      </c>
      <c r="H106" s="362"/>
      <c r="I106" s="364">
        <f>5.29/I1</f>
        <v>0.17064516129032259</v>
      </c>
      <c r="J106" s="365">
        <v>0</v>
      </c>
      <c r="K106" s="365">
        <v>0</v>
      </c>
      <c r="L106" s="365">
        <v>0</v>
      </c>
      <c r="M106" s="365">
        <v>0</v>
      </c>
      <c r="N106" s="601">
        <v>2.4400000000000002E-2</v>
      </c>
      <c r="O106" s="365">
        <f>SUM(I106:M106)</f>
        <v>0.17064516129032259</v>
      </c>
      <c r="P106" s="556">
        <v>2043</v>
      </c>
      <c r="Q106" s="362">
        <v>5281</v>
      </c>
      <c r="R106" s="180"/>
      <c r="S106" s="602">
        <f t="shared" si="6"/>
        <v>27936.49</v>
      </c>
      <c r="T106" s="367"/>
      <c r="U106" s="368">
        <v>142778</v>
      </c>
      <c r="V106" s="368"/>
    </row>
    <row r="107" spans="1:35" s="220" customFormat="1" x14ac:dyDescent="0.2">
      <c r="A107" s="180" t="s">
        <v>556</v>
      </c>
      <c r="B107" s="637" t="s">
        <v>241</v>
      </c>
      <c r="C107" s="362" t="s">
        <v>641</v>
      </c>
      <c r="D107" s="363">
        <v>36526</v>
      </c>
      <c r="E107" s="363">
        <v>36830</v>
      </c>
      <c r="F107" s="180" t="s">
        <v>428</v>
      </c>
      <c r="G107" s="180" t="s">
        <v>645</v>
      </c>
      <c r="H107" s="362"/>
      <c r="I107" s="364"/>
      <c r="J107" s="365">
        <v>0</v>
      </c>
      <c r="K107" s="365">
        <v>0</v>
      </c>
      <c r="L107" s="365">
        <v>0</v>
      </c>
      <c r="M107" s="365">
        <v>0</v>
      </c>
      <c r="N107" s="601">
        <v>2.4400000000000002E-2</v>
      </c>
      <c r="O107" s="365">
        <f>SUM(I107:M107)</f>
        <v>0</v>
      </c>
      <c r="P107" s="556">
        <v>1996</v>
      </c>
      <c r="Q107" s="362"/>
      <c r="R107" s="180"/>
      <c r="S107" s="602">
        <v>31690.62</v>
      </c>
      <c r="T107" s="367"/>
      <c r="U107" s="368">
        <v>145882</v>
      </c>
      <c r="V107" s="368"/>
    </row>
    <row r="108" spans="1:35" s="220" customFormat="1" x14ac:dyDescent="0.2">
      <c r="A108" s="180" t="s">
        <v>556</v>
      </c>
      <c r="B108" s="637" t="s">
        <v>241</v>
      </c>
      <c r="C108" s="362" t="s">
        <v>641</v>
      </c>
      <c r="D108" s="363">
        <v>36526</v>
      </c>
      <c r="E108" s="363">
        <v>36830</v>
      </c>
      <c r="F108" s="180" t="s">
        <v>428</v>
      </c>
      <c r="G108" s="180" t="s">
        <v>645</v>
      </c>
      <c r="H108" s="362"/>
      <c r="I108" s="364"/>
      <c r="J108" s="365">
        <v>0</v>
      </c>
      <c r="K108" s="365">
        <v>0</v>
      </c>
      <c r="L108" s="365">
        <v>0</v>
      </c>
      <c r="M108" s="365">
        <v>0</v>
      </c>
      <c r="N108" s="601">
        <v>2.4400000000000002E-2</v>
      </c>
      <c r="O108" s="365">
        <f>SUM(I108:M108)</f>
        <v>0</v>
      </c>
      <c r="P108" s="556">
        <v>1995</v>
      </c>
      <c r="Q108" s="362"/>
      <c r="R108" s="180"/>
      <c r="S108" s="602">
        <v>11740.03</v>
      </c>
      <c r="T108" s="367"/>
      <c r="U108" s="368">
        <v>145881</v>
      </c>
      <c r="V108" s="368"/>
      <c r="X108" s="220">
        <v>1</v>
      </c>
      <c r="Y108" s="220">
        <v>2</v>
      </c>
      <c r="Z108" s="220">
        <v>3</v>
      </c>
      <c r="AA108" s="220">
        <v>4</v>
      </c>
      <c r="AB108" s="220">
        <v>5</v>
      </c>
      <c r="AC108" s="220">
        <v>6</v>
      </c>
      <c r="AD108" s="220">
        <v>7</v>
      </c>
      <c r="AE108" s="220">
        <v>8</v>
      </c>
      <c r="AF108" s="220">
        <v>9</v>
      </c>
      <c r="AG108" s="220">
        <v>10</v>
      </c>
      <c r="AH108" s="220">
        <v>11</v>
      </c>
      <c r="AI108" s="220">
        <v>12</v>
      </c>
    </row>
    <row r="109" spans="1:35" s="220" customFormat="1" x14ac:dyDescent="0.2">
      <c r="A109" s="180" t="s">
        <v>556</v>
      </c>
      <c r="B109" s="637" t="s">
        <v>241</v>
      </c>
      <c r="C109" s="362" t="s">
        <v>1045</v>
      </c>
      <c r="D109" s="363">
        <v>36526</v>
      </c>
      <c r="E109" s="363">
        <v>36556</v>
      </c>
      <c r="F109" s="180" t="s">
        <v>428</v>
      </c>
      <c r="G109" s="180" t="s">
        <v>645</v>
      </c>
      <c r="H109" s="362"/>
      <c r="I109" s="364">
        <v>0.22159999999999999</v>
      </c>
      <c r="J109" s="365">
        <v>0</v>
      </c>
      <c r="K109" s="365">
        <v>0</v>
      </c>
      <c r="L109" s="365">
        <v>0</v>
      </c>
      <c r="M109" s="365">
        <v>0</v>
      </c>
      <c r="N109" s="601">
        <v>2.4400000000000002E-2</v>
      </c>
      <c r="O109" s="365">
        <f t="shared" si="5"/>
        <v>0.22159999999999999</v>
      </c>
      <c r="P109" s="556">
        <v>2156</v>
      </c>
      <c r="Q109" s="362">
        <f>VLOOKUP(X109,X108:AI109,$G$1)</f>
        <v>257</v>
      </c>
      <c r="R109" s="180" t="s">
        <v>647</v>
      </c>
      <c r="S109" s="602">
        <f t="shared" si="6"/>
        <v>1765.4872</v>
      </c>
      <c r="T109" s="367"/>
      <c r="U109" s="368">
        <v>142767</v>
      </c>
      <c r="V109" s="368"/>
      <c r="X109" s="220">
        <f>3778+914</f>
        <v>4692</v>
      </c>
      <c r="Y109" s="220">
        <f>3778+914</f>
        <v>4692</v>
      </c>
      <c r="Z109" s="220">
        <f>2920+796</f>
        <v>3716</v>
      </c>
      <c r="AA109" s="220">
        <f>2600+729</f>
        <v>3329</v>
      </c>
      <c r="AB109" s="220">
        <f>300+84+300+84</f>
        <v>768</v>
      </c>
      <c r="AC109" s="220">
        <f>200+56+0</f>
        <v>256</v>
      </c>
      <c r="AD109" s="220">
        <f>200+57+0</f>
        <v>257</v>
      </c>
      <c r="AE109" s="220">
        <f>200+57</f>
        <v>257</v>
      </c>
      <c r="AF109" s="220">
        <f>200+56</f>
        <v>256</v>
      </c>
      <c r="AG109" s="220">
        <f>1000+280</f>
        <v>1280</v>
      </c>
      <c r="AH109" s="220">
        <f>3778+914</f>
        <v>4692</v>
      </c>
      <c r="AI109" s="220">
        <f>3778+914</f>
        <v>4692</v>
      </c>
    </row>
    <row r="110" spans="1:35" s="220" customFormat="1" x14ac:dyDescent="0.2">
      <c r="A110" s="180" t="s">
        <v>556</v>
      </c>
      <c r="B110" s="362" t="s">
        <v>73</v>
      </c>
      <c r="C110" s="362" t="s">
        <v>639</v>
      </c>
      <c r="D110" s="363">
        <v>36526</v>
      </c>
      <c r="E110" s="363">
        <v>36830</v>
      </c>
      <c r="F110" s="180" t="s">
        <v>428</v>
      </c>
      <c r="G110" s="180" t="s">
        <v>645</v>
      </c>
      <c r="H110" s="362"/>
      <c r="I110" s="364"/>
      <c r="J110" s="365"/>
      <c r="K110" s="365"/>
      <c r="L110" s="365"/>
      <c r="M110" s="365"/>
      <c r="N110" s="601"/>
      <c r="O110" s="365"/>
      <c r="P110" s="556">
        <v>2005</v>
      </c>
      <c r="Q110" s="362"/>
      <c r="R110" s="180"/>
      <c r="S110" s="602">
        <v>1856.54</v>
      </c>
      <c r="T110" s="367"/>
      <c r="U110" s="368">
        <v>145884</v>
      </c>
      <c r="V110" s="368"/>
    </row>
    <row r="111" spans="1:35" s="220" customFormat="1" x14ac:dyDescent="0.2">
      <c r="A111" s="180" t="s">
        <v>556</v>
      </c>
      <c r="B111" s="362" t="s">
        <v>73</v>
      </c>
      <c r="C111" s="362" t="s">
        <v>639</v>
      </c>
      <c r="D111" s="363">
        <v>36526</v>
      </c>
      <c r="E111" s="363">
        <v>36830</v>
      </c>
      <c r="F111" s="180" t="s">
        <v>428</v>
      </c>
      <c r="G111" s="180" t="s">
        <v>645</v>
      </c>
      <c r="H111" s="362"/>
      <c r="I111" s="364"/>
      <c r="J111" s="365"/>
      <c r="K111" s="365"/>
      <c r="L111" s="365"/>
      <c r="M111" s="365"/>
      <c r="N111" s="601"/>
      <c r="O111" s="365"/>
      <c r="P111" s="556">
        <v>2057</v>
      </c>
      <c r="Q111" s="362"/>
      <c r="R111" s="180"/>
      <c r="S111" s="602">
        <v>1815.56</v>
      </c>
      <c r="T111" s="367"/>
      <c r="U111" s="368">
        <v>145891</v>
      </c>
      <c r="V111" s="368"/>
    </row>
    <row r="112" spans="1:35" s="71" customFormat="1" ht="13.5" customHeight="1" x14ac:dyDescent="0.2">
      <c r="A112" s="16" t="s">
        <v>556</v>
      </c>
      <c r="B112" s="18" t="s">
        <v>73</v>
      </c>
      <c r="C112" s="18" t="s">
        <v>639</v>
      </c>
      <c r="D112" s="19">
        <v>36526</v>
      </c>
      <c r="E112" s="19">
        <v>36556</v>
      </c>
      <c r="F112" s="16" t="s">
        <v>637</v>
      </c>
      <c r="G112" s="16" t="s">
        <v>645</v>
      </c>
      <c r="H112" s="18"/>
      <c r="I112" s="24">
        <v>0.22159999999999999</v>
      </c>
      <c r="J112" s="20">
        <v>6.6900000000000001E-2</v>
      </c>
      <c r="K112" s="20">
        <v>2.2000000000000001E-3</v>
      </c>
      <c r="L112" s="20">
        <v>0</v>
      </c>
      <c r="M112" s="20">
        <v>0</v>
      </c>
      <c r="N112" s="21">
        <v>2.4400000000000002E-2</v>
      </c>
      <c r="O112" s="20">
        <f t="shared" si="5"/>
        <v>0.29069999999999996</v>
      </c>
      <c r="P112" s="33"/>
      <c r="Q112" s="18">
        <v>4581</v>
      </c>
      <c r="R112" s="16"/>
      <c r="S112" s="130">
        <f t="shared" si="6"/>
        <v>31469.637600000002</v>
      </c>
      <c r="T112" s="25"/>
      <c r="U112" s="139"/>
      <c r="V112" s="139"/>
    </row>
    <row r="113" spans="1:23" s="71" customFormat="1" x14ac:dyDescent="0.2">
      <c r="A113" s="16" t="s">
        <v>556</v>
      </c>
      <c r="B113" s="18" t="s">
        <v>73</v>
      </c>
      <c r="C113" s="18" t="s">
        <v>639</v>
      </c>
      <c r="D113" s="19">
        <v>36526</v>
      </c>
      <c r="E113" s="19">
        <v>36556</v>
      </c>
      <c r="F113" s="16" t="s">
        <v>428</v>
      </c>
      <c r="G113" s="16" t="s">
        <v>645</v>
      </c>
      <c r="H113" s="18"/>
      <c r="I113" s="24">
        <v>0.22159999999999999</v>
      </c>
      <c r="J113" s="20">
        <v>0</v>
      </c>
      <c r="K113" s="20">
        <v>0</v>
      </c>
      <c r="L113" s="20">
        <v>0</v>
      </c>
      <c r="M113" s="20">
        <v>0</v>
      </c>
      <c r="N113" s="21">
        <v>2.4400000000000002E-2</v>
      </c>
      <c r="O113" s="20">
        <f t="shared" si="5"/>
        <v>0.22159999999999999</v>
      </c>
      <c r="P113" s="33"/>
      <c r="Q113" s="18">
        <v>2500</v>
      </c>
      <c r="R113" s="16"/>
      <c r="S113" s="130">
        <f t="shared" si="6"/>
        <v>17174</v>
      </c>
      <c r="T113" s="25"/>
      <c r="U113" s="139"/>
      <c r="V113" s="139"/>
    </row>
    <row r="114" spans="1:23" s="220" customFormat="1" x14ac:dyDescent="0.2">
      <c r="A114" s="180" t="s">
        <v>491</v>
      </c>
      <c r="B114" s="362" t="s">
        <v>73</v>
      </c>
      <c r="C114" s="362" t="s">
        <v>428</v>
      </c>
      <c r="D114" s="363">
        <v>36739</v>
      </c>
      <c r="E114" s="363">
        <v>36769</v>
      </c>
      <c r="F114" s="180" t="s">
        <v>1102</v>
      </c>
      <c r="G114" s="180" t="s">
        <v>1103</v>
      </c>
      <c r="H114" s="362"/>
      <c r="I114" s="364">
        <v>0.02</v>
      </c>
      <c r="J114" s="365"/>
      <c r="K114" s="365"/>
      <c r="L114" s="365"/>
      <c r="M114" s="365"/>
      <c r="N114" s="601"/>
      <c r="O114" s="365"/>
      <c r="P114" s="556">
        <v>34423</v>
      </c>
      <c r="Q114" s="362">
        <v>30000</v>
      </c>
      <c r="R114" s="180"/>
      <c r="S114" s="602">
        <f>I114*I$1*Q114</f>
        <v>18600</v>
      </c>
      <c r="T114" s="367"/>
      <c r="U114" s="368">
        <v>348593</v>
      </c>
      <c r="V114" s="368"/>
    </row>
    <row r="115" spans="1:23" s="220" customFormat="1" x14ac:dyDescent="0.2">
      <c r="A115" s="180" t="s">
        <v>491</v>
      </c>
      <c r="B115" s="362" t="s">
        <v>73</v>
      </c>
      <c r="C115" s="362" t="s">
        <v>428</v>
      </c>
      <c r="D115" s="363">
        <v>36739</v>
      </c>
      <c r="E115" s="363">
        <v>36769</v>
      </c>
      <c r="F115" s="180" t="s">
        <v>1102</v>
      </c>
      <c r="G115" s="180" t="s">
        <v>1103</v>
      </c>
      <c r="H115" s="362"/>
      <c r="I115" s="364">
        <v>0.02</v>
      </c>
      <c r="J115" s="365"/>
      <c r="K115" s="365"/>
      <c r="L115" s="365"/>
      <c r="M115" s="365"/>
      <c r="N115" s="601"/>
      <c r="O115" s="365"/>
      <c r="P115" s="556">
        <v>34415</v>
      </c>
      <c r="Q115" s="362">
        <v>20000</v>
      </c>
      <c r="R115" s="180"/>
      <c r="S115" s="602">
        <f t="shared" si="6"/>
        <v>12400</v>
      </c>
      <c r="T115" s="367"/>
      <c r="U115" s="368">
        <v>348594</v>
      </c>
      <c r="V115" s="368"/>
    </row>
    <row r="116" spans="1:23" s="220" customFormat="1" x14ac:dyDescent="0.2">
      <c r="A116" s="180" t="s">
        <v>491</v>
      </c>
      <c r="B116" s="362" t="s">
        <v>73</v>
      </c>
      <c r="C116" s="362" t="s">
        <v>428</v>
      </c>
      <c r="D116" s="363">
        <v>36743</v>
      </c>
      <c r="E116" s="363">
        <v>36745</v>
      </c>
      <c r="F116" s="180" t="s">
        <v>1113</v>
      </c>
      <c r="G116" s="180" t="s">
        <v>1114</v>
      </c>
      <c r="H116" s="362"/>
      <c r="I116" s="364">
        <v>0.01</v>
      </c>
      <c r="J116" s="365"/>
      <c r="K116" s="365"/>
      <c r="L116" s="365"/>
      <c r="M116" s="365"/>
      <c r="N116" s="601"/>
      <c r="O116" s="365"/>
      <c r="P116" s="556">
        <v>34506</v>
      </c>
      <c r="Q116" s="362">
        <v>50000</v>
      </c>
      <c r="R116" s="180"/>
      <c r="S116" s="602">
        <f>+Q116*I116*3</f>
        <v>1500</v>
      </c>
      <c r="T116" s="367"/>
      <c r="U116" s="368">
        <v>356783</v>
      </c>
      <c r="V116" s="368"/>
    </row>
    <row r="117" spans="1:23" s="71" customFormat="1" ht="12" customHeight="1" x14ac:dyDescent="0.2">
      <c r="A117" s="16" t="s">
        <v>67</v>
      </c>
      <c r="B117" s="18" t="s">
        <v>597</v>
      </c>
      <c r="C117" s="18" t="s">
        <v>597</v>
      </c>
      <c r="D117" s="19">
        <v>36465</v>
      </c>
      <c r="E117" s="19">
        <v>36951</v>
      </c>
      <c r="F117" s="16" t="s">
        <v>598</v>
      </c>
      <c r="G117" s="16" t="s">
        <v>577</v>
      </c>
      <c r="H117" s="18" t="s">
        <v>68</v>
      </c>
      <c r="I117" s="24">
        <f>2.26/I$1</f>
        <v>7.2903225806451602E-2</v>
      </c>
      <c r="J117" s="20">
        <v>8.9999999999999998E-4</v>
      </c>
      <c r="K117" s="20">
        <v>2.2000000000000001E-3</v>
      </c>
      <c r="L117" s="20">
        <v>7.4999999999999997E-3</v>
      </c>
      <c r="M117" s="20">
        <v>0</v>
      </c>
      <c r="N117" s="21">
        <v>5.0000000000000001E-3</v>
      </c>
      <c r="O117" s="20">
        <f>SUM(I117:M117)</f>
        <v>8.3503225806451586E-2</v>
      </c>
      <c r="P117" s="33">
        <v>31468</v>
      </c>
      <c r="Q117" s="18">
        <v>1600</v>
      </c>
      <c r="R117" s="47" t="s">
        <v>47</v>
      </c>
      <c r="S117" s="25">
        <f>I117*$I$1*Q117</f>
        <v>3615.9999999999995</v>
      </c>
      <c r="T117" s="25"/>
      <c r="U117" s="139">
        <v>125103</v>
      </c>
      <c r="V117" s="139"/>
    </row>
    <row r="118" spans="1:23" s="99" customFormat="1" x14ac:dyDescent="0.2">
      <c r="A118" s="382" t="s">
        <v>47</v>
      </c>
      <c r="B118" s="150" t="s">
        <v>47</v>
      </c>
      <c r="C118" s="150" t="s">
        <v>47</v>
      </c>
      <c r="D118" s="383" t="s">
        <v>47</v>
      </c>
      <c r="E118" s="383" t="s">
        <v>47</v>
      </c>
      <c r="F118" s="382" t="s">
        <v>47</v>
      </c>
      <c r="G118" s="382" t="s">
        <v>47</v>
      </c>
      <c r="H118" s="150" t="s">
        <v>47</v>
      </c>
      <c r="I118" s="384" t="s">
        <v>47</v>
      </c>
      <c r="J118" s="32" t="s">
        <v>47</v>
      </c>
      <c r="K118" s="32" t="s">
        <v>47</v>
      </c>
      <c r="L118" s="32" t="s">
        <v>47</v>
      </c>
      <c r="M118" s="32" t="s">
        <v>48</v>
      </c>
      <c r="N118" s="292" t="s">
        <v>47</v>
      </c>
      <c r="O118" s="32" t="s">
        <v>47</v>
      </c>
      <c r="P118" s="350" t="s">
        <v>47</v>
      </c>
      <c r="Q118" s="150" t="s">
        <v>47</v>
      </c>
      <c r="R118" s="382" t="s">
        <v>47</v>
      </c>
      <c r="S118" s="41"/>
      <c r="T118" s="41">
        <f>SUM(T74:T117)</f>
        <v>0</v>
      </c>
      <c r="U118" s="138"/>
      <c r="V118" s="138"/>
    </row>
    <row r="119" spans="1:23" s="99" customFormat="1" x14ac:dyDescent="0.2">
      <c r="A119" s="382"/>
      <c r="B119" s="150"/>
      <c r="C119" s="150"/>
      <c r="D119" s="383"/>
      <c r="E119" s="383"/>
      <c r="F119" s="382"/>
      <c r="G119" s="382"/>
      <c r="H119" s="150"/>
      <c r="I119" s="384"/>
      <c r="J119" s="32"/>
      <c r="K119" s="32"/>
      <c r="L119" s="32"/>
      <c r="M119" s="32"/>
      <c r="N119" s="521"/>
      <c r="O119" s="32"/>
      <c r="P119" s="546"/>
      <c r="Q119" s="150">
        <f>SUM(Q75:Q118)</f>
        <v>1320520</v>
      </c>
      <c r="R119" s="382" t="s">
        <v>715</v>
      </c>
      <c r="S119" s="41">
        <f>SUM(S75:S118)</f>
        <v>705796.48536000017</v>
      </c>
      <c r="T119" s="41"/>
      <c r="U119" s="354"/>
      <c r="V119" s="138"/>
      <c r="W119" s="138"/>
    </row>
    <row r="120" spans="1:23" s="71" customFormat="1" x14ac:dyDescent="0.2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329"/>
      <c r="O120" s="20"/>
      <c r="P120" s="294"/>
      <c r="Q120" s="355"/>
      <c r="R120" s="382" t="s">
        <v>997</v>
      </c>
      <c r="S120" s="41">
        <f>SUM(S75:S81,S90:S109)</f>
        <v>570296.25776000007</v>
      </c>
      <c r="T120" s="25"/>
      <c r="U120" s="347"/>
      <c r="V120" s="139"/>
      <c r="W120" s="139"/>
    </row>
    <row r="121" spans="1:23" s="71" customFormat="1" ht="13.5" thickBot="1" x14ac:dyDescent="0.25">
      <c r="A121" s="16"/>
      <c r="B121" s="18"/>
      <c r="C121" s="18"/>
      <c r="D121" s="19"/>
      <c r="E121" s="19"/>
      <c r="F121" s="16"/>
      <c r="G121" s="16"/>
      <c r="H121" s="18"/>
      <c r="I121" s="24"/>
      <c r="J121" s="20"/>
      <c r="K121" s="20"/>
      <c r="L121" s="20"/>
      <c r="M121" s="20"/>
      <c r="N121" s="329"/>
      <c r="O121" s="20"/>
      <c r="P121" s="294"/>
      <c r="Q121" s="355"/>
      <c r="R121" s="382" t="s">
        <v>998</v>
      </c>
      <c r="S121" s="572">
        <f>+S119-S120</f>
        <v>135500.2276000001</v>
      </c>
      <c r="T121" s="25"/>
      <c r="U121" s="347"/>
      <c r="V121" s="139"/>
      <c r="W121" s="139"/>
    </row>
    <row r="122" spans="1:23" s="71" customFormat="1" ht="13.5" thickTop="1" x14ac:dyDescent="0.2">
      <c r="A122" s="16"/>
      <c r="B122" s="18"/>
      <c r="C122" s="18"/>
      <c r="D122" s="19"/>
      <c r="E122" s="19"/>
      <c r="F122" s="16"/>
      <c r="G122" s="16"/>
      <c r="H122" s="18"/>
      <c r="I122" s="24"/>
      <c r="J122" s="20"/>
      <c r="K122" s="20"/>
      <c r="L122" s="20"/>
      <c r="M122" s="20"/>
      <c r="N122" s="329"/>
      <c r="O122" s="20"/>
      <c r="P122" s="294"/>
      <c r="Q122" s="18"/>
      <c r="R122" s="16"/>
      <c r="S122" s="25"/>
      <c r="T122" s="25"/>
      <c r="U122" s="347"/>
      <c r="V122" s="139"/>
      <c r="W122" s="139"/>
    </row>
    <row r="123" spans="1:23" s="544" customFormat="1" x14ac:dyDescent="0.2">
      <c r="A123" s="537" t="s">
        <v>49</v>
      </c>
      <c r="B123" s="538" t="s">
        <v>50</v>
      </c>
      <c r="C123" s="538" t="s">
        <v>51</v>
      </c>
      <c r="D123" s="539" t="s">
        <v>52</v>
      </c>
      <c r="E123" s="539"/>
      <c r="F123" s="537" t="s">
        <v>53</v>
      </c>
      <c r="G123" s="537" t="s">
        <v>54</v>
      </c>
      <c r="H123" s="538" t="s">
        <v>706</v>
      </c>
      <c r="I123" s="540" t="s">
        <v>56</v>
      </c>
      <c r="J123" s="538" t="s">
        <v>57</v>
      </c>
      <c r="K123" s="538" t="s">
        <v>58</v>
      </c>
      <c r="L123" s="538" t="s">
        <v>59</v>
      </c>
      <c r="M123" s="538" t="s">
        <v>60</v>
      </c>
      <c r="N123" s="541" t="s">
        <v>62</v>
      </c>
      <c r="O123" s="538" t="s">
        <v>63</v>
      </c>
      <c r="P123" s="542" t="s">
        <v>674</v>
      </c>
      <c r="Q123" s="538" t="s">
        <v>65</v>
      </c>
      <c r="R123" s="537" t="s">
        <v>66</v>
      </c>
      <c r="S123" s="531" t="s">
        <v>675</v>
      </c>
      <c r="T123" s="531" t="s">
        <v>676</v>
      </c>
      <c r="U123" s="543" t="s">
        <v>677</v>
      </c>
      <c r="V123" s="534"/>
      <c r="W123" s="534"/>
    </row>
    <row r="124" spans="1:23" s="16" customFormat="1" ht="11.25" x14ac:dyDescent="0.2">
      <c r="A124" s="16" t="s">
        <v>602</v>
      </c>
      <c r="B124" s="18" t="s">
        <v>708</v>
      </c>
      <c r="C124" s="18" t="s">
        <v>693</v>
      </c>
      <c r="D124" s="19">
        <v>36557</v>
      </c>
      <c r="E124" s="19">
        <v>36830</v>
      </c>
      <c r="F124" s="16" t="s">
        <v>80</v>
      </c>
      <c r="G124" s="16" t="s">
        <v>119</v>
      </c>
      <c r="H124" s="16" t="s">
        <v>92</v>
      </c>
      <c r="I124" s="445">
        <f>18.29*0.0328767</f>
        <v>0.60131484300000004</v>
      </c>
      <c r="J124" s="16">
        <v>0</v>
      </c>
      <c r="K124" s="16">
        <v>2.2000000000000001E-3</v>
      </c>
      <c r="L124" s="16">
        <v>7.1999999999999998E-3</v>
      </c>
      <c r="M124" s="16">
        <v>1.3100000000000001E-2</v>
      </c>
      <c r="N124" s="16">
        <v>0</v>
      </c>
      <c r="O124" s="16">
        <f t="shared" ref="O124:O129" si="7">SUM(I124:M124)</f>
        <v>0.62381484300000001</v>
      </c>
      <c r="P124" s="294">
        <v>892510</v>
      </c>
      <c r="Q124" s="16">
        <v>16136</v>
      </c>
      <c r="R124" s="16" t="s">
        <v>709</v>
      </c>
      <c r="S124" s="516">
        <f>I124*I$1*Q124</f>
        <v>300787.30550608801</v>
      </c>
      <c r="U124" s="341" t="s">
        <v>855</v>
      </c>
    </row>
    <row r="125" spans="1:23" s="180" customFormat="1" ht="11.25" x14ac:dyDescent="0.2">
      <c r="A125" s="180" t="s">
        <v>602</v>
      </c>
      <c r="B125" s="362" t="s">
        <v>708</v>
      </c>
      <c r="C125" s="362" t="s">
        <v>693</v>
      </c>
      <c r="D125" s="363">
        <v>36739</v>
      </c>
      <c r="E125" s="363">
        <v>36769</v>
      </c>
      <c r="F125" s="180" t="s">
        <v>80</v>
      </c>
      <c r="G125" s="180" t="s">
        <v>119</v>
      </c>
      <c r="H125" s="180" t="s">
        <v>92</v>
      </c>
      <c r="I125" s="615">
        <f>18.889*0.0328767</f>
        <v>0.62100798629999998</v>
      </c>
      <c r="J125" s="180">
        <v>0</v>
      </c>
      <c r="K125" s="180">
        <v>2.2000000000000001E-3</v>
      </c>
      <c r="L125" s="180">
        <v>7.1999999999999998E-3</v>
      </c>
      <c r="M125" s="180">
        <v>1.3100000000000001E-2</v>
      </c>
      <c r="N125" s="180">
        <v>0</v>
      </c>
      <c r="O125" s="180">
        <f t="shared" si="7"/>
        <v>0.64350798629999995</v>
      </c>
      <c r="P125" s="616">
        <v>892511</v>
      </c>
      <c r="Q125" s="180">
        <v>-642</v>
      </c>
      <c r="S125" s="617">
        <f>I125*I$1*Q125</f>
        <v>-12359.3009433426</v>
      </c>
      <c r="U125" s="618"/>
    </row>
    <row r="126" spans="1:23" s="71" customFormat="1" x14ac:dyDescent="0.2">
      <c r="A126" s="16" t="s">
        <v>602</v>
      </c>
      <c r="B126" s="18" t="s">
        <v>708</v>
      </c>
      <c r="C126" s="18" t="s">
        <v>693</v>
      </c>
      <c r="D126" s="19">
        <v>36465</v>
      </c>
      <c r="E126" s="19">
        <v>36830</v>
      </c>
      <c r="F126" s="16" t="s">
        <v>80</v>
      </c>
      <c r="G126" s="16" t="s">
        <v>119</v>
      </c>
      <c r="H126" s="18" t="s">
        <v>92</v>
      </c>
      <c r="I126" s="445">
        <f>18.889*0.0328767</f>
        <v>0.62100798629999998</v>
      </c>
      <c r="J126" s="20">
        <v>0</v>
      </c>
      <c r="K126" s="20">
        <v>2.2000000000000001E-3</v>
      </c>
      <c r="L126" s="20">
        <v>7.1999999999999998E-3</v>
      </c>
      <c r="M126" s="20">
        <v>1.3100000000000001E-2</v>
      </c>
      <c r="N126" s="329">
        <v>0</v>
      </c>
      <c r="O126" s="20">
        <f t="shared" si="7"/>
        <v>0.64350798629999995</v>
      </c>
      <c r="P126" s="294">
        <v>892511</v>
      </c>
      <c r="Q126" s="18">
        <v>8068</v>
      </c>
      <c r="R126" s="16"/>
      <c r="S126" s="516">
        <f>I126*I$1*Q126</f>
        <v>155319.06543752039</v>
      </c>
      <c r="T126" s="25"/>
      <c r="U126" s="341" t="s">
        <v>856</v>
      </c>
      <c r="V126" s="139"/>
      <c r="W126" s="139"/>
    </row>
    <row r="127" spans="1:23" s="99" customFormat="1" x14ac:dyDescent="0.2">
      <c r="A127" s="382" t="s">
        <v>491</v>
      </c>
      <c r="B127" s="150" t="s">
        <v>708</v>
      </c>
      <c r="C127" s="150" t="s">
        <v>736</v>
      </c>
      <c r="D127" s="383">
        <v>36647</v>
      </c>
      <c r="E127" s="383">
        <v>36830</v>
      </c>
      <c r="F127" s="382" t="s">
        <v>96</v>
      </c>
      <c r="G127" s="382" t="s">
        <v>119</v>
      </c>
      <c r="H127" s="150" t="s">
        <v>70</v>
      </c>
      <c r="I127" s="384">
        <f>0.9125*0.0328767</f>
        <v>2.9999988750000001E-2</v>
      </c>
      <c r="J127" s="32">
        <v>7.4999999999999997E-2</v>
      </c>
      <c r="K127" s="32">
        <v>2.2000000000000001E-3</v>
      </c>
      <c r="L127" s="32">
        <v>0</v>
      </c>
      <c r="M127" s="32">
        <v>0</v>
      </c>
      <c r="N127" s="292">
        <v>0</v>
      </c>
      <c r="O127" s="32">
        <f t="shared" si="7"/>
        <v>0.10719998874999999</v>
      </c>
      <c r="P127" s="350">
        <v>893145</v>
      </c>
      <c r="Q127" s="150">
        <v>5000</v>
      </c>
      <c r="R127" s="446" t="s">
        <v>918</v>
      </c>
      <c r="S127" s="517">
        <f t="shared" ref="S127:S133" si="8">+I127*I$1*Q127</f>
        <v>4649.9982562499999</v>
      </c>
      <c r="T127" s="41"/>
      <c r="U127" s="549" t="s">
        <v>922</v>
      </c>
      <c r="V127" s="138"/>
    </row>
    <row r="128" spans="1:23" s="99" customFormat="1" x14ac:dyDescent="0.2">
      <c r="A128" s="382" t="s">
        <v>491</v>
      </c>
      <c r="B128" s="150" t="s">
        <v>708</v>
      </c>
      <c r="C128" s="150" t="s">
        <v>806</v>
      </c>
      <c r="D128" s="383">
        <v>36617</v>
      </c>
      <c r="E128" s="383">
        <v>36830</v>
      </c>
      <c r="F128" s="382" t="s">
        <v>96</v>
      </c>
      <c r="G128" s="382" t="s">
        <v>119</v>
      </c>
      <c r="H128" s="150" t="s">
        <v>68</v>
      </c>
      <c r="I128" s="384">
        <f>0.7604*0.0328767</f>
        <v>2.4999442680000001E-2</v>
      </c>
      <c r="J128" s="32">
        <v>7.4999999999999997E-2</v>
      </c>
      <c r="K128" s="32">
        <v>2.2000000000000001E-3</v>
      </c>
      <c r="L128" s="32">
        <v>0</v>
      </c>
      <c r="M128" s="32">
        <v>0</v>
      </c>
      <c r="N128" s="292">
        <v>0</v>
      </c>
      <c r="O128" s="32">
        <f t="shared" si="7"/>
        <v>0.10219944267999999</v>
      </c>
      <c r="P128" s="350">
        <v>892875</v>
      </c>
      <c r="Q128" s="150">
        <v>10000</v>
      </c>
      <c r="R128" s="446" t="s">
        <v>1060</v>
      </c>
      <c r="S128" s="517">
        <f t="shared" si="8"/>
        <v>7749.8272308000005</v>
      </c>
      <c r="T128" s="41"/>
      <c r="U128" s="138" t="s">
        <v>807</v>
      </c>
      <c r="V128" s="138"/>
    </row>
    <row r="129" spans="1:23" s="99" customFormat="1" x14ac:dyDescent="0.2">
      <c r="A129" s="382" t="s">
        <v>716</v>
      </c>
      <c r="B129" s="150" t="s">
        <v>708</v>
      </c>
      <c r="C129" s="150" t="s">
        <v>920</v>
      </c>
      <c r="D129" s="383">
        <v>36678</v>
      </c>
      <c r="E129" s="383">
        <v>36830</v>
      </c>
      <c r="F129" s="382" t="s">
        <v>94</v>
      </c>
      <c r="G129" s="382" t="s">
        <v>119</v>
      </c>
      <c r="H129" s="150" t="s">
        <v>70</v>
      </c>
      <c r="I129" s="384">
        <f>1.3688*0.0328767</f>
        <v>4.5001626960000006E-2</v>
      </c>
      <c r="J129" s="32">
        <v>7.4999999999999997E-2</v>
      </c>
      <c r="K129" s="32">
        <v>2.2000000000000001E-3</v>
      </c>
      <c r="L129" s="32">
        <v>0</v>
      </c>
      <c r="M129" s="32">
        <v>0</v>
      </c>
      <c r="N129" s="292">
        <v>0</v>
      </c>
      <c r="O129" s="32">
        <f t="shared" si="7"/>
        <v>0.12220162695999999</v>
      </c>
      <c r="P129" s="350">
        <v>892875</v>
      </c>
      <c r="Q129" s="150">
        <v>-504</v>
      </c>
      <c r="R129" s="446" t="s">
        <v>921</v>
      </c>
      <c r="S129" s="517">
        <f t="shared" si="8"/>
        <v>-703.10541962304012</v>
      </c>
      <c r="T129" s="41"/>
      <c r="U129" s="138">
        <v>251607</v>
      </c>
      <c r="V129" s="138"/>
    </row>
    <row r="130" spans="1:23" s="99" customFormat="1" x14ac:dyDescent="0.2">
      <c r="A130" s="382" t="s">
        <v>491</v>
      </c>
      <c r="B130" s="150" t="s">
        <v>708</v>
      </c>
      <c r="C130" s="150" t="s">
        <v>808</v>
      </c>
      <c r="D130" s="383">
        <v>36617</v>
      </c>
      <c r="E130" s="383">
        <v>36830</v>
      </c>
      <c r="F130" s="382" t="s">
        <v>96</v>
      </c>
      <c r="G130" s="382" t="s">
        <v>298</v>
      </c>
      <c r="H130" s="150" t="s">
        <v>68</v>
      </c>
      <c r="I130" s="384">
        <f>0.341*0.0328767</f>
        <v>1.1210954700000001E-2</v>
      </c>
      <c r="J130" s="32">
        <v>7.4999999999999997E-2</v>
      </c>
      <c r="K130" s="32">
        <v>2.2000000000000001E-3</v>
      </c>
      <c r="L130" s="32">
        <v>0</v>
      </c>
      <c r="M130" s="32">
        <v>0</v>
      </c>
      <c r="N130" s="292">
        <v>0</v>
      </c>
      <c r="O130" s="32">
        <f>SUM(I130:M130)</f>
        <v>8.8410954699999988E-2</v>
      </c>
      <c r="P130" s="350">
        <v>892872</v>
      </c>
      <c r="Q130" s="150">
        <v>19355</v>
      </c>
      <c r="R130" s="446" t="s">
        <v>809</v>
      </c>
      <c r="S130" s="517">
        <f t="shared" si="8"/>
        <v>6726.6288747735007</v>
      </c>
      <c r="T130" s="41"/>
      <c r="U130" s="138" t="s">
        <v>826</v>
      </c>
      <c r="V130" s="138"/>
    </row>
    <row r="131" spans="1:23" s="241" customFormat="1" x14ac:dyDescent="0.2">
      <c r="A131" s="590" t="s">
        <v>716</v>
      </c>
      <c r="B131" s="591" t="s">
        <v>708</v>
      </c>
      <c r="C131" s="591" t="s">
        <v>1063</v>
      </c>
      <c r="D131" s="592">
        <v>36739</v>
      </c>
      <c r="E131" s="592">
        <v>36769</v>
      </c>
      <c r="F131" s="590" t="s">
        <v>94</v>
      </c>
      <c r="G131" s="590" t="s">
        <v>298</v>
      </c>
      <c r="H131" s="591" t="s">
        <v>867</v>
      </c>
      <c r="I131" s="593">
        <f>0.6083/I1</f>
        <v>1.962258064516129E-2</v>
      </c>
      <c r="J131" s="594">
        <v>7.4999999999999997E-2</v>
      </c>
      <c r="K131" s="594">
        <v>2.2000000000000001E-3</v>
      </c>
      <c r="L131" s="594">
        <v>0</v>
      </c>
      <c r="M131" s="594">
        <v>0</v>
      </c>
      <c r="N131" s="595">
        <v>0</v>
      </c>
      <c r="O131" s="594">
        <f>SUM(I131:M131)</f>
        <v>9.6822580645161277E-2</v>
      </c>
      <c r="P131" s="596">
        <v>892872</v>
      </c>
      <c r="Q131" s="591">
        <v>-650</v>
      </c>
      <c r="R131" s="597" t="s">
        <v>1064</v>
      </c>
      <c r="S131" s="598">
        <f t="shared" si="8"/>
        <v>-395.39499999999998</v>
      </c>
      <c r="T131" s="599"/>
      <c r="U131" s="600">
        <v>345378</v>
      </c>
      <c r="V131" s="600"/>
    </row>
    <row r="132" spans="1:23" s="241" customFormat="1" x14ac:dyDescent="0.2">
      <c r="A132" s="590" t="s">
        <v>491</v>
      </c>
      <c r="B132" s="591" t="s">
        <v>708</v>
      </c>
      <c r="C132" s="591" t="s">
        <v>327</v>
      </c>
      <c r="D132" s="592">
        <v>36739</v>
      </c>
      <c r="E132" s="592">
        <v>36769</v>
      </c>
      <c r="F132" s="590" t="s">
        <v>96</v>
      </c>
      <c r="G132" s="590" t="s">
        <v>298</v>
      </c>
      <c r="H132" s="591" t="s">
        <v>867</v>
      </c>
      <c r="I132" s="593">
        <f>0.152*0.0328767</f>
        <v>4.9972584000000002E-3</v>
      </c>
      <c r="J132" s="594">
        <v>7.4999999999999997E-2</v>
      </c>
      <c r="K132" s="594">
        <v>2.2000000000000001E-3</v>
      </c>
      <c r="L132" s="594">
        <v>0</v>
      </c>
      <c r="M132" s="594">
        <v>0</v>
      </c>
      <c r="N132" s="595">
        <v>0</v>
      </c>
      <c r="O132" s="594">
        <f>SUM(I132:M132)</f>
        <v>8.2197258399999987E-2</v>
      </c>
      <c r="P132" s="596">
        <v>893741</v>
      </c>
      <c r="Q132" s="591">
        <v>5000</v>
      </c>
      <c r="R132" s="597" t="s">
        <v>1093</v>
      </c>
      <c r="S132" s="598">
        <f t="shared" si="8"/>
        <v>774.57505200000003</v>
      </c>
      <c r="T132" s="599"/>
      <c r="U132" s="600" t="s">
        <v>1094</v>
      </c>
      <c r="V132" s="600"/>
    </row>
    <row r="133" spans="1:23" s="614" customFormat="1" x14ac:dyDescent="0.2">
      <c r="A133" s="603" t="s">
        <v>491</v>
      </c>
      <c r="B133" s="604" t="s">
        <v>708</v>
      </c>
      <c r="C133" s="604" t="s">
        <v>327</v>
      </c>
      <c r="D133" s="605">
        <v>36739</v>
      </c>
      <c r="E133" s="605">
        <v>36769</v>
      </c>
      <c r="F133" s="603" t="s">
        <v>96</v>
      </c>
      <c r="G133" s="603" t="s">
        <v>298</v>
      </c>
      <c r="H133" s="604" t="s">
        <v>867</v>
      </c>
      <c r="I133" s="606">
        <f>0.152*0.0328767</f>
        <v>4.9972584000000002E-3</v>
      </c>
      <c r="J133" s="607">
        <v>7.4999999999999997E-2</v>
      </c>
      <c r="K133" s="607">
        <v>2.2000000000000001E-3</v>
      </c>
      <c r="L133" s="607">
        <v>0</v>
      </c>
      <c r="M133" s="607">
        <v>0</v>
      </c>
      <c r="N133" s="608">
        <v>0</v>
      </c>
      <c r="O133" s="607">
        <f>SUM(I133:M133)</f>
        <v>8.2197258399999987E-2</v>
      </c>
      <c r="P133" s="609">
        <v>893719</v>
      </c>
      <c r="Q133" s="604">
        <v>11900</v>
      </c>
      <c r="R133" s="610" t="s">
        <v>1095</v>
      </c>
      <c r="S133" s="611">
        <f t="shared" si="8"/>
        <v>1843.4886237599999</v>
      </c>
      <c r="T133" s="612"/>
      <c r="U133" s="613"/>
      <c r="V133" s="613"/>
    </row>
    <row r="134" spans="1:23" x14ac:dyDescent="0.2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32"/>
      <c r="L134" s="20"/>
      <c r="M134" s="20"/>
      <c r="N134" s="329"/>
      <c r="O134" s="20"/>
      <c r="P134" s="33"/>
      <c r="Q134" s="17"/>
      <c r="R134" s="18"/>
      <c r="S134" s="130"/>
      <c r="T134" s="25"/>
      <c r="U134" s="341"/>
      <c r="V134" s="139"/>
      <c r="W134" s="139"/>
    </row>
    <row r="135" spans="1:23" s="99" customFormat="1" x14ac:dyDescent="0.2">
      <c r="A135" s="382"/>
      <c r="B135" s="150"/>
      <c r="C135" s="150"/>
      <c r="D135" s="383"/>
      <c r="E135" s="383"/>
      <c r="F135" s="382"/>
      <c r="G135" s="382"/>
      <c r="H135" s="150"/>
      <c r="I135" s="384"/>
      <c r="J135" s="32"/>
      <c r="K135" s="32"/>
      <c r="L135" s="32"/>
      <c r="M135" s="32"/>
      <c r="N135" s="521"/>
      <c r="O135" s="32"/>
      <c r="P135" s="546"/>
      <c r="Q135" s="150">
        <f>SUM(Q124:Q134)</f>
        <v>73663</v>
      </c>
      <c r="R135" s="382" t="s">
        <v>715</v>
      </c>
      <c r="S135" s="41">
        <f>SUM(S124:S134)</f>
        <v>464393.08761822624</v>
      </c>
      <c r="T135" s="41"/>
      <c r="U135" s="354"/>
      <c r="V135" s="138"/>
      <c r="W135" s="138"/>
    </row>
    <row r="136" spans="1:23" s="71" customFormat="1" x14ac:dyDescent="0.2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20"/>
      <c r="L136" s="20"/>
      <c r="M136" s="20"/>
      <c r="N136" s="329"/>
      <c r="O136" s="20"/>
      <c r="P136" s="294"/>
      <c r="Q136" s="355"/>
      <c r="R136" s="382" t="s">
        <v>997</v>
      </c>
      <c r="S136" s="41">
        <f>SUM(S124:S126)</f>
        <v>443747.07000026578</v>
      </c>
      <c r="T136" s="25"/>
      <c r="U136" s="347"/>
      <c r="V136" s="139"/>
      <c r="W136" s="139"/>
    </row>
    <row r="137" spans="1:23" s="71" customFormat="1" ht="13.5" thickBot="1" x14ac:dyDescent="0.25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20"/>
      <c r="L137" s="20"/>
      <c r="M137" s="20"/>
      <c r="N137" s="329"/>
      <c r="O137" s="20"/>
      <c r="P137" s="294"/>
      <c r="Q137" s="355"/>
      <c r="R137" s="382" t="s">
        <v>998</v>
      </c>
      <c r="S137" s="573">
        <f>+S135-S136</f>
        <v>20646.01761796046</v>
      </c>
      <c r="T137" s="25"/>
      <c r="U137" s="347"/>
      <c r="V137" s="139"/>
      <c r="W137" s="139"/>
    </row>
    <row r="138" spans="1:23" s="71" customFormat="1" ht="13.5" thickTop="1" x14ac:dyDescent="0.2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20"/>
      <c r="L138" s="20"/>
      <c r="M138" s="20"/>
      <c r="N138" s="329"/>
      <c r="O138" s="20"/>
      <c r="P138" s="294"/>
      <c r="Q138" s="18"/>
      <c r="R138" s="16"/>
      <c r="S138" s="25"/>
      <c r="T138" s="25"/>
      <c r="U138" s="347"/>
      <c r="V138" s="139"/>
      <c r="W138" s="139"/>
    </row>
    <row r="139" spans="1:23" s="544" customFormat="1" x14ac:dyDescent="0.2">
      <c r="A139" s="537" t="s">
        <v>49</v>
      </c>
      <c r="B139" s="538" t="s">
        <v>50</v>
      </c>
      <c r="C139" s="538" t="s">
        <v>51</v>
      </c>
      <c r="D139" s="539" t="s">
        <v>52</v>
      </c>
      <c r="E139" s="539"/>
      <c r="F139" s="537" t="s">
        <v>53</v>
      </c>
      <c r="G139" s="537" t="s">
        <v>54</v>
      </c>
      <c r="H139" s="538" t="s">
        <v>55</v>
      </c>
      <c r="I139" s="540" t="s">
        <v>56</v>
      </c>
      <c r="J139" s="538" t="s">
        <v>57</v>
      </c>
      <c r="K139" s="538" t="s">
        <v>58</v>
      </c>
      <c r="L139" s="538" t="s">
        <v>59</v>
      </c>
      <c r="M139" s="538" t="s">
        <v>60</v>
      </c>
      <c r="N139" s="545" t="s">
        <v>62</v>
      </c>
      <c r="O139" s="538" t="s">
        <v>63</v>
      </c>
      <c r="P139" s="542" t="s">
        <v>64</v>
      </c>
      <c r="Q139" s="538" t="s">
        <v>65</v>
      </c>
      <c r="R139" s="537" t="s">
        <v>66</v>
      </c>
      <c r="S139" s="531" t="s">
        <v>634</v>
      </c>
      <c r="T139" s="531" t="s">
        <v>635</v>
      </c>
      <c r="U139" s="534"/>
      <c r="V139" s="534"/>
    </row>
    <row r="140" spans="1:23" s="99" customFormat="1" x14ac:dyDescent="0.2">
      <c r="A140" s="382" t="s">
        <v>49</v>
      </c>
      <c r="B140" s="150" t="s">
        <v>932</v>
      </c>
      <c r="C140" s="150" t="s">
        <v>933</v>
      </c>
      <c r="D140" s="383">
        <v>36647</v>
      </c>
      <c r="E140" s="383">
        <v>36770</v>
      </c>
      <c r="F140" s="382" t="s">
        <v>934</v>
      </c>
      <c r="G140" s="382" t="s">
        <v>935</v>
      </c>
      <c r="H140" s="150" t="s">
        <v>68</v>
      </c>
      <c r="I140" s="384">
        <v>0</v>
      </c>
      <c r="J140" s="32"/>
      <c r="K140" s="32"/>
      <c r="L140" s="32"/>
      <c r="M140" s="32"/>
      <c r="N140" s="292"/>
      <c r="O140" s="32"/>
      <c r="P140" s="350" t="s">
        <v>936</v>
      </c>
      <c r="Q140" s="150">
        <v>5200</v>
      </c>
      <c r="R140" s="550">
        <v>200004000073</v>
      </c>
      <c r="S140" s="41">
        <f>+I140*Q140*I$1</f>
        <v>0</v>
      </c>
      <c r="T140" s="41"/>
      <c r="U140" s="138">
        <v>253159</v>
      </c>
      <c r="V140" s="138"/>
    </row>
    <row r="141" spans="1:23" s="99" customFormat="1" x14ac:dyDescent="0.2">
      <c r="A141" s="382" t="s">
        <v>491</v>
      </c>
      <c r="B141" s="150" t="s">
        <v>932</v>
      </c>
      <c r="C141" s="150" t="s">
        <v>943</v>
      </c>
      <c r="D141" s="383">
        <v>36647</v>
      </c>
      <c r="E141" s="383">
        <v>36677</v>
      </c>
      <c r="F141" s="382" t="s">
        <v>934</v>
      </c>
      <c r="G141" s="382" t="s">
        <v>944</v>
      </c>
      <c r="H141" s="150" t="s">
        <v>804</v>
      </c>
      <c r="I141" s="384">
        <v>5.0000000000000001E-3</v>
      </c>
      <c r="J141" s="32"/>
      <c r="K141" s="32"/>
      <c r="L141" s="32"/>
      <c r="M141" s="32"/>
      <c r="N141" s="292"/>
      <c r="O141" s="32"/>
      <c r="P141" s="350" t="s">
        <v>945</v>
      </c>
      <c r="Q141" s="150">
        <v>7000</v>
      </c>
      <c r="R141" s="446" t="s">
        <v>946</v>
      </c>
      <c r="S141" s="41">
        <f>+I141*Q141*I$1</f>
        <v>1085</v>
      </c>
      <c r="T141" s="41"/>
      <c r="U141" s="138">
        <v>254539</v>
      </c>
      <c r="V141" s="138"/>
    </row>
    <row r="142" spans="1:23" s="99" customFormat="1" x14ac:dyDescent="0.2">
      <c r="A142" s="382" t="s">
        <v>491</v>
      </c>
      <c r="B142" s="150" t="s">
        <v>932</v>
      </c>
      <c r="C142" s="150" t="s">
        <v>943</v>
      </c>
      <c r="D142" s="383">
        <v>36647</v>
      </c>
      <c r="E142" s="383">
        <v>36769</v>
      </c>
      <c r="F142" s="382" t="s">
        <v>948</v>
      </c>
      <c r="G142" s="382" t="s">
        <v>949</v>
      </c>
      <c r="H142" s="150" t="s">
        <v>804</v>
      </c>
      <c r="I142" s="384">
        <v>5.0000000000000001E-3</v>
      </c>
      <c r="J142" s="32"/>
      <c r="K142" s="32"/>
      <c r="L142" s="32"/>
      <c r="M142" s="32"/>
      <c r="N142" s="292"/>
      <c r="O142" s="32"/>
      <c r="P142" s="350" t="s">
        <v>950</v>
      </c>
      <c r="Q142" s="150">
        <v>2300</v>
      </c>
      <c r="R142" s="446" t="s">
        <v>951</v>
      </c>
      <c r="S142" s="41">
        <f>+I142*Q142*I$1</f>
        <v>356.5</v>
      </c>
      <c r="T142" s="41"/>
      <c r="U142" s="138">
        <v>257412</v>
      </c>
      <c r="V142" s="138"/>
    </row>
    <row r="143" spans="1:23" s="99" customFormat="1" x14ac:dyDescent="0.2">
      <c r="A143" s="382"/>
      <c r="B143" s="150"/>
      <c r="C143" s="150"/>
      <c r="D143" s="383"/>
      <c r="E143" s="383"/>
      <c r="F143" s="382"/>
      <c r="G143" s="382"/>
      <c r="H143" s="150"/>
      <c r="I143" s="384"/>
      <c r="J143" s="32"/>
      <c r="K143" s="32"/>
      <c r="L143" s="32"/>
      <c r="M143" s="32"/>
      <c r="N143" s="292" t="s">
        <v>47</v>
      </c>
      <c r="O143" s="32"/>
      <c r="P143" s="350"/>
      <c r="Q143" s="150"/>
      <c r="R143" s="382" t="s">
        <v>47</v>
      </c>
      <c r="S143" s="41"/>
      <c r="T143" s="41"/>
      <c r="U143" s="138"/>
      <c r="V143" s="138"/>
    </row>
    <row r="144" spans="1:23" s="99" customFormat="1" x14ac:dyDescent="0.2">
      <c r="A144" s="382"/>
      <c r="B144" s="150"/>
      <c r="C144" s="150"/>
      <c r="D144" s="383"/>
      <c r="E144" s="383"/>
      <c r="F144" s="382"/>
      <c r="G144" s="382"/>
      <c r="H144" s="150"/>
      <c r="I144" s="384"/>
      <c r="J144" s="32"/>
      <c r="K144" s="32"/>
      <c r="L144" s="32"/>
      <c r="M144" s="32"/>
      <c r="N144" s="521"/>
      <c r="O144" s="32"/>
      <c r="P144" s="546"/>
      <c r="Q144" s="150">
        <f>SUM(Q140:Q143)</f>
        <v>14500</v>
      </c>
      <c r="R144" s="382" t="s">
        <v>715</v>
      </c>
      <c r="S144" s="41">
        <f>SUM(S140:S143)</f>
        <v>1441.5</v>
      </c>
      <c r="T144" s="41"/>
      <c r="U144" s="354"/>
      <c r="V144" s="138"/>
      <c r="W144" s="138"/>
    </row>
    <row r="145" spans="1:23" s="71" customFormat="1" x14ac:dyDescent="0.2">
      <c r="A145" s="16"/>
      <c r="B145" s="18"/>
      <c r="C145" s="18"/>
      <c r="D145" s="19"/>
      <c r="E145" s="19"/>
      <c r="F145" s="16"/>
      <c r="G145" s="16"/>
      <c r="H145" s="18"/>
      <c r="I145" s="24"/>
      <c r="J145" s="20"/>
      <c r="K145" s="20"/>
      <c r="L145" s="20"/>
      <c r="M145" s="20"/>
      <c r="N145" s="329"/>
      <c r="O145" s="20"/>
      <c r="P145" s="294"/>
      <c r="Q145" s="355"/>
      <c r="R145" s="382" t="s">
        <v>997</v>
      </c>
      <c r="S145" s="41">
        <v>0</v>
      </c>
      <c r="T145" s="25"/>
      <c r="U145" s="347"/>
      <c r="V145" s="139"/>
      <c r="W145" s="139"/>
    </row>
    <row r="146" spans="1:23" s="71" customFormat="1" ht="13.5" thickBot="1" x14ac:dyDescent="0.25">
      <c r="A146" s="16"/>
      <c r="B146" s="18"/>
      <c r="C146" s="18"/>
      <c r="D146" s="19"/>
      <c r="E146" s="19"/>
      <c r="F146" s="16"/>
      <c r="G146" s="16"/>
      <c r="H146" s="18"/>
      <c r="I146" s="24"/>
      <c r="J146" s="20"/>
      <c r="K146" s="20"/>
      <c r="L146" s="20"/>
      <c r="M146" s="20"/>
      <c r="N146" s="329"/>
      <c r="O146" s="20"/>
      <c r="P146" s="294"/>
      <c r="Q146" s="355"/>
      <c r="R146" s="382" t="s">
        <v>998</v>
      </c>
      <c r="S146" s="573">
        <f>+S144-S145</f>
        <v>1441.5</v>
      </c>
      <c r="T146" s="25"/>
      <c r="U146" s="347"/>
      <c r="V146" s="139"/>
      <c r="W146" s="139"/>
    </row>
    <row r="147" spans="1:23" s="71" customFormat="1" ht="13.5" thickTop="1" x14ac:dyDescent="0.2">
      <c r="A147" s="16"/>
      <c r="B147" s="18"/>
      <c r="C147" s="18"/>
      <c r="D147" s="19"/>
      <c r="E147" s="19"/>
      <c r="F147" s="16"/>
      <c r="G147" s="16"/>
      <c r="H147" s="18"/>
      <c r="I147" s="24"/>
      <c r="J147" s="20"/>
      <c r="K147" s="20"/>
      <c r="L147" s="20"/>
      <c r="M147" s="20"/>
      <c r="N147" s="329"/>
      <c r="O147" s="20"/>
      <c r="P147" s="294"/>
      <c r="Q147" s="18"/>
      <c r="R147" s="16"/>
      <c r="S147" s="25"/>
      <c r="T147" s="25"/>
      <c r="U147" s="347"/>
      <c r="V147" s="139"/>
      <c r="W147" s="139"/>
    </row>
    <row r="148" spans="1:23" s="544" customFormat="1" x14ac:dyDescent="0.2">
      <c r="A148" s="537" t="s">
        <v>49</v>
      </c>
      <c r="B148" s="538" t="s">
        <v>50</v>
      </c>
      <c r="C148" s="538" t="s">
        <v>51</v>
      </c>
      <c r="D148" s="539" t="s">
        <v>52</v>
      </c>
      <c r="E148" s="539"/>
      <c r="F148" s="537" t="s">
        <v>53</v>
      </c>
      <c r="G148" s="537" t="s">
        <v>54</v>
      </c>
      <c r="H148" s="538" t="s">
        <v>55</v>
      </c>
      <c r="I148" s="540" t="s">
        <v>56</v>
      </c>
      <c r="J148" s="538" t="s">
        <v>57</v>
      </c>
      <c r="K148" s="538" t="s">
        <v>58</v>
      </c>
      <c r="L148" s="538" t="s">
        <v>59</v>
      </c>
      <c r="M148" s="538" t="s">
        <v>60</v>
      </c>
      <c r="N148" s="538" t="s">
        <v>61</v>
      </c>
      <c r="O148" s="538" t="s">
        <v>63</v>
      </c>
      <c r="P148" s="542" t="s">
        <v>64</v>
      </c>
      <c r="Q148" s="538" t="s">
        <v>65</v>
      </c>
      <c r="R148" s="537" t="s">
        <v>66</v>
      </c>
      <c r="S148" s="547" t="s">
        <v>634</v>
      </c>
      <c r="T148" s="531" t="s">
        <v>635</v>
      </c>
      <c r="U148" s="534"/>
      <c r="V148" s="534"/>
    </row>
    <row r="149" spans="1:23" s="181" customFormat="1" x14ac:dyDescent="0.2">
      <c r="A149" s="180" t="s">
        <v>491</v>
      </c>
      <c r="B149" s="586" t="s">
        <v>663</v>
      </c>
      <c r="C149" s="362" t="s">
        <v>663</v>
      </c>
      <c r="D149" s="363">
        <v>36739</v>
      </c>
      <c r="E149" s="363">
        <v>36769</v>
      </c>
      <c r="F149" s="180" t="s">
        <v>418</v>
      </c>
      <c r="G149" s="180" t="s">
        <v>820</v>
      </c>
      <c r="H149" s="586" t="s">
        <v>68</v>
      </c>
      <c r="I149" s="364">
        <f>1.24/$I$1</f>
        <v>0.04</v>
      </c>
      <c r="J149" s="365">
        <v>0</v>
      </c>
      <c r="K149" s="365">
        <v>0</v>
      </c>
      <c r="L149" s="365">
        <v>0</v>
      </c>
      <c r="M149" s="365">
        <v>0</v>
      </c>
      <c r="N149" s="365">
        <v>0</v>
      </c>
      <c r="O149" s="365">
        <v>0</v>
      </c>
      <c r="P149" s="588">
        <v>3.6366999999999998</v>
      </c>
      <c r="Q149" s="362">
        <v>20000</v>
      </c>
      <c r="R149" s="180" t="s">
        <v>919</v>
      </c>
      <c r="S149" s="367">
        <f>I149*$I$1*Q149</f>
        <v>24800</v>
      </c>
      <c r="T149" s="367">
        <v>0</v>
      </c>
      <c r="U149" s="589" t="s">
        <v>1059</v>
      </c>
      <c r="V149" s="368"/>
    </row>
    <row r="150" spans="1:23" s="577" customFormat="1" x14ac:dyDescent="0.2">
      <c r="A150" s="187" t="s">
        <v>491</v>
      </c>
      <c r="B150" s="575" t="s">
        <v>663</v>
      </c>
      <c r="C150" s="188" t="s">
        <v>802</v>
      </c>
      <c r="D150" s="496">
        <v>36770</v>
      </c>
      <c r="E150" s="496">
        <v>36830</v>
      </c>
      <c r="F150" s="187" t="s">
        <v>816</v>
      </c>
      <c r="G150" s="187" t="s">
        <v>803</v>
      </c>
      <c r="H150" s="575" t="s">
        <v>804</v>
      </c>
      <c r="I150" s="497">
        <f>4.2583/I$1</f>
        <v>0.13736451612903228</v>
      </c>
      <c r="J150" s="498"/>
      <c r="K150" s="498"/>
      <c r="L150" s="498"/>
      <c r="M150" s="498"/>
      <c r="N150" s="498"/>
      <c r="O150" s="498"/>
      <c r="P150" s="576"/>
      <c r="Q150" s="188">
        <v>5000</v>
      </c>
      <c r="R150" s="187" t="s">
        <v>1042</v>
      </c>
      <c r="S150" s="502" t="s">
        <v>931</v>
      </c>
      <c r="T150" s="502"/>
      <c r="U150" s="504"/>
      <c r="V150" s="504"/>
    </row>
    <row r="151" spans="1:23" s="181" customFormat="1" x14ac:dyDescent="0.2">
      <c r="A151" s="180" t="s">
        <v>491</v>
      </c>
      <c r="B151" s="586" t="s">
        <v>663</v>
      </c>
      <c r="C151" s="362" t="s">
        <v>802</v>
      </c>
      <c r="D151" s="363">
        <v>36739</v>
      </c>
      <c r="E151" s="363">
        <v>36769</v>
      </c>
      <c r="F151" s="180" t="s">
        <v>816</v>
      </c>
      <c r="G151" s="180" t="s">
        <v>803</v>
      </c>
      <c r="H151" s="586" t="s">
        <v>804</v>
      </c>
      <c r="I151" s="364">
        <f>4.2583/I$1</f>
        <v>0.13736451612903228</v>
      </c>
      <c r="J151" s="365"/>
      <c r="K151" s="365"/>
      <c r="L151" s="365"/>
      <c r="M151" s="365"/>
      <c r="N151" s="365"/>
      <c r="O151" s="365"/>
      <c r="P151" s="587" t="s">
        <v>1061</v>
      </c>
      <c r="Q151" s="362">
        <v>5000</v>
      </c>
      <c r="R151" s="180" t="s">
        <v>1058</v>
      </c>
      <c r="S151" s="367">
        <f>I151*$I$1*Q151</f>
        <v>21291.5</v>
      </c>
      <c r="T151" s="367"/>
      <c r="U151" s="368">
        <v>344432</v>
      </c>
      <c r="V151" s="368"/>
    </row>
    <row r="152" spans="1:23" x14ac:dyDescent="0.2">
      <c r="A152" s="16" t="s">
        <v>491</v>
      </c>
      <c r="B152" s="17" t="s">
        <v>663</v>
      </c>
      <c r="C152" s="18" t="s">
        <v>802</v>
      </c>
      <c r="D152" s="19">
        <v>36617</v>
      </c>
      <c r="E152" s="19">
        <v>36830</v>
      </c>
      <c r="F152" s="16" t="s">
        <v>827</v>
      </c>
      <c r="G152" s="16" t="s">
        <v>803</v>
      </c>
      <c r="H152" s="17" t="s">
        <v>804</v>
      </c>
      <c r="I152" s="24">
        <f>4.2583/I$1</f>
        <v>0.13736451612903228</v>
      </c>
      <c r="J152" s="20"/>
      <c r="K152" s="20"/>
      <c r="L152" s="20"/>
      <c r="M152" s="20"/>
      <c r="N152" s="20"/>
      <c r="O152" s="20"/>
      <c r="P152" s="518" t="s">
        <v>828</v>
      </c>
      <c r="Q152" s="18">
        <v>15000</v>
      </c>
      <c r="R152" s="42" t="s">
        <v>829</v>
      </c>
      <c r="S152" s="25">
        <f>I152*$I$1*Q152</f>
        <v>63874.5</v>
      </c>
      <c r="T152" s="25"/>
      <c r="U152" s="139">
        <v>231538</v>
      </c>
      <c r="V152" s="139"/>
      <c r="W152" s="34"/>
    </row>
    <row r="153" spans="1:23" x14ac:dyDescent="0.2">
      <c r="A153" s="16" t="s">
        <v>491</v>
      </c>
      <c r="B153" s="17" t="s">
        <v>663</v>
      </c>
      <c r="C153" s="18" t="s">
        <v>802</v>
      </c>
      <c r="D153" s="19">
        <v>36649</v>
      </c>
      <c r="E153" s="19">
        <v>36799</v>
      </c>
      <c r="F153" s="16" t="s">
        <v>827</v>
      </c>
      <c r="G153" s="16" t="s">
        <v>803</v>
      </c>
      <c r="H153" s="17" t="s">
        <v>804</v>
      </c>
      <c r="I153" s="24">
        <f>4.5625/I$1</f>
        <v>0.14717741935483872</v>
      </c>
      <c r="J153" s="20"/>
      <c r="K153" s="20"/>
      <c r="L153" s="20"/>
      <c r="M153" s="20"/>
      <c r="N153" s="20"/>
      <c r="O153" s="20"/>
      <c r="P153" s="518" t="s">
        <v>967</v>
      </c>
      <c r="Q153" s="18">
        <v>10000</v>
      </c>
      <c r="R153" s="42" t="s">
        <v>968</v>
      </c>
      <c r="S153" s="25">
        <f>I153*I1*Q153</f>
        <v>45625</v>
      </c>
      <c r="T153" s="25"/>
      <c r="U153" s="139">
        <v>257467</v>
      </c>
      <c r="V153" s="139"/>
      <c r="W153" s="34"/>
    </row>
    <row r="154" spans="1:23" x14ac:dyDescent="0.2">
      <c r="A154" s="16" t="s">
        <v>491</v>
      </c>
      <c r="B154" s="17" t="s">
        <v>663</v>
      </c>
      <c r="C154" s="18" t="s">
        <v>923</v>
      </c>
      <c r="D154" s="19">
        <v>36647</v>
      </c>
      <c r="E154" s="19">
        <v>36830</v>
      </c>
      <c r="F154" s="16" t="s">
        <v>924</v>
      </c>
      <c r="G154" s="42" t="s">
        <v>925</v>
      </c>
      <c r="H154" s="17" t="s">
        <v>804</v>
      </c>
      <c r="I154" s="24">
        <f>5.5055/I$1</f>
        <v>0.17759677419354838</v>
      </c>
      <c r="J154" s="20"/>
      <c r="K154" s="20"/>
      <c r="L154" s="20"/>
      <c r="M154" s="20"/>
      <c r="N154" s="20"/>
      <c r="O154" s="20"/>
      <c r="P154" s="518" t="s">
        <v>926</v>
      </c>
      <c r="Q154" s="18">
        <v>20000</v>
      </c>
      <c r="R154" s="42" t="s">
        <v>927</v>
      </c>
      <c r="S154" s="25">
        <f t="shared" ref="S154:S176" si="9">I154*$I$1*Q154</f>
        <v>110109.99999999999</v>
      </c>
      <c r="T154" s="25"/>
      <c r="U154" s="139">
        <v>252358</v>
      </c>
      <c r="V154" s="139"/>
      <c r="W154" s="34"/>
    </row>
    <row r="155" spans="1:23" x14ac:dyDescent="0.2">
      <c r="A155" s="16" t="s">
        <v>491</v>
      </c>
      <c r="B155" s="17" t="s">
        <v>663</v>
      </c>
      <c r="C155" s="18" t="s">
        <v>923</v>
      </c>
      <c r="D155" s="19">
        <v>36678</v>
      </c>
      <c r="E155" s="19">
        <v>36799</v>
      </c>
      <c r="F155" s="16" t="s">
        <v>924</v>
      </c>
      <c r="G155" s="42" t="s">
        <v>925</v>
      </c>
      <c r="H155" s="17" t="s">
        <v>804</v>
      </c>
      <c r="I155" s="24">
        <f>6.7405/I$1</f>
        <v>0.21743548387096773</v>
      </c>
      <c r="J155" s="20"/>
      <c r="K155" s="20"/>
      <c r="L155" s="20"/>
      <c r="M155" s="20"/>
      <c r="N155" s="20"/>
      <c r="O155" s="20"/>
      <c r="P155" s="518" t="s">
        <v>1003</v>
      </c>
      <c r="Q155" s="18">
        <v>10000</v>
      </c>
      <c r="R155" s="42" t="s">
        <v>1004</v>
      </c>
      <c r="S155" s="25">
        <f>I155*$I$1*Q155</f>
        <v>67405</v>
      </c>
      <c r="T155" s="25"/>
      <c r="U155" s="139">
        <v>278680</v>
      </c>
      <c r="V155" s="139"/>
      <c r="W155" s="34"/>
    </row>
    <row r="156" spans="1:23" x14ac:dyDescent="0.2">
      <c r="A156" s="16" t="s">
        <v>491</v>
      </c>
      <c r="B156" s="17" t="s">
        <v>663</v>
      </c>
      <c r="C156" s="18" t="s">
        <v>1005</v>
      </c>
      <c r="D156" s="19">
        <v>36678</v>
      </c>
      <c r="E156" s="19">
        <v>36799</v>
      </c>
      <c r="F156" s="16" t="s">
        <v>924</v>
      </c>
      <c r="G156" s="42" t="s">
        <v>1006</v>
      </c>
      <c r="H156" s="17" t="s">
        <v>804</v>
      </c>
      <c r="I156" s="24">
        <f>6.7405/I$1</f>
        <v>0.21743548387096773</v>
      </c>
      <c r="J156" s="20"/>
      <c r="K156" s="20"/>
      <c r="L156" s="20"/>
      <c r="M156" s="20"/>
      <c r="N156" s="20"/>
      <c r="O156" s="20"/>
      <c r="P156" s="518" t="s">
        <v>1007</v>
      </c>
      <c r="Q156" s="18">
        <v>10000</v>
      </c>
      <c r="R156" s="42" t="s">
        <v>1008</v>
      </c>
      <c r="S156" s="25">
        <f t="shared" si="9"/>
        <v>67405</v>
      </c>
      <c r="T156" s="25"/>
      <c r="U156" s="139">
        <v>278664</v>
      </c>
      <c r="V156" s="139"/>
      <c r="W156" s="34"/>
    </row>
    <row r="157" spans="1:23" x14ac:dyDescent="0.2">
      <c r="A157" s="16" t="s">
        <v>491</v>
      </c>
      <c r="B157" s="17" t="s">
        <v>663</v>
      </c>
      <c r="C157" s="18" t="s">
        <v>812</v>
      </c>
      <c r="D157" s="19">
        <v>36617</v>
      </c>
      <c r="E157" s="19">
        <v>36830</v>
      </c>
      <c r="F157" s="16" t="s">
        <v>817</v>
      </c>
      <c r="G157" s="16" t="s">
        <v>710</v>
      </c>
      <c r="H157" s="17" t="s">
        <v>804</v>
      </c>
      <c r="I157" s="24">
        <f>0.684/I$1</f>
        <v>2.206451612903226E-2</v>
      </c>
      <c r="J157" s="20"/>
      <c r="K157" s="20"/>
      <c r="L157" s="20"/>
      <c r="M157" s="20"/>
      <c r="N157" s="20"/>
      <c r="O157" s="20"/>
      <c r="P157" s="518" t="s">
        <v>818</v>
      </c>
      <c r="Q157" s="18">
        <v>2174</v>
      </c>
      <c r="R157" s="42" t="s">
        <v>819</v>
      </c>
      <c r="S157" s="25">
        <f>I157*$I$1*Q157</f>
        <v>1487.0160000000001</v>
      </c>
      <c r="T157" s="25"/>
      <c r="U157" s="139">
        <v>229958</v>
      </c>
      <c r="V157" s="139"/>
      <c r="W157" s="34"/>
    </row>
    <row r="158" spans="1:23" s="181" customFormat="1" x14ac:dyDescent="0.2">
      <c r="A158" s="180" t="s">
        <v>1027</v>
      </c>
      <c r="B158" s="586" t="s">
        <v>663</v>
      </c>
      <c r="C158" s="362" t="s">
        <v>1034</v>
      </c>
      <c r="D158" s="363">
        <v>36739</v>
      </c>
      <c r="E158" s="363">
        <v>36769</v>
      </c>
      <c r="F158" s="180" t="s">
        <v>827</v>
      </c>
      <c r="G158" s="366" t="s">
        <v>1035</v>
      </c>
      <c r="H158" s="586" t="s">
        <v>804</v>
      </c>
      <c r="I158" s="364">
        <f>2.48/I$1</f>
        <v>0.08</v>
      </c>
      <c r="J158" s="365"/>
      <c r="K158" s="365"/>
      <c r="L158" s="365"/>
      <c r="M158" s="365"/>
      <c r="N158" s="365"/>
      <c r="O158" s="365"/>
      <c r="P158" s="587">
        <v>3.6349999999999998</v>
      </c>
      <c r="Q158" s="362">
        <v>3000</v>
      </c>
      <c r="R158" s="366" t="s">
        <v>1055</v>
      </c>
      <c r="S158" s="367">
        <f>I158*$I$1*Q158</f>
        <v>7440</v>
      </c>
      <c r="T158" s="367"/>
      <c r="U158" s="368" t="s">
        <v>1056</v>
      </c>
      <c r="V158" s="368"/>
    </row>
    <row r="159" spans="1:23" s="181" customFormat="1" x14ac:dyDescent="0.2">
      <c r="A159" s="180" t="s">
        <v>1028</v>
      </c>
      <c r="B159" s="586" t="s">
        <v>663</v>
      </c>
      <c r="C159" s="362" t="s">
        <v>1034</v>
      </c>
      <c r="D159" s="363">
        <v>36739</v>
      </c>
      <c r="E159" s="363">
        <v>36769</v>
      </c>
      <c r="F159" s="180" t="s">
        <v>827</v>
      </c>
      <c r="G159" s="366" t="s">
        <v>1035</v>
      </c>
      <c r="H159" s="586" t="s">
        <v>804</v>
      </c>
      <c r="I159" s="364">
        <f>2.48/I$1</f>
        <v>0.08</v>
      </c>
      <c r="J159" s="365"/>
      <c r="K159" s="365"/>
      <c r="L159" s="365"/>
      <c r="M159" s="365"/>
      <c r="N159" s="365"/>
      <c r="O159" s="365"/>
      <c r="P159" s="587">
        <v>3.6349999999999998</v>
      </c>
      <c r="Q159" s="362">
        <v>-3000</v>
      </c>
      <c r="R159" s="180" t="s">
        <v>1057</v>
      </c>
      <c r="S159" s="367">
        <f>I159*$I$1*Q159</f>
        <v>-7440</v>
      </c>
      <c r="T159" s="367"/>
      <c r="U159" s="368" t="s">
        <v>1056</v>
      </c>
      <c r="V159" s="368"/>
    </row>
    <row r="160" spans="1:23" s="181" customFormat="1" x14ac:dyDescent="0.2">
      <c r="A160" s="180" t="s">
        <v>1026</v>
      </c>
      <c r="B160" s="586" t="s">
        <v>663</v>
      </c>
      <c r="C160" s="362" t="s">
        <v>1034</v>
      </c>
      <c r="D160" s="363">
        <v>36739</v>
      </c>
      <c r="E160" s="363">
        <v>36769</v>
      </c>
      <c r="F160" s="180" t="s">
        <v>827</v>
      </c>
      <c r="G160" s="366" t="s">
        <v>1035</v>
      </c>
      <c r="H160" s="586" t="s">
        <v>804</v>
      </c>
      <c r="I160" s="364">
        <f>2.48/I$1</f>
        <v>0.08</v>
      </c>
      <c r="J160" s="365"/>
      <c r="K160" s="365"/>
      <c r="L160" s="365"/>
      <c r="M160" s="365"/>
      <c r="N160" s="365"/>
      <c r="O160" s="365"/>
      <c r="P160" s="587" t="s">
        <v>1062</v>
      </c>
      <c r="Q160" s="362">
        <v>3000</v>
      </c>
      <c r="R160" s="180" t="s">
        <v>1057</v>
      </c>
      <c r="S160" s="367">
        <f>I160*$I$1*Q160</f>
        <v>7440</v>
      </c>
      <c r="T160" s="367"/>
      <c r="U160" s="368">
        <v>344243</v>
      </c>
      <c r="V160" s="368"/>
    </row>
    <row r="161" spans="1:22" s="577" customFormat="1" x14ac:dyDescent="0.2">
      <c r="A161" s="187" t="s">
        <v>491</v>
      </c>
      <c r="B161" s="575" t="s">
        <v>663</v>
      </c>
      <c r="C161" s="188" t="s">
        <v>1034</v>
      </c>
      <c r="D161" s="496" t="s">
        <v>1054</v>
      </c>
      <c r="E161" s="496">
        <v>36830</v>
      </c>
      <c r="F161" s="187" t="s">
        <v>710</v>
      </c>
      <c r="G161" s="501" t="s">
        <v>1035</v>
      </c>
      <c r="H161" s="575" t="s">
        <v>804</v>
      </c>
      <c r="I161" s="497">
        <f>2.48/I$1</f>
        <v>0.08</v>
      </c>
      <c r="J161" s="498"/>
      <c r="K161" s="498"/>
      <c r="L161" s="498"/>
      <c r="M161" s="498"/>
      <c r="N161" s="498"/>
      <c r="O161" s="498"/>
      <c r="P161" s="576"/>
      <c r="Q161" s="188">
        <v>3000</v>
      </c>
      <c r="R161" s="187" t="s">
        <v>1040</v>
      </c>
      <c r="S161" s="502" t="s">
        <v>1041</v>
      </c>
      <c r="T161" s="502"/>
      <c r="U161" s="504"/>
      <c r="V161" s="504"/>
    </row>
    <row r="162" spans="1:22" s="181" customFormat="1" x14ac:dyDescent="0.2">
      <c r="A162" s="180" t="s">
        <v>491</v>
      </c>
      <c r="B162" s="586" t="s">
        <v>663</v>
      </c>
      <c r="C162" s="362" t="s">
        <v>327</v>
      </c>
      <c r="D162" s="363">
        <v>36755</v>
      </c>
      <c r="E162" s="363">
        <v>36769</v>
      </c>
      <c r="F162" s="180" t="s">
        <v>1121</v>
      </c>
      <c r="G162" s="180" t="s">
        <v>1107</v>
      </c>
      <c r="H162" s="586" t="s">
        <v>867</v>
      </c>
      <c r="I162" s="364">
        <f>0.152/31</f>
        <v>4.9032258064516127E-3</v>
      </c>
      <c r="J162" s="365"/>
      <c r="K162" s="365"/>
      <c r="L162" s="365"/>
      <c r="M162" s="365"/>
      <c r="N162" s="365"/>
      <c r="O162" s="365"/>
      <c r="P162" s="588" t="s">
        <v>1122</v>
      </c>
      <c r="Q162" s="362">
        <v>6583</v>
      </c>
      <c r="R162" s="180" t="s">
        <v>1123</v>
      </c>
      <c r="S162" s="367">
        <f>+Q162*I162*(31-17+1)</f>
        <v>484.16903225806453</v>
      </c>
      <c r="T162" s="367"/>
      <c r="U162" s="368">
        <v>367802</v>
      </c>
      <c r="V162" s="368"/>
    </row>
    <row r="163" spans="1:22" s="181" customFormat="1" x14ac:dyDescent="0.2">
      <c r="A163" s="180" t="s">
        <v>491</v>
      </c>
      <c r="B163" s="586" t="s">
        <v>663</v>
      </c>
      <c r="C163" s="362" t="s">
        <v>327</v>
      </c>
      <c r="D163" s="363">
        <v>36741</v>
      </c>
      <c r="E163" s="363">
        <v>36769</v>
      </c>
      <c r="F163" s="180" t="s">
        <v>1106</v>
      </c>
      <c r="G163" s="180" t="s">
        <v>1107</v>
      </c>
      <c r="H163" s="586" t="s">
        <v>867</v>
      </c>
      <c r="I163" s="364">
        <f>0.152/30</f>
        <v>5.0666666666666664E-3</v>
      </c>
      <c r="J163" s="365"/>
      <c r="K163" s="365"/>
      <c r="L163" s="365"/>
      <c r="M163" s="365"/>
      <c r="N163" s="365"/>
      <c r="O163" s="365"/>
      <c r="P163" s="587" t="s">
        <v>1108</v>
      </c>
      <c r="Q163" s="362">
        <v>4476</v>
      </c>
      <c r="R163" s="180" t="s">
        <v>1109</v>
      </c>
      <c r="S163" s="367">
        <f>+Q163*I163*29</f>
        <v>657.67359999999996</v>
      </c>
      <c r="T163" s="367"/>
      <c r="U163" s="368">
        <v>350531</v>
      </c>
      <c r="V163" s="368"/>
    </row>
    <row r="164" spans="1:22" s="181" customFormat="1" x14ac:dyDescent="0.2">
      <c r="A164" s="180" t="s">
        <v>491</v>
      </c>
      <c r="B164" s="586" t="s">
        <v>663</v>
      </c>
      <c r="C164" s="362" t="s">
        <v>978</v>
      </c>
      <c r="D164" s="363">
        <v>36739</v>
      </c>
      <c r="E164" s="363">
        <v>36769</v>
      </c>
      <c r="F164" s="180" t="s">
        <v>979</v>
      </c>
      <c r="G164" s="180" t="s">
        <v>980</v>
      </c>
      <c r="H164" s="586" t="s">
        <v>867</v>
      </c>
      <c r="I164" s="364">
        <f>0.93/I$1</f>
        <v>3.0000000000000002E-2</v>
      </c>
      <c r="J164" s="365"/>
      <c r="K164" s="365"/>
      <c r="L164" s="365"/>
      <c r="M164" s="365"/>
      <c r="N164" s="365"/>
      <c r="O164" s="365"/>
      <c r="P164" s="587" t="s">
        <v>1067</v>
      </c>
      <c r="Q164" s="362">
        <v>2257</v>
      </c>
      <c r="R164" s="180" t="s">
        <v>1080</v>
      </c>
      <c r="S164" s="367">
        <f t="shared" si="9"/>
        <v>2099.0100000000002</v>
      </c>
      <c r="T164" s="367"/>
      <c r="U164" s="368">
        <v>347503</v>
      </c>
      <c r="V164" s="368"/>
    </row>
    <row r="165" spans="1:22" s="181" customFormat="1" x14ac:dyDescent="0.2">
      <c r="A165" s="180" t="s">
        <v>491</v>
      </c>
      <c r="B165" s="586" t="s">
        <v>663</v>
      </c>
      <c r="C165" s="362" t="s">
        <v>978</v>
      </c>
      <c r="D165" s="363">
        <v>36739</v>
      </c>
      <c r="E165" s="363">
        <v>36769</v>
      </c>
      <c r="F165" s="180" t="s">
        <v>979</v>
      </c>
      <c r="G165" s="180" t="s">
        <v>980</v>
      </c>
      <c r="H165" s="586" t="s">
        <v>867</v>
      </c>
      <c r="I165" s="364">
        <f t="shared" ref="I165:I176" si="10">0.93/I$1</f>
        <v>3.0000000000000002E-2</v>
      </c>
      <c r="J165" s="365"/>
      <c r="K165" s="365"/>
      <c r="L165" s="365"/>
      <c r="M165" s="365"/>
      <c r="N165" s="365"/>
      <c r="O165" s="365"/>
      <c r="P165" s="587" t="s">
        <v>1068</v>
      </c>
      <c r="Q165" s="362">
        <v>1600</v>
      </c>
      <c r="R165" s="180" t="s">
        <v>1081</v>
      </c>
      <c r="S165" s="367">
        <f t="shared" si="9"/>
        <v>1488</v>
      </c>
      <c r="T165" s="367"/>
      <c r="U165" s="368">
        <v>347700</v>
      </c>
      <c r="V165" s="368"/>
    </row>
    <row r="166" spans="1:22" s="181" customFormat="1" x14ac:dyDescent="0.2">
      <c r="A166" s="180" t="s">
        <v>491</v>
      </c>
      <c r="B166" s="586" t="s">
        <v>663</v>
      </c>
      <c r="C166" s="362" t="s">
        <v>978</v>
      </c>
      <c r="D166" s="363">
        <v>36739</v>
      </c>
      <c r="E166" s="363">
        <v>36769</v>
      </c>
      <c r="F166" s="180" t="s">
        <v>979</v>
      </c>
      <c r="G166" s="180" t="s">
        <v>980</v>
      </c>
      <c r="H166" s="586" t="s">
        <v>867</v>
      </c>
      <c r="I166" s="364">
        <f t="shared" si="10"/>
        <v>3.0000000000000002E-2</v>
      </c>
      <c r="J166" s="365"/>
      <c r="K166" s="365"/>
      <c r="L166" s="365"/>
      <c r="M166" s="365"/>
      <c r="N166" s="365"/>
      <c r="O166" s="365"/>
      <c r="P166" s="587" t="s">
        <v>1069</v>
      </c>
      <c r="Q166" s="362">
        <v>950</v>
      </c>
      <c r="R166" s="180" t="s">
        <v>1082</v>
      </c>
      <c r="S166" s="367">
        <f t="shared" si="9"/>
        <v>883.5</v>
      </c>
      <c r="T166" s="367"/>
      <c r="U166" s="368">
        <v>347719</v>
      </c>
      <c r="V166" s="368"/>
    </row>
    <row r="167" spans="1:22" s="181" customFormat="1" x14ac:dyDescent="0.2">
      <c r="A167" s="180" t="s">
        <v>491</v>
      </c>
      <c r="B167" s="586" t="s">
        <v>663</v>
      </c>
      <c r="C167" s="362" t="s">
        <v>978</v>
      </c>
      <c r="D167" s="363">
        <v>36739</v>
      </c>
      <c r="E167" s="363">
        <v>36769</v>
      </c>
      <c r="F167" s="180" t="s">
        <v>979</v>
      </c>
      <c r="G167" s="180" t="s">
        <v>980</v>
      </c>
      <c r="H167" s="586" t="s">
        <v>867</v>
      </c>
      <c r="I167" s="364">
        <f t="shared" si="10"/>
        <v>3.0000000000000002E-2</v>
      </c>
      <c r="J167" s="365"/>
      <c r="K167" s="365"/>
      <c r="L167" s="365"/>
      <c r="M167" s="365"/>
      <c r="N167" s="365"/>
      <c r="O167" s="365"/>
      <c r="P167" s="587" t="s">
        <v>1070</v>
      </c>
      <c r="Q167" s="362">
        <v>850</v>
      </c>
      <c r="R167" s="180" t="s">
        <v>1083</v>
      </c>
      <c r="S167" s="367">
        <f t="shared" si="9"/>
        <v>790.5</v>
      </c>
      <c r="T167" s="367"/>
      <c r="U167" s="368">
        <v>347740</v>
      </c>
      <c r="V167" s="368"/>
    </row>
    <row r="168" spans="1:22" s="181" customFormat="1" x14ac:dyDescent="0.2">
      <c r="A168" s="180" t="s">
        <v>491</v>
      </c>
      <c r="B168" s="586" t="s">
        <v>663</v>
      </c>
      <c r="C168" s="362" t="s">
        <v>978</v>
      </c>
      <c r="D168" s="363">
        <v>36739</v>
      </c>
      <c r="E168" s="363">
        <v>36769</v>
      </c>
      <c r="F168" s="180" t="s">
        <v>979</v>
      </c>
      <c r="G168" s="180" t="s">
        <v>980</v>
      </c>
      <c r="H168" s="586" t="s">
        <v>867</v>
      </c>
      <c r="I168" s="364">
        <f t="shared" si="10"/>
        <v>3.0000000000000002E-2</v>
      </c>
      <c r="J168" s="365"/>
      <c r="K168" s="365"/>
      <c r="L168" s="365"/>
      <c r="M168" s="365"/>
      <c r="N168" s="365"/>
      <c r="O168" s="365"/>
      <c r="P168" s="587" t="s">
        <v>1071</v>
      </c>
      <c r="Q168" s="362">
        <v>3007</v>
      </c>
      <c r="R168" s="180" t="s">
        <v>1084</v>
      </c>
      <c r="S168" s="367">
        <f t="shared" si="9"/>
        <v>2796.51</v>
      </c>
      <c r="T168" s="367"/>
      <c r="U168" s="368">
        <v>347760</v>
      </c>
      <c r="V168" s="368"/>
    </row>
    <row r="169" spans="1:22" s="181" customFormat="1" x14ac:dyDescent="0.2">
      <c r="A169" s="180" t="s">
        <v>491</v>
      </c>
      <c r="B169" s="586" t="s">
        <v>663</v>
      </c>
      <c r="C169" s="362" t="s">
        <v>978</v>
      </c>
      <c r="D169" s="363">
        <v>36739</v>
      </c>
      <c r="E169" s="363">
        <v>36769</v>
      </c>
      <c r="F169" s="180" t="s">
        <v>979</v>
      </c>
      <c r="G169" s="180" t="s">
        <v>980</v>
      </c>
      <c r="H169" s="586" t="s">
        <v>867</v>
      </c>
      <c r="I169" s="364">
        <f t="shared" si="10"/>
        <v>3.0000000000000002E-2</v>
      </c>
      <c r="J169" s="365"/>
      <c r="K169" s="365"/>
      <c r="L169" s="365"/>
      <c r="M169" s="365"/>
      <c r="N169" s="365"/>
      <c r="O169" s="365"/>
      <c r="P169" s="587" t="s">
        <v>1072</v>
      </c>
      <c r="Q169" s="362">
        <v>621</v>
      </c>
      <c r="R169" s="180" t="s">
        <v>1085</v>
      </c>
      <c r="S169" s="367">
        <f t="shared" si="9"/>
        <v>577.53000000000009</v>
      </c>
      <c r="T169" s="367"/>
      <c r="U169" s="368">
        <v>347782</v>
      </c>
      <c r="V169" s="368"/>
    </row>
    <row r="170" spans="1:22" s="181" customFormat="1" x14ac:dyDescent="0.2">
      <c r="A170" s="180" t="s">
        <v>491</v>
      </c>
      <c r="B170" s="586" t="s">
        <v>663</v>
      </c>
      <c r="C170" s="362" t="s">
        <v>978</v>
      </c>
      <c r="D170" s="363">
        <v>36739</v>
      </c>
      <c r="E170" s="363">
        <v>36769</v>
      </c>
      <c r="F170" s="180" t="s">
        <v>979</v>
      </c>
      <c r="G170" s="180" t="s">
        <v>980</v>
      </c>
      <c r="H170" s="586" t="s">
        <v>867</v>
      </c>
      <c r="I170" s="364">
        <f t="shared" si="10"/>
        <v>3.0000000000000002E-2</v>
      </c>
      <c r="J170" s="365"/>
      <c r="K170" s="365"/>
      <c r="L170" s="365"/>
      <c r="M170" s="365"/>
      <c r="N170" s="365"/>
      <c r="O170" s="365"/>
      <c r="P170" s="587" t="s">
        <v>1073</v>
      </c>
      <c r="Q170" s="362">
        <v>1975</v>
      </c>
      <c r="R170" s="180" t="s">
        <v>1086</v>
      </c>
      <c r="S170" s="367">
        <f t="shared" si="9"/>
        <v>1836.75</v>
      </c>
      <c r="T170" s="367"/>
      <c r="U170" s="368">
        <v>347794</v>
      </c>
      <c r="V170" s="368"/>
    </row>
    <row r="171" spans="1:22" s="181" customFormat="1" x14ac:dyDescent="0.2">
      <c r="A171" s="180" t="s">
        <v>491</v>
      </c>
      <c r="B171" s="586" t="s">
        <v>663</v>
      </c>
      <c r="C171" s="362" t="s">
        <v>978</v>
      </c>
      <c r="D171" s="363">
        <v>36739</v>
      </c>
      <c r="E171" s="363">
        <v>36769</v>
      </c>
      <c r="F171" s="180" t="s">
        <v>979</v>
      </c>
      <c r="G171" s="180" t="s">
        <v>980</v>
      </c>
      <c r="H171" s="586" t="s">
        <v>867</v>
      </c>
      <c r="I171" s="364">
        <f t="shared" si="10"/>
        <v>3.0000000000000002E-2</v>
      </c>
      <c r="J171" s="365"/>
      <c r="K171" s="365"/>
      <c r="L171" s="365"/>
      <c r="M171" s="365"/>
      <c r="N171" s="365"/>
      <c r="O171" s="365"/>
      <c r="P171" s="587" t="s">
        <v>1074</v>
      </c>
      <c r="Q171" s="362">
        <v>390</v>
      </c>
      <c r="R171" s="180" t="s">
        <v>1087</v>
      </c>
      <c r="S171" s="367">
        <f t="shared" si="9"/>
        <v>362.70000000000005</v>
      </c>
      <c r="T171" s="367"/>
      <c r="U171" s="368">
        <v>347814</v>
      </c>
      <c r="V171" s="368"/>
    </row>
    <row r="172" spans="1:22" s="181" customFormat="1" x14ac:dyDescent="0.2">
      <c r="A172" s="180" t="s">
        <v>491</v>
      </c>
      <c r="B172" s="586" t="s">
        <v>663</v>
      </c>
      <c r="C172" s="362" t="s">
        <v>978</v>
      </c>
      <c r="D172" s="363">
        <v>36739</v>
      </c>
      <c r="E172" s="363">
        <v>36769</v>
      </c>
      <c r="F172" s="180" t="s">
        <v>979</v>
      </c>
      <c r="G172" s="180" t="s">
        <v>980</v>
      </c>
      <c r="H172" s="586" t="s">
        <v>867</v>
      </c>
      <c r="I172" s="364">
        <f t="shared" si="10"/>
        <v>3.0000000000000002E-2</v>
      </c>
      <c r="J172" s="365"/>
      <c r="K172" s="365"/>
      <c r="L172" s="365"/>
      <c r="M172" s="365"/>
      <c r="N172" s="365"/>
      <c r="O172" s="365"/>
      <c r="P172" s="587" t="s">
        <v>1075</v>
      </c>
      <c r="Q172" s="362">
        <v>550</v>
      </c>
      <c r="R172" s="180" t="s">
        <v>1088</v>
      </c>
      <c r="S172" s="367">
        <f t="shared" si="9"/>
        <v>511.5</v>
      </c>
      <c r="T172" s="367"/>
      <c r="U172" s="368">
        <v>347837</v>
      </c>
      <c r="V172" s="368"/>
    </row>
    <row r="173" spans="1:22" s="181" customFormat="1" x14ac:dyDescent="0.2">
      <c r="A173" s="180" t="s">
        <v>491</v>
      </c>
      <c r="B173" s="586" t="s">
        <v>663</v>
      </c>
      <c r="C173" s="362" t="s">
        <v>978</v>
      </c>
      <c r="D173" s="363">
        <v>36739</v>
      </c>
      <c r="E173" s="363">
        <v>36769</v>
      </c>
      <c r="F173" s="180" t="s">
        <v>979</v>
      </c>
      <c r="G173" s="180" t="s">
        <v>980</v>
      </c>
      <c r="H173" s="586" t="s">
        <v>867</v>
      </c>
      <c r="I173" s="364">
        <f t="shared" si="10"/>
        <v>3.0000000000000002E-2</v>
      </c>
      <c r="J173" s="365"/>
      <c r="K173" s="365"/>
      <c r="L173" s="365"/>
      <c r="M173" s="365"/>
      <c r="N173" s="365"/>
      <c r="O173" s="365"/>
      <c r="P173" s="587" t="s">
        <v>1076</v>
      </c>
      <c r="Q173" s="362">
        <v>623</v>
      </c>
      <c r="R173" s="180" t="s">
        <v>1089</v>
      </c>
      <c r="S173" s="367">
        <f t="shared" si="9"/>
        <v>579.39</v>
      </c>
      <c r="T173" s="367"/>
      <c r="U173" s="368">
        <v>347846</v>
      </c>
      <c r="V173" s="368"/>
    </row>
    <row r="174" spans="1:22" s="181" customFormat="1" x14ac:dyDescent="0.2">
      <c r="A174" s="180" t="s">
        <v>491</v>
      </c>
      <c r="B174" s="586" t="s">
        <v>663</v>
      </c>
      <c r="C174" s="362" t="s">
        <v>978</v>
      </c>
      <c r="D174" s="363">
        <v>36739</v>
      </c>
      <c r="E174" s="363">
        <v>36769</v>
      </c>
      <c r="F174" s="180" t="s">
        <v>979</v>
      </c>
      <c r="G174" s="180" t="s">
        <v>980</v>
      </c>
      <c r="H174" s="586" t="s">
        <v>867</v>
      </c>
      <c r="I174" s="364">
        <f t="shared" si="10"/>
        <v>3.0000000000000002E-2</v>
      </c>
      <c r="J174" s="365"/>
      <c r="K174" s="365"/>
      <c r="L174" s="365"/>
      <c r="M174" s="365"/>
      <c r="N174" s="365"/>
      <c r="O174" s="365"/>
      <c r="P174" s="587" t="s">
        <v>1077</v>
      </c>
      <c r="Q174" s="362">
        <v>2186</v>
      </c>
      <c r="R174" s="180" t="s">
        <v>1090</v>
      </c>
      <c r="S174" s="367">
        <f>I174*$I$1*Q174</f>
        <v>2032.98</v>
      </c>
      <c r="T174" s="367"/>
      <c r="U174" s="368">
        <v>347866</v>
      </c>
      <c r="V174" s="368"/>
    </row>
    <row r="175" spans="1:22" s="181" customFormat="1" x14ac:dyDescent="0.2">
      <c r="A175" s="180" t="s">
        <v>491</v>
      </c>
      <c r="B175" s="586" t="s">
        <v>663</v>
      </c>
      <c r="C175" s="362" t="s">
        <v>978</v>
      </c>
      <c r="D175" s="363">
        <v>36739</v>
      </c>
      <c r="E175" s="363">
        <v>36769</v>
      </c>
      <c r="F175" s="180" t="s">
        <v>979</v>
      </c>
      <c r="G175" s="180" t="s">
        <v>980</v>
      </c>
      <c r="H175" s="586" t="s">
        <v>867</v>
      </c>
      <c r="I175" s="364">
        <f t="shared" si="10"/>
        <v>3.0000000000000002E-2</v>
      </c>
      <c r="J175" s="365"/>
      <c r="K175" s="365"/>
      <c r="L175" s="365"/>
      <c r="M175" s="365"/>
      <c r="N175" s="365"/>
      <c r="O175" s="365"/>
      <c r="P175" s="587" t="s">
        <v>1078</v>
      </c>
      <c r="Q175" s="362">
        <v>600</v>
      </c>
      <c r="R175" s="180" t="s">
        <v>1091</v>
      </c>
      <c r="S175" s="367">
        <f>I175*$I$1*Q175</f>
        <v>558</v>
      </c>
      <c r="T175" s="367"/>
      <c r="U175" s="368">
        <v>347990</v>
      </c>
      <c r="V175" s="368"/>
    </row>
    <row r="176" spans="1:22" s="181" customFormat="1" x14ac:dyDescent="0.2">
      <c r="A176" s="180" t="s">
        <v>491</v>
      </c>
      <c r="B176" s="586" t="s">
        <v>663</v>
      </c>
      <c r="C176" s="362" t="s">
        <v>978</v>
      </c>
      <c r="D176" s="363">
        <v>36739</v>
      </c>
      <c r="E176" s="363">
        <v>36769</v>
      </c>
      <c r="F176" s="180" t="s">
        <v>979</v>
      </c>
      <c r="G176" s="180" t="s">
        <v>980</v>
      </c>
      <c r="H176" s="586" t="s">
        <v>867</v>
      </c>
      <c r="I176" s="364">
        <f t="shared" si="10"/>
        <v>3.0000000000000002E-2</v>
      </c>
      <c r="J176" s="365"/>
      <c r="K176" s="365"/>
      <c r="L176" s="365"/>
      <c r="M176" s="365"/>
      <c r="N176" s="365"/>
      <c r="O176" s="365"/>
      <c r="P176" s="587" t="s">
        <v>1079</v>
      </c>
      <c r="Q176" s="362">
        <v>1391</v>
      </c>
      <c r="R176" s="180" t="s">
        <v>1092</v>
      </c>
      <c r="S176" s="367">
        <f t="shared" si="9"/>
        <v>1293.6300000000001</v>
      </c>
      <c r="T176" s="367"/>
      <c r="U176" s="368">
        <v>348010</v>
      </c>
      <c r="V176" s="368"/>
    </row>
    <row r="177" spans="1:23" x14ac:dyDescent="0.2">
      <c r="N177" s="34"/>
      <c r="P177" s="71"/>
      <c r="Q177" s="71"/>
      <c r="S177" s="519"/>
      <c r="W177" s="34"/>
    </row>
    <row r="178" spans="1:23" s="99" customFormat="1" x14ac:dyDescent="0.2">
      <c r="A178" s="382"/>
      <c r="B178" s="150"/>
      <c r="C178" s="150"/>
      <c r="D178" s="383"/>
      <c r="E178" s="383"/>
      <c r="F178" s="382"/>
      <c r="G178" s="382"/>
      <c r="H178" s="150"/>
      <c r="I178" s="384"/>
      <c r="J178" s="32"/>
      <c r="K178" s="32"/>
      <c r="L178" s="32"/>
      <c r="M178" s="32"/>
      <c r="N178" s="521"/>
      <c r="O178" s="32"/>
      <c r="P178" s="546"/>
      <c r="Q178" s="150">
        <f>SUM(Q149:Q177)</f>
        <v>131233</v>
      </c>
      <c r="R178" s="382" t="s">
        <v>715</v>
      </c>
      <c r="S178" s="41">
        <f>SUM(S149:S177)</f>
        <v>426389.85863225808</v>
      </c>
      <c r="T178" s="41"/>
      <c r="U178" s="354"/>
      <c r="V178" s="138"/>
      <c r="W178" s="138"/>
    </row>
    <row r="179" spans="1:23" s="71" customFormat="1" x14ac:dyDescent="0.2">
      <c r="A179" s="16"/>
      <c r="B179" s="18"/>
      <c r="C179" s="18"/>
      <c r="D179" s="19"/>
      <c r="E179" s="19"/>
      <c r="F179" s="16"/>
      <c r="G179" s="16"/>
      <c r="H179" s="18"/>
      <c r="I179" s="24"/>
      <c r="J179" s="20"/>
      <c r="K179" s="20"/>
      <c r="L179" s="20"/>
      <c r="M179" s="20"/>
      <c r="N179" s="329"/>
      <c r="O179" s="20"/>
      <c r="P179" s="294"/>
      <c r="Q179" s="355"/>
      <c r="R179" s="382" t="s">
        <v>997</v>
      </c>
      <c r="S179" s="41">
        <f>SUM(S164:S176)</f>
        <v>15810</v>
      </c>
      <c r="T179" s="25"/>
      <c r="U179" s="347"/>
      <c r="V179" s="139"/>
      <c r="W179" s="139"/>
    </row>
    <row r="180" spans="1:23" s="71" customFormat="1" ht="13.5" thickBot="1" x14ac:dyDescent="0.25">
      <c r="A180" s="16"/>
      <c r="B180" s="18"/>
      <c r="C180" s="18"/>
      <c r="D180" s="19"/>
      <c r="E180" s="19"/>
      <c r="F180" s="16"/>
      <c r="G180" s="16"/>
      <c r="H180" s="18"/>
      <c r="I180" s="24"/>
      <c r="J180" s="20"/>
      <c r="K180" s="20"/>
      <c r="L180" s="20"/>
      <c r="M180" s="20"/>
      <c r="N180" s="329"/>
      <c r="O180" s="20"/>
      <c r="P180" s="294"/>
      <c r="Q180" s="355"/>
      <c r="R180" s="382" t="s">
        <v>998</v>
      </c>
      <c r="S180" s="573">
        <f>+S178-S179</f>
        <v>410579.85863225808</v>
      </c>
      <c r="T180" s="25"/>
      <c r="U180" s="347"/>
      <c r="V180" s="139"/>
      <c r="W180" s="139"/>
    </row>
    <row r="181" spans="1:23" s="71" customFormat="1" ht="13.5" thickTop="1" x14ac:dyDescent="0.2">
      <c r="A181" s="16"/>
      <c r="B181" s="18"/>
      <c r="C181" s="18"/>
      <c r="D181" s="19"/>
      <c r="E181" s="19"/>
      <c r="F181" s="16"/>
      <c r="G181" s="16"/>
      <c r="H181" s="18"/>
      <c r="I181" s="24"/>
      <c r="J181" s="20"/>
      <c r="K181" s="20"/>
      <c r="L181" s="20"/>
      <c r="M181" s="20"/>
      <c r="N181" s="329"/>
      <c r="O181" s="20"/>
      <c r="P181" s="294"/>
      <c r="Q181" s="18"/>
      <c r="R181" s="16"/>
      <c r="S181" s="25"/>
      <c r="T181" s="25"/>
      <c r="U181" s="347"/>
      <c r="V181" s="139"/>
      <c r="W181" s="139"/>
    </row>
    <row r="182" spans="1:23" s="544" customFormat="1" x14ac:dyDescent="0.2">
      <c r="A182" s="537" t="s">
        <v>49</v>
      </c>
      <c r="B182" s="538" t="s">
        <v>50</v>
      </c>
      <c r="C182" s="538" t="s">
        <v>51</v>
      </c>
      <c r="D182" s="539" t="s">
        <v>52</v>
      </c>
      <c r="E182" s="539"/>
      <c r="F182" s="537" t="s">
        <v>53</v>
      </c>
      <c r="G182" s="537" t="s">
        <v>54</v>
      </c>
      <c r="H182" s="538" t="s">
        <v>706</v>
      </c>
      <c r="I182" s="540" t="s">
        <v>56</v>
      </c>
      <c r="J182" s="538" t="s">
        <v>57</v>
      </c>
      <c r="K182" s="538" t="s">
        <v>58</v>
      </c>
      <c r="L182" s="538" t="s">
        <v>59</v>
      </c>
      <c r="M182" s="538" t="s">
        <v>60</v>
      </c>
      <c r="N182" s="541" t="s">
        <v>62</v>
      </c>
      <c r="O182" s="538" t="s">
        <v>63</v>
      </c>
      <c r="P182" s="542" t="s">
        <v>674</v>
      </c>
      <c r="Q182" s="538" t="s">
        <v>65</v>
      </c>
      <c r="R182" s="537" t="s">
        <v>66</v>
      </c>
      <c r="S182" s="531" t="s">
        <v>675</v>
      </c>
      <c r="T182" s="531" t="s">
        <v>676</v>
      </c>
      <c r="U182" s="543" t="s">
        <v>677</v>
      </c>
      <c r="V182" s="534"/>
      <c r="W182" s="534"/>
    </row>
    <row r="183" spans="1:23" x14ac:dyDescent="0.2">
      <c r="A183" s="16" t="s">
        <v>602</v>
      </c>
      <c r="B183" s="18" t="s">
        <v>765</v>
      </c>
      <c r="C183" s="18" t="s">
        <v>766</v>
      </c>
      <c r="D183" s="19"/>
      <c r="E183" s="19">
        <v>36891</v>
      </c>
      <c r="F183" s="16"/>
      <c r="G183" s="16"/>
      <c r="H183" s="18" t="s">
        <v>734</v>
      </c>
      <c r="I183" s="24">
        <f>4.28/I$1</f>
        <v>0.13806451612903226</v>
      </c>
      <c r="J183" s="20"/>
      <c r="K183" s="32"/>
      <c r="L183" s="20"/>
      <c r="M183" s="20"/>
      <c r="N183" s="329"/>
      <c r="O183" s="20"/>
      <c r="P183" s="33">
        <v>714638</v>
      </c>
      <c r="Q183" s="18">
        <v>40000</v>
      </c>
      <c r="R183" s="18"/>
      <c r="S183" s="25">
        <f>I183*I$1*Q183</f>
        <v>171200</v>
      </c>
      <c r="T183" s="25"/>
      <c r="U183" s="341">
        <v>227871</v>
      </c>
      <c r="V183" s="139"/>
      <c r="W183" s="139"/>
    </row>
    <row r="184" spans="1:23" x14ac:dyDescent="0.2">
      <c r="A184" s="16" t="s">
        <v>602</v>
      </c>
      <c r="B184" s="18" t="s">
        <v>765</v>
      </c>
      <c r="C184" s="18" t="s">
        <v>636</v>
      </c>
      <c r="D184" s="19"/>
      <c r="E184" s="19"/>
      <c r="F184" s="16"/>
      <c r="G184" s="16"/>
      <c r="H184" s="18"/>
      <c r="I184" s="24">
        <f>4.28/I$1</f>
        <v>0.13806451612903226</v>
      </c>
      <c r="J184" s="20"/>
      <c r="K184" s="32"/>
      <c r="L184" s="20"/>
      <c r="M184" s="20"/>
      <c r="N184" s="329"/>
      <c r="O184" s="20"/>
      <c r="P184" s="33">
        <v>712131</v>
      </c>
      <c r="Q184" s="18">
        <v>3850</v>
      </c>
      <c r="R184" s="18"/>
      <c r="S184" s="25">
        <f>I184*I$1*Q184</f>
        <v>16478</v>
      </c>
      <c r="T184" s="25"/>
      <c r="U184" s="341">
        <v>234462</v>
      </c>
      <c r="V184" s="139"/>
      <c r="W184" s="139"/>
    </row>
    <row r="185" spans="1:23" x14ac:dyDescent="0.2">
      <c r="A185" s="16"/>
      <c r="B185" s="18"/>
      <c r="C185" s="18"/>
      <c r="D185" s="19"/>
      <c r="E185" s="19"/>
      <c r="F185" s="16"/>
      <c r="G185" s="16"/>
      <c r="H185" s="18"/>
      <c r="I185" s="24"/>
      <c r="J185" s="20"/>
      <c r="K185" s="32"/>
      <c r="L185" s="20"/>
      <c r="M185" s="20"/>
      <c r="N185" s="329"/>
      <c r="O185" s="20"/>
      <c r="P185" s="33"/>
      <c r="Q185" s="17"/>
      <c r="R185" s="18"/>
      <c r="S185" s="130"/>
      <c r="T185" s="25"/>
      <c r="U185" s="341"/>
      <c r="V185" s="139"/>
      <c r="W185" s="139"/>
    </row>
    <row r="186" spans="1:23" s="99" customFormat="1" x14ac:dyDescent="0.2">
      <c r="A186" s="382"/>
      <c r="B186" s="150"/>
      <c r="C186" s="150"/>
      <c r="D186" s="383"/>
      <c r="E186" s="383"/>
      <c r="F186" s="382"/>
      <c r="G186" s="382"/>
      <c r="H186" s="150"/>
      <c r="I186" s="384"/>
      <c r="J186" s="32"/>
      <c r="K186" s="32"/>
      <c r="L186" s="32"/>
      <c r="M186" s="32"/>
      <c r="N186" s="521"/>
      <c r="O186" s="32"/>
      <c r="P186" s="546"/>
      <c r="Q186" s="150">
        <f>SUM(Q183:Q185)</f>
        <v>43850</v>
      </c>
      <c r="R186" s="382" t="s">
        <v>715</v>
      </c>
      <c r="S186" s="41">
        <f>SUM(S183:S185)</f>
        <v>187678</v>
      </c>
      <c r="T186" s="41"/>
      <c r="U186" s="354"/>
      <c r="V186" s="138"/>
      <c r="W186" s="138"/>
    </row>
    <row r="187" spans="1:23" s="71" customFormat="1" x14ac:dyDescent="0.2">
      <c r="A187" s="16"/>
      <c r="B187" s="18"/>
      <c r="C187" s="18"/>
      <c r="D187" s="19"/>
      <c r="E187" s="19"/>
      <c r="F187" s="16"/>
      <c r="G187" s="16"/>
      <c r="H187" s="18"/>
      <c r="I187" s="24"/>
      <c r="J187" s="20"/>
      <c r="K187" s="20"/>
      <c r="L187" s="20"/>
      <c r="M187" s="20"/>
      <c r="N187" s="329"/>
      <c r="O187" s="20"/>
      <c r="P187" s="294"/>
      <c r="Q187" s="355"/>
      <c r="R187" s="382" t="s">
        <v>997</v>
      </c>
      <c r="S187" s="41">
        <v>0</v>
      </c>
      <c r="T187" s="25"/>
      <c r="U187" s="347"/>
      <c r="V187" s="139"/>
      <c r="W187" s="139"/>
    </row>
    <row r="188" spans="1:23" s="71" customFormat="1" ht="13.5" thickBot="1" x14ac:dyDescent="0.25">
      <c r="A188" s="16"/>
      <c r="B188" s="18"/>
      <c r="C188" s="18"/>
      <c r="D188" s="19"/>
      <c r="E188" s="19"/>
      <c r="F188" s="16"/>
      <c r="G188" s="16"/>
      <c r="H188" s="18"/>
      <c r="I188" s="24"/>
      <c r="J188" s="20"/>
      <c r="K188" s="20"/>
      <c r="L188" s="20"/>
      <c r="M188" s="20"/>
      <c r="N188" s="329"/>
      <c r="O188" s="20"/>
      <c r="P188" s="294"/>
      <c r="Q188" s="355"/>
      <c r="R188" s="382" t="s">
        <v>998</v>
      </c>
      <c r="S188" s="573">
        <f>+S186-S187</f>
        <v>187678</v>
      </c>
      <c r="T188" s="25"/>
      <c r="U188" s="347"/>
      <c r="V188" s="139"/>
      <c r="W188" s="139"/>
    </row>
    <row r="189" spans="1:23" ht="13.5" thickTop="1" x14ac:dyDescent="0.2">
      <c r="A189" s="16"/>
      <c r="B189" s="18"/>
      <c r="C189" s="18"/>
      <c r="D189" s="19"/>
      <c r="E189" s="19"/>
      <c r="F189" s="16"/>
      <c r="G189" s="16"/>
      <c r="H189" s="18"/>
      <c r="I189" s="24"/>
      <c r="J189" s="20"/>
      <c r="K189" s="32"/>
      <c r="L189" s="20"/>
      <c r="M189" s="20"/>
      <c r="N189" s="329"/>
      <c r="O189" s="20"/>
      <c r="P189" s="350"/>
      <c r="Q189" s="355"/>
      <c r="R189" s="150"/>
      <c r="S189" s="548"/>
      <c r="T189" s="41"/>
      <c r="U189" s="341"/>
      <c r="V189" s="139"/>
      <c r="W189" s="139"/>
    </row>
    <row r="190" spans="1:23" x14ac:dyDescent="0.2">
      <c r="A190" s="16"/>
      <c r="B190" s="18"/>
      <c r="C190" s="18"/>
      <c r="D190" s="19"/>
      <c r="E190" s="19"/>
      <c r="F190" s="16"/>
      <c r="G190" s="16"/>
      <c r="H190" s="18"/>
      <c r="I190" s="24"/>
      <c r="J190" s="20"/>
      <c r="K190" s="32"/>
      <c r="L190" s="20"/>
      <c r="M190" s="20"/>
      <c r="N190" s="348"/>
      <c r="O190" s="20"/>
      <c r="P190" s="350"/>
      <c r="Q190" s="150"/>
      <c r="R190" s="150"/>
      <c r="S190" s="99"/>
      <c r="T190" s="69"/>
      <c r="V190" s="349"/>
      <c r="W190" s="349"/>
    </row>
    <row r="191" spans="1:23" x14ac:dyDescent="0.2">
      <c r="A191" s="16"/>
      <c r="B191" s="18"/>
      <c r="C191" s="18"/>
      <c r="D191" s="19" t="s">
        <v>47</v>
      </c>
      <c r="E191" s="19"/>
      <c r="F191" s="16"/>
      <c r="G191" s="16"/>
      <c r="H191" s="18"/>
      <c r="I191" s="24"/>
      <c r="J191" s="20"/>
      <c r="K191" s="32"/>
      <c r="L191" s="20"/>
      <c r="M191" s="20"/>
      <c r="N191" s="329"/>
      <c r="O191" s="20"/>
      <c r="P191" s="350"/>
      <c r="Q191" s="46"/>
      <c r="R191" s="351"/>
      <c r="S191" s="352"/>
      <c r="T191" s="353"/>
      <c r="U191" s="354"/>
      <c r="V191" s="138"/>
      <c r="W191" s="138"/>
    </row>
    <row r="192" spans="1:23" x14ac:dyDescent="0.2">
      <c r="A192" s="40"/>
      <c r="B192" s="18"/>
      <c r="C192" s="18"/>
      <c r="D192" s="19"/>
      <c r="E192" s="19"/>
      <c r="F192" s="16"/>
      <c r="G192" s="16"/>
      <c r="H192" s="18"/>
      <c r="I192" s="24"/>
      <c r="J192" s="20"/>
      <c r="K192" s="20"/>
      <c r="L192" s="20"/>
      <c r="M192" s="20"/>
      <c r="N192" s="329"/>
      <c r="O192" s="20"/>
      <c r="P192" s="350"/>
      <c r="Q192" s="355"/>
      <c r="R192" s="41"/>
      <c r="S192" s="356"/>
      <c r="T192" s="41"/>
      <c r="U192" s="330"/>
      <c r="V192" s="138"/>
      <c r="W192" s="138"/>
    </row>
    <row r="193" spans="1:23" x14ac:dyDescent="0.2">
      <c r="A193" s="40"/>
      <c r="B193" s="18"/>
      <c r="C193" s="18"/>
      <c r="D193" s="19"/>
      <c r="E193" s="19"/>
      <c r="F193" s="16"/>
      <c r="G193" s="16"/>
      <c r="H193" s="18"/>
      <c r="I193" s="20"/>
      <c r="J193" s="20"/>
      <c r="K193" s="20"/>
      <c r="L193" s="20"/>
      <c r="M193" s="20"/>
      <c r="N193" s="329"/>
      <c r="O193" s="20"/>
      <c r="P193" s="350"/>
      <c r="Q193" s="355"/>
      <c r="R193" s="41"/>
      <c r="S193" s="356"/>
      <c r="T193" s="41"/>
      <c r="U193" s="330"/>
      <c r="V193" s="138"/>
      <c r="W193" s="138"/>
    </row>
    <row r="194" spans="1:23" x14ac:dyDescent="0.2">
      <c r="A194" s="40"/>
      <c r="B194" s="18"/>
      <c r="C194" s="18"/>
      <c r="D194" s="19"/>
      <c r="E194" s="19"/>
      <c r="F194" s="16"/>
      <c r="G194" s="16"/>
      <c r="H194" s="18"/>
      <c r="I194" s="24"/>
      <c r="J194" s="20"/>
      <c r="K194" s="20"/>
      <c r="L194" s="20"/>
      <c r="M194" s="20"/>
      <c r="N194" s="329"/>
      <c r="O194" s="20"/>
      <c r="P194" s="350"/>
      <c r="Q194" s="355"/>
      <c r="R194" s="41"/>
      <c r="S194" s="41"/>
      <c r="T194" s="41"/>
      <c r="U194" s="330"/>
      <c r="V194" s="138"/>
      <c r="W194" s="138"/>
    </row>
    <row r="195" spans="1:23" x14ac:dyDescent="0.2">
      <c r="A195" s="40"/>
      <c r="B195" s="18"/>
      <c r="C195" s="18"/>
      <c r="D195" s="19"/>
      <c r="E195" s="19"/>
      <c r="F195" s="16"/>
      <c r="G195" s="16"/>
      <c r="H195" s="18"/>
      <c r="I195" s="20"/>
      <c r="J195" s="20"/>
      <c r="K195" s="20"/>
      <c r="L195" s="20"/>
      <c r="M195" s="20"/>
      <c r="N195" s="329"/>
      <c r="O195" s="20"/>
      <c r="P195" s="350"/>
      <c r="Q195" s="355"/>
      <c r="R195" s="41"/>
      <c r="S195" s="41"/>
      <c r="T195" s="41"/>
      <c r="U195" s="330"/>
      <c r="V195" s="138"/>
      <c r="W195" s="138"/>
    </row>
    <row r="196" spans="1:23" x14ac:dyDescent="0.2">
      <c r="A196" s="40"/>
      <c r="B196" s="18"/>
      <c r="C196" s="18"/>
      <c r="D196" s="19"/>
      <c r="E196" s="19"/>
      <c r="F196" s="16"/>
      <c r="G196" s="16"/>
      <c r="H196" s="18"/>
      <c r="I196" s="24"/>
      <c r="J196" s="20"/>
      <c r="K196" s="20"/>
      <c r="L196" s="20"/>
      <c r="M196" s="20"/>
      <c r="N196" s="329"/>
      <c r="O196" s="20"/>
      <c r="P196" s="350"/>
      <c r="Q196" s="355"/>
      <c r="R196" s="41"/>
      <c r="S196" s="41"/>
      <c r="T196" s="41"/>
      <c r="U196" s="330"/>
      <c r="V196" s="138"/>
      <c r="W196" s="138"/>
    </row>
    <row r="197" spans="1:23" x14ac:dyDescent="0.2">
      <c r="A197" s="40"/>
      <c r="B197" s="18"/>
      <c r="C197" s="18"/>
      <c r="D197" s="19"/>
      <c r="E197" s="19"/>
      <c r="F197" s="16"/>
      <c r="G197" s="16"/>
      <c r="H197" s="18"/>
      <c r="I197" s="20"/>
      <c r="J197" s="20"/>
      <c r="K197" s="20"/>
      <c r="L197" s="20"/>
      <c r="M197" s="20"/>
      <c r="N197" s="329"/>
      <c r="O197" s="20"/>
      <c r="P197" s="350"/>
      <c r="Q197" s="355"/>
      <c r="R197" s="41"/>
      <c r="S197" s="41"/>
      <c r="T197" s="41"/>
      <c r="U197" s="330"/>
      <c r="V197" s="138"/>
      <c r="W197" s="138"/>
    </row>
    <row r="198" spans="1:23" x14ac:dyDescent="0.2">
      <c r="A198" s="40"/>
      <c r="B198" s="18"/>
      <c r="C198" s="18"/>
      <c r="D198" s="19"/>
      <c r="E198" s="19"/>
      <c r="F198" s="16"/>
      <c r="G198" s="16"/>
      <c r="H198" s="18"/>
      <c r="I198" s="20"/>
      <c r="J198" s="20"/>
      <c r="K198" s="20"/>
      <c r="L198" s="20"/>
      <c r="M198" s="20"/>
      <c r="N198" s="329"/>
      <c r="O198" s="20"/>
      <c r="P198" s="350"/>
      <c r="Q198" s="355"/>
      <c r="R198" s="41"/>
      <c r="S198" s="41"/>
      <c r="T198" s="41"/>
      <c r="U198" s="330"/>
      <c r="V198" s="150"/>
      <c r="W198" s="138"/>
    </row>
    <row r="199" spans="1:23" x14ac:dyDescent="0.2">
      <c r="A199" s="40"/>
      <c r="B199" s="18"/>
      <c r="C199" s="18"/>
      <c r="D199" s="19"/>
      <c r="E199" s="19"/>
      <c r="F199" s="16"/>
      <c r="G199" s="16"/>
      <c r="H199" s="18"/>
      <c r="I199" s="20"/>
      <c r="J199" s="20"/>
      <c r="K199" s="20"/>
      <c r="L199" s="20"/>
      <c r="M199" s="20"/>
      <c r="N199" s="329"/>
      <c r="O199" s="20"/>
      <c r="P199" s="350"/>
      <c r="Q199" s="355"/>
      <c r="R199" s="41"/>
      <c r="S199" s="41"/>
      <c r="T199" s="41"/>
      <c r="U199" s="330"/>
      <c r="V199" s="138"/>
      <c r="W199" s="138"/>
    </row>
    <row r="200" spans="1:23" x14ac:dyDescent="0.2">
      <c r="A200" s="40"/>
      <c r="B200" s="18"/>
      <c r="C200" s="18"/>
      <c r="D200" s="19"/>
      <c r="E200" s="19"/>
      <c r="F200" s="16"/>
      <c r="G200" s="16"/>
      <c r="H200" s="18"/>
      <c r="I200" s="20"/>
      <c r="J200" s="20"/>
      <c r="K200" s="20"/>
      <c r="L200" s="20"/>
      <c r="M200" s="20"/>
      <c r="N200" s="329"/>
      <c r="O200" s="20"/>
      <c r="P200" s="350"/>
      <c r="Q200" s="355"/>
      <c r="R200" s="41"/>
      <c r="S200" s="41"/>
      <c r="T200" s="41"/>
      <c r="U200" s="330"/>
      <c r="V200" s="138"/>
      <c r="W200" s="138"/>
    </row>
    <row r="201" spans="1:23" x14ac:dyDescent="0.2">
      <c r="A201" s="40"/>
      <c r="B201" s="18"/>
      <c r="C201" s="18"/>
      <c r="D201" s="19"/>
      <c r="E201" s="19"/>
      <c r="F201" s="16"/>
      <c r="G201" s="16"/>
      <c r="H201" s="18"/>
      <c r="I201" s="24"/>
      <c r="J201" s="20"/>
      <c r="K201" s="20"/>
      <c r="L201" s="20"/>
      <c r="M201" s="20"/>
      <c r="N201" s="329"/>
      <c r="O201" s="20"/>
      <c r="P201" s="350"/>
      <c r="Q201" s="355"/>
      <c r="R201" s="150"/>
      <c r="S201" s="41"/>
      <c r="T201" s="41"/>
      <c r="U201" s="330"/>
      <c r="V201" s="138"/>
      <c r="W201" s="138"/>
    </row>
    <row r="202" spans="1:23" x14ac:dyDescent="0.2">
      <c r="A202" s="40"/>
      <c r="B202" s="18"/>
      <c r="C202" s="18"/>
      <c r="D202" s="19"/>
      <c r="E202" s="19"/>
      <c r="F202" s="16"/>
      <c r="G202" s="16"/>
      <c r="H202" s="18"/>
      <c r="I202" s="24"/>
      <c r="J202" s="20"/>
      <c r="K202" s="20"/>
      <c r="L202" s="20"/>
      <c r="M202" s="20"/>
      <c r="N202" s="329"/>
      <c r="O202" s="20"/>
      <c r="P202" s="350"/>
      <c r="Q202" s="355"/>
      <c r="R202" s="150"/>
      <c r="S202" s="41"/>
      <c r="T202" s="41"/>
      <c r="U202" s="330"/>
      <c r="V202" s="138"/>
      <c r="W202" s="138"/>
    </row>
    <row r="203" spans="1:23" x14ac:dyDescent="0.2">
      <c r="P203" s="69"/>
      <c r="Q203" s="69"/>
      <c r="R203" s="69"/>
      <c r="S203" s="99"/>
      <c r="T203" s="69"/>
      <c r="U203" s="358"/>
      <c r="V203" s="358"/>
    </row>
    <row r="204" spans="1:23" x14ac:dyDescent="0.2">
      <c r="P204" s="69"/>
      <c r="Q204" s="69"/>
      <c r="R204" s="69"/>
      <c r="S204" s="99"/>
      <c r="T204" s="69"/>
      <c r="U204" s="358"/>
      <c r="V204" s="358"/>
    </row>
  </sheetData>
  <pageMargins left="0.75" right="0.75" top="1" bottom="1" header="0.5" footer="0.5"/>
  <pageSetup paperSize="5" scale="7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3"/>
  <sheetViews>
    <sheetView workbookViewId="0">
      <selection activeCell="A32" sqref="A32"/>
    </sheetView>
  </sheetViews>
  <sheetFormatPr defaultRowHeight="12.75" x14ac:dyDescent="0.2"/>
  <cols>
    <col min="1" max="1" width="8.5703125" style="71" customWidth="1"/>
    <col min="2" max="3" width="9.140625" style="71"/>
    <col min="4" max="5" width="9.85546875" style="71" customWidth="1"/>
    <col min="6" max="6" width="12.42578125" style="71" customWidth="1"/>
    <col min="7" max="7" width="9.140625" style="71"/>
    <col min="8" max="8" width="10.28515625" style="71" customWidth="1"/>
    <col min="9" max="9" width="7.7109375" style="71" customWidth="1"/>
    <col min="10" max="10" width="14" style="71" customWidth="1"/>
    <col min="11" max="11" width="8.140625" style="71" customWidth="1"/>
    <col min="12" max="12" width="10" style="71" customWidth="1"/>
    <col min="13" max="16384" width="9.140625" style="71"/>
  </cols>
  <sheetData>
    <row r="1" spans="1:29" x14ac:dyDescent="0.2">
      <c r="A1" s="89" t="s">
        <v>47</v>
      </c>
      <c r="B1" s="89"/>
    </row>
    <row r="2" spans="1:29" x14ac:dyDescent="0.2">
      <c r="B2" s="89"/>
    </row>
    <row r="3" spans="1:29" x14ac:dyDescent="0.2">
      <c r="A3" s="398" t="s">
        <v>445</v>
      </c>
      <c r="B3" s="391"/>
      <c r="C3" s="391"/>
      <c r="D3" s="391"/>
      <c r="E3" s="391"/>
      <c r="F3" s="391"/>
      <c r="G3" s="391"/>
      <c r="H3" s="392"/>
      <c r="J3" s="405" t="s">
        <v>448</v>
      </c>
      <c r="K3" s="96">
        <f>+Rates!W17</f>
        <v>0.1274166107794224</v>
      </c>
      <c r="Z3" s="71">
        <v>2.8</v>
      </c>
      <c r="AC3" s="71">
        <v>3.03</v>
      </c>
    </row>
    <row r="4" spans="1:29" x14ac:dyDescent="0.2">
      <c r="A4" s="393"/>
      <c r="B4" s="417">
        <v>1</v>
      </c>
      <c r="C4" s="417">
        <v>2</v>
      </c>
      <c r="D4" s="417">
        <v>3</v>
      </c>
      <c r="E4" s="417">
        <v>4</v>
      </c>
      <c r="F4" s="417" t="s">
        <v>289</v>
      </c>
      <c r="G4" s="417">
        <v>5</v>
      </c>
      <c r="H4" s="470">
        <v>6</v>
      </c>
      <c r="J4" s="406" t="s">
        <v>887</v>
      </c>
      <c r="K4" s="433">
        <f>(E62/(1-0.02184))-Rates!W3</f>
        <v>0.1047166107794224</v>
      </c>
    </row>
    <row r="5" spans="1:29" x14ac:dyDescent="0.2">
      <c r="A5" s="416">
        <v>1</v>
      </c>
      <c r="B5" s="100">
        <f>+Rates!B17</f>
        <v>3.6831159056698239E-2</v>
      </c>
      <c r="C5" s="100">
        <f>+Rates!B22</f>
        <v>5.9745226333299359E-2</v>
      </c>
      <c r="D5" s="100">
        <f>+Rates!B27</f>
        <v>8.2300830463844218E-2</v>
      </c>
      <c r="E5" s="100"/>
      <c r="F5" s="100"/>
      <c r="G5" s="100">
        <f>+Rates!B37</f>
        <v>0.26129225684608048</v>
      </c>
      <c r="H5" s="469">
        <f>+Rates!B42</f>
        <v>0.30661444903143847</v>
      </c>
      <c r="J5" s="90"/>
    </row>
    <row r="6" spans="1:29" x14ac:dyDescent="0.2">
      <c r="A6" s="416">
        <v>2</v>
      </c>
      <c r="B6" s="100"/>
      <c r="C6" s="100"/>
      <c r="D6" s="100">
        <f>+Rates!B52</f>
        <v>4.8842395801796459E-2</v>
      </c>
      <c r="E6" s="100"/>
      <c r="F6" s="100"/>
      <c r="G6" s="100">
        <f>+Rates!B62</f>
        <v>0.24775318837549665</v>
      </c>
      <c r="H6" s="469">
        <f>+Rates!B67</f>
        <v>0.29384161569289163</v>
      </c>
      <c r="J6" s="405" t="s">
        <v>449</v>
      </c>
      <c r="K6" s="434">
        <f>+Rates!Z17</f>
        <v>0.1558602537863287</v>
      </c>
    </row>
    <row r="7" spans="1:29" x14ac:dyDescent="0.2">
      <c r="A7" s="416">
        <v>3</v>
      </c>
      <c r="B7" s="100"/>
      <c r="C7" s="100"/>
      <c r="D7" s="100">
        <f>+Rates!B72</f>
        <v>4.338121546961269E-2</v>
      </c>
      <c r="E7" s="100">
        <f>+Rates!B77</f>
        <v>0.14693000512032736</v>
      </c>
      <c r="F7" s="100"/>
      <c r="G7" s="100">
        <f>+Rates!B82</f>
        <v>0.23283216812317947</v>
      </c>
      <c r="H7" s="469">
        <f>+Rates!B87</f>
        <v>0.28081570109151954</v>
      </c>
      <c r="J7" s="406" t="s">
        <v>877</v>
      </c>
      <c r="K7" s="433">
        <f>(E61/(1-0.0228))-Rates!Z3</f>
        <v>0.10966025378632871</v>
      </c>
    </row>
    <row r="8" spans="1:29" x14ac:dyDescent="0.2">
      <c r="A8" s="416">
        <v>4</v>
      </c>
      <c r="B8" s="100"/>
      <c r="C8" s="100"/>
      <c r="D8" s="100"/>
      <c r="E8" s="100">
        <f>+Rates!B92</f>
        <v>0.11746544342507663</v>
      </c>
      <c r="F8" s="100"/>
      <c r="G8" s="100"/>
      <c r="H8" s="469">
        <f>+Rates!B102</f>
        <v>0.24405170792854886</v>
      </c>
      <c r="J8" s="89"/>
      <c r="K8" s="92"/>
    </row>
    <row r="9" spans="1:29" x14ac:dyDescent="0.2">
      <c r="A9" s="419" t="s">
        <v>289</v>
      </c>
      <c r="B9" s="100"/>
      <c r="C9" s="100"/>
      <c r="D9" s="100"/>
      <c r="E9" s="100"/>
      <c r="F9" s="100">
        <f>+Rates!B107</f>
        <v>2.9484397947892413E-2</v>
      </c>
      <c r="G9" s="100"/>
      <c r="H9" s="469"/>
      <c r="K9" s="144"/>
    </row>
    <row r="10" spans="1:29" x14ac:dyDescent="0.2">
      <c r="A10" s="416">
        <v>5</v>
      </c>
      <c r="B10" s="100"/>
      <c r="C10" s="100"/>
      <c r="D10" s="100"/>
      <c r="E10" s="100"/>
      <c r="F10" s="100"/>
      <c r="G10" s="100">
        <f>+Rates!B112</f>
        <v>0.10132731796486216</v>
      </c>
      <c r="H10" s="469"/>
      <c r="K10" s="92"/>
    </row>
    <row r="11" spans="1:29" x14ac:dyDescent="0.2">
      <c r="A11" s="416">
        <v>6</v>
      </c>
      <c r="B11" s="99"/>
      <c r="C11" s="99"/>
      <c r="D11" s="99"/>
      <c r="E11" s="99"/>
      <c r="F11" s="99"/>
      <c r="G11" s="99"/>
      <c r="H11" s="469">
        <f>+Rates!B122</f>
        <v>6.4465066559096437E-2</v>
      </c>
      <c r="J11" s="398" t="s">
        <v>742</v>
      </c>
      <c r="K11" s="408"/>
    </row>
    <row r="12" spans="1:29" x14ac:dyDescent="0.2">
      <c r="A12" s="487"/>
      <c r="B12" s="465" t="s">
        <v>876</v>
      </c>
      <c r="C12" s="465"/>
      <c r="D12" s="465"/>
      <c r="E12" s="465"/>
      <c r="F12" s="465"/>
      <c r="G12" s="465"/>
      <c r="H12" s="488"/>
      <c r="J12" s="409" t="s">
        <v>744</v>
      </c>
      <c r="K12" s="410">
        <f>SUM(Rates!AI17)-0.0072</f>
        <v>1.5138476953908226E-2</v>
      </c>
    </row>
    <row r="13" spans="1:29" x14ac:dyDescent="0.2">
      <c r="A13" s="492" t="s">
        <v>974</v>
      </c>
      <c r="B13" s="491" t="s">
        <v>973</v>
      </c>
      <c r="C13" s="466" t="s">
        <v>294</v>
      </c>
      <c r="D13" s="466" t="s">
        <v>295</v>
      </c>
      <c r="E13" s="466" t="s">
        <v>296</v>
      </c>
      <c r="F13" s="464"/>
      <c r="G13" s="464"/>
      <c r="H13" s="489"/>
      <c r="J13" s="409" t="s">
        <v>743</v>
      </c>
      <c r="K13" s="411">
        <f>SUM(Rates!H127)</f>
        <v>7.3089141805751934E-2</v>
      </c>
    </row>
    <row r="14" spans="1:29" ht="13.5" thickBot="1" x14ac:dyDescent="0.25">
      <c r="A14" s="97" t="s">
        <v>972</v>
      </c>
      <c r="B14" s="431">
        <f>SUM(Rates!B69+Rates!B71)</f>
        <v>2.4281215469612691E-2</v>
      </c>
      <c r="C14" s="431">
        <f>SUM(Rates!K22+Rates!B69+Rates!B71)</f>
        <v>0.15952946549527208</v>
      </c>
      <c r="D14" s="431">
        <f>SUM(Rates!B69+Rates!B71+Rates!K47)</f>
        <v>0.1274417924907158</v>
      </c>
      <c r="E14" s="431">
        <f>0.0522+B14</f>
        <v>7.6481215469612701E-2</v>
      </c>
      <c r="F14" s="161" t="s">
        <v>975</v>
      </c>
      <c r="G14" s="161"/>
      <c r="H14" s="490"/>
      <c r="J14" s="393" t="s">
        <v>30</v>
      </c>
      <c r="K14" s="412">
        <f>SUM(K12:K13)</f>
        <v>8.8227618759660162E-2</v>
      </c>
    </row>
    <row r="15" spans="1:29" ht="13.5" thickTop="1" x14ac:dyDescent="0.2">
      <c r="A15" s="94"/>
      <c r="J15" s="393"/>
      <c r="K15" s="410"/>
    </row>
    <row r="16" spans="1:29" x14ac:dyDescent="0.2">
      <c r="A16" s="413" t="s">
        <v>446</v>
      </c>
      <c r="B16" s="391"/>
      <c r="C16" s="391"/>
      <c r="D16" s="391"/>
      <c r="E16" s="391"/>
      <c r="F16" s="391"/>
      <c r="G16" s="391"/>
      <c r="H16" s="391"/>
      <c r="I16" s="391"/>
      <c r="J16" s="391"/>
      <c r="K16" s="473"/>
    </row>
    <row r="17" spans="1:12" x14ac:dyDescent="0.2">
      <c r="A17" s="474"/>
      <c r="B17" s="99"/>
      <c r="C17" s="417" t="s">
        <v>304</v>
      </c>
      <c r="D17" s="99"/>
      <c r="E17" s="99"/>
      <c r="F17" s="99"/>
      <c r="G17" s="99"/>
      <c r="H17" s="99"/>
      <c r="I17" s="99"/>
      <c r="J17" s="99"/>
      <c r="K17" s="475"/>
    </row>
    <row r="18" spans="1:12" x14ac:dyDescent="0.2">
      <c r="A18" s="474"/>
      <c r="B18" s="99"/>
      <c r="C18" s="417" t="s">
        <v>305</v>
      </c>
      <c r="D18" s="99" t="s">
        <v>306</v>
      </c>
      <c r="E18" s="99"/>
      <c r="F18" s="99"/>
      <c r="G18" s="99"/>
      <c r="H18" s="99"/>
      <c r="I18" s="99"/>
      <c r="J18" s="99"/>
      <c r="K18" s="475"/>
    </row>
    <row r="19" spans="1:12" x14ac:dyDescent="0.2">
      <c r="A19" s="416"/>
      <c r="B19" s="417" t="s">
        <v>307</v>
      </c>
      <c r="C19" s="417" t="s">
        <v>308</v>
      </c>
      <c r="D19" s="417" t="s">
        <v>309</v>
      </c>
      <c r="E19" s="417" t="s">
        <v>310</v>
      </c>
      <c r="F19" s="417" t="s">
        <v>311</v>
      </c>
      <c r="G19" s="99" t="s">
        <v>312</v>
      </c>
      <c r="H19" s="417" t="s">
        <v>313</v>
      </c>
      <c r="I19" s="417" t="s">
        <v>314</v>
      </c>
      <c r="J19" s="462" t="s">
        <v>315</v>
      </c>
      <c r="K19" s="476" t="s">
        <v>316</v>
      </c>
    </row>
    <row r="20" spans="1:12" x14ac:dyDescent="0.2">
      <c r="A20" s="477" t="s">
        <v>290</v>
      </c>
      <c r="B20" s="100">
        <f>+Rates!H22-0.0225+B28+B29</f>
        <v>0.24237747406543481</v>
      </c>
      <c r="C20" s="100">
        <f>+Rates!H22-0.0072</f>
        <v>0.20114489544895461</v>
      </c>
      <c r="D20" s="100">
        <f>+C20-0.0072</f>
        <v>0.1939448954489546</v>
      </c>
      <c r="E20" s="100">
        <f>+D20-0.0225</f>
        <v>0.17144489544895461</v>
      </c>
      <c r="F20" s="100">
        <f>+D20+0.0072</f>
        <v>0.20114489544895461</v>
      </c>
      <c r="G20" s="100">
        <f>+Rates!H27</f>
        <v>0.30042814690802594</v>
      </c>
      <c r="H20" s="100">
        <f>+Rates!H32</f>
        <v>0.33246840775063224</v>
      </c>
      <c r="I20" s="100">
        <f>+Rates!H37</f>
        <v>0.39088152866242076</v>
      </c>
      <c r="J20" s="478">
        <f>+Rates!H42</f>
        <v>0.44804030874785611</v>
      </c>
      <c r="K20" s="469">
        <f>+Rates!H47</f>
        <v>0.52124342190537976</v>
      </c>
    </row>
    <row r="21" spans="1:12" x14ac:dyDescent="0.2">
      <c r="A21" s="419" t="s">
        <v>291</v>
      </c>
      <c r="B21" s="100"/>
      <c r="C21" s="100">
        <f>+Rates!H52-0.0072</f>
        <v>9.5548864209994963E-2</v>
      </c>
      <c r="D21" s="100"/>
      <c r="E21" s="100"/>
      <c r="F21" s="100">
        <f>+C21+0.0072</f>
        <v>0.10274886420999496</v>
      </c>
      <c r="G21" s="100"/>
      <c r="H21" s="100"/>
      <c r="I21" s="100"/>
      <c r="J21" s="463"/>
      <c r="K21" s="476"/>
    </row>
    <row r="22" spans="1:12" x14ac:dyDescent="0.2">
      <c r="A22" s="416">
        <v>1</v>
      </c>
      <c r="B22" s="100">
        <f>+Rates!H57-0.0225+B28+B29</f>
        <v>0.19931263965411994</v>
      </c>
      <c r="C22" s="100"/>
      <c r="D22" s="100">
        <f>+Rates!H57-0.0072</f>
        <v>0.15808006103763975</v>
      </c>
      <c r="E22" s="100">
        <f>+D22-0.0225</f>
        <v>0.13558006103763975</v>
      </c>
      <c r="F22" s="100"/>
      <c r="G22" s="100">
        <f>+Rates!H62</f>
        <v>0.25577219395701373</v>
      </c>
      <c r="H22" s="100">
        <f>+Rates!H67</f>
        <v>0.28704488559189223</v>
      </c>
      <c r="I22" s="100">
        <f>+Rates!H72</f>
        <v>0.34557248788708672</v>
      </c>
      <c r="J22" s="100">
        <f>+Rates!H77</f>
        <v>0.40167510369031156</v>
      </c>
      <c r="K22" s="469">
        <f>+Rates!H82</f>
        <v>0.47451142183649431</v>
      </c>
    </row>
    <row r="23" spans="1:12" x14ac:dyDescent="0.2">
      <c r="A23" s="416">
        <v>2</v>
      </c>
      <c r="B23" s="100"/>
      <c r="C23" s="100"/>
      <c r="D23" s="100"/>
      <c r="E23" s="100"/>
      <c r="F23" s="100"/>
      <c r="G23" s="100"/>
      <c r="H23" s="100"/>
      <c r="I23" s="100"/>
      <c r="J23" s="100">
        <f>SUM(Rates!H87)</f>
        <v>0.2512542418585354</v>
      </c>
      <c r="K23" s="469"/>
    </row>
    <row r="24" spans="1:12" x14ac:dyDescent="0.2">
      <c r="A24" s="416">
        <v>4</v>
      </c>
      <c r="B24" s="100"/>
      <c r="C24" s="100"/>
      <c r="D24" s="100"/>
      <c r="E24" s="100"/>
      <c r="F24" s="100"/>
      <c r="G24" s="100"/>
      <c r="H24" s="100"/>
      <c r="I24" s="100"/>
      <c r="J24" s="100"/>
      <c r="K24" s="469">
        <f>+Rates!H97</f>
        <v>0.18373197389885812</v>
      </c>
    </row>
    <row r="25" spans="1:12" x14ac:dyDescent="0.2">
      <c r="A25" s="416">
        <v>5</v>
      </c>
      <c r="B25" s="100"/>
      <c r="C25" s="100"/>
      <c r="D25" s="100"/>
      <c r="E25" s="100"/>
      <c r="F25" s="100"/>
      <c r="G25" s="100"/>
      <c r="H25" s="100"/>
      <c r="I25" s="100">
        <f>+Rates!H132</f>
        <v>0.10548497927827781</v>
      </c>
      <c r="J25" s="100">
        <f>+Rates!H102</f>
        <v>0.10703068906202581</v>
      </c>
      <c r="K25" s="469">
        <f>+Rates!H112</f>
        <v>0.17383967801100422</v>
      </c>
    </row>
    <row r="26" spans="1:12" x14ac:dyDescent="0.2">
      <c r="A26" s="479">
        <v>6</v>
      </c>
      <c r="B26" s="427"/>
      <c r="C26" s="427"/>
      <c r="D26" s="427"/>
      <c r="E26" s="427"/>
      <c r="F26" s="100"/>
      <c r="G26" s="100"/>
      <c r="H26" s="100"/>
      <c r="I26" s="100"/>
      <c r="J26" s="100"/>
      <c r="K26" s="469">
        <f>+Rates!H122</f>
        <v>0.1570858365600164</v>
      </c>
    </row>
    <row r="27" spans="1:12" x14ac:dyDescent="0.2">
      <c r="A27" s="92"/>
      <c r="B27" s="91"/>
      <c r="C27" s="91"/>
      <c r="D27" s="91"/>
      <c r="E27" s="91"/>
      <c r="F27" s="486"/>
      <c r="G27" s="100"/>
      <c r="H27" s="100"/>
      <c r="I27" s="100"/>
      <c r="J27" s="100"/>
      <c r="K27" s="469"/>
    </row>
    <row r="28" spans="1:12" x14ac:dyDescent="0.2">
      <c r="A28" s="95" t="s">
        <v>322</v>
      </c>
      <c r="B28" s="96">
        <f>0.0009+0.0022+0.0075</f>
        <v>1.06E-2</v>
      </c>
      <c r="F28" s="480" t="s">
        <v>345</v>
      </c>
      <c r="G28" s="99"/>
      <c r="H28" s="99"/>
      <c r="I28" s="99"/>
      <c r="J28" s="99"/>
      <c r="K28" s="476"/>
    </row>
    <row r="29" spans="1:12" x14ac:dyDescent="0.2">
      <c r="A29" s="97" t="s">
        <v>255</v>
      </c>
      <c r="B29" s="98">
        <f>0.0101*(+Rates!H4+Rates!H57-0.0225)</f>
        <v>4.5932578616480167E-2</v>
      </c>
      <c r="F29" s="480" t="s">
        <v>414</v>
      </c>
      <c r="G29" s="99"/>
      <c r="H29" s="99"/>
      <c r="I29" s="481">
        <f>+I20-I25</f>
        <v>0.28539654938414294</v>
      </c>
      <c r="J29" s="481">
        <f>+J20-J25</f>
        <v>0.34100961968583032</v>
      </c>
      <c r="K29" s="482">
        <f>+K20-K25</f>
        <v>0.34740374389437556</v>
      </c>
    </row>
    <row r="30" spans="1:12" x14ac:dyDescent="0.2">
      <c r="A30" s="99"/>
      <c r="B30" s="100"/>
      <c r="F30" s="483" t="s">
        <v>415</v>
      </c>
      <c r="G30" s="161"/>
      <c r="H30" s="161"/>
      <c r="I30" s="484">
        <f>+I22-I25</f>
        <v>0.2400875086088089</v>
      </c>
      <c r="J30" s="484">
        <f>+J22-J25</f>
        <v>0.29464441462828572</v>
      </c>
      <c r="K30" s="485">
        <f>+K22-K25</f>
        <v>0.30067174382549011</v>
      </c>
    </row>
    <row r="31" spans="1:12" x14ac:dyDescent="0.2">
      <c r="A31" s="99"/>
      <c r="B31" s="100"/>
    </row>
    <row r="32" spans="1:12" x14ac:dyDescent="0.2">
      <c r="A32" s="413" t="s">
        <v>601</v>
      </c>
      <c r="B32" s="391"/>
      <c r="C32" s="391"/>
      <c r="D32" s="391"/>
      <c r="E32" s="391"/>
      <c r="F32" s="391"/>
      <c r="G32" s="391"/>
      <c r="H32" s="391"/>
      <c r="I32" s="391"/>
      <c r="J32" s="414"/>
      <c r="K32" s="415"/>
      <c r="L32" s="99"/>
    </row>
    <row r="33" spans="1:13" x14ac:dyDescent="0.2">
      <c r="A33" s="416"/>
      <c r="B33" s="417" t="s">
        <v>294</v>
      </c>
      <c r="C33" s="417" t="s">
        <v>288</v>
      </c>
      <c r="D33" s="417" t="s">
        <v>317</v>
      </c>
      <c r="E33" s="417" t="s">
        <v>318</v>
      </c>
      <c r="F33" s="417" t="s">
        <v>319</v>
      </c>
      <c r="G33" s="417" t="s">
        <v>320</v>
      </c>
      <c r="H33" s="283" t="s">
        <v>977</v>
      </c>
      <c r="I33" s="99"/>
      <c r="J33" s="283" t="s">
        <v>629</v>
      </c>
      <c r="K33" s="418" t="s">
        <v>630</v>
      </c>
      <c r="L33" s="99"/>
    </row>
    <row r="34" spans="1:13" x14ac:dyDescent="0.2">
      <c r="A34" s="419" t="s">
        <v>294</v>
      </c>
      <c r="B34" s="100">
        <f>+Rates!K17</f>
        <v>0.1347087108013939</v>
      </c>
      <c r="C34" s="100">
        <f>+Rates!K27</f>
        <v>0.18186429458005779</v>
      </c>
      <c r="D34" s="100">
        <f>+Rates!K22</f>
        <v>0.13524825002565941</v>
      </c>
      <c r="E34" s="100">
        <f>+Rates!K32</f>
        <v>0.33930767274268753</v>
      </c>
      <c r="F34" s="100">
        <f>+Rates!K37</f>
        <v>0.42989604130808934</v>
      </c>
      <c r="G34" s="100">
        <f>+Rates!K42</f>
        <v>0.49192051504944051</v>
      </c>
      <c r="H34" s="420">
        <f t="shared" ref="H34:H39" si="0">ROUND(+F34*0.6+G34*0.4,3)</f>
        <v>0.45500000000000002</v>
      </c>
      <c r="I34" s="99"/>
      <c r="J34" s="282">
        <f>+Rates!N17</f>
        <v>0.8979960413080893</v>
      </c>
      <c r="K34" s="421">
        <f>SUM(Rates!N22)</f>
        <v>17.693979802955667</v>
      </c>
      <c r="L34" s="99"/>
    </row>
    <row r="35" spans="1:13" x14ac:dyDescent="0.2">
      <c r="A35" s="419" t="s">
        <v>299</v>
      </c>
      <c r="B35" s="100"/>
      <c r="C35" s="100">
        <f>+Rates!K87</f>
        <v>0.13603442622950823</v>
      </c>
      <c r="D35" s="422">
        <f>+D37</f>
        <v>0.13088032786885234</v>
      </c>
      <c r="E35" s="100">
        <f>+E37</f>
        <v>0.29424962216624717</v>
      </c>
      <c r="F35" s="100">
        <f>+F37</f>
        <v>0.38514184064763513</v>
      </c>
      <c r="G35" s="100">
        <f>+G37</f>
        <v>0.44736169983862273</v>
      </c>
      <c r="H35" s="420">
        <f t="shared" si="0"/>
        <v>0.41</v>
      </c>
      <c r="I35" s="99"/>
      <c r="J35" s="282">
        <f>SUM(Rates!N37)</f>
        <v>0.69714184064763507</v>
      </c>
      <c r="K35" s="421">
        <f>SUM(Rates!N42)</f>
        <v>0.84906169983862267</v>
      </c>
      <c r="L35" s="99"/>
    </row>
    <row r="36" spans="1:13" x14ac:dyDescent="0.2">
      <c r="A36" s="419" t="s">
        <v>295</v>
      </c>
      <c r="B36" s="100"/>
      <c r="C36" s="100">
        <f>+Rates!K52</f>
        <v>0.15089342375667933</v>
      </c>
      <c r="D36" s="100">
        <f>+Rates!K47</f>
        <v>0.10316057702110312</v>
      </c>
      <c r="E36" s="100">
        <f>+Rates!K57</f>
        <v>0.30925789473684223</v>
      </c>
      <c r="F36" s="100">
        <f>+Rates!K62</f>
        <v>0.40040598290598328</v>
      </c>
      <c r="G36" s="100">
        <f>+Rates!K67</f>
        <v>0.46280358260494209</v>
      </c>
      <c r="H36" s="420">
        <f t="shared" si="0"/>
        <v>0.42499999999999999</v>
      </c>
      <c r="I36" s="99"/>
      <c r="J36" s="282">
        <f>SUM(Rates!N27)</f>
        <v>0.72870598290598321</v>
      </c>
      <c r="K36" s="421">
        <f>SUM(Rates!N32)</f>
        <v>0.88080358260494207</v>
      </c>
      <c r="L36" s="99"/>
    </row>
    <row r="37" spans="1:13" x14ac:dyDescent="0.2">
      <c r="A37" s="419" t="s">
        <v>296</v>
      </c>
      <c r="B37" s="100"/>
      <c r="C37" s="100">
        <f>+Rates!K87</f>
        <v>0.13603442622950823</v>
      </c>
      <c r="D37" s="100">
        <f>+Rates!K77</f>
        <v>0.13088032786885234</v>
      </c>
      <c r="E37" s="100">
        <f>+Rates!K112</f>
        <v>0.29424962216624717</v>
      </c>
      <c r="F37" s="100">
        <f>+Rates!K117</f>
        <v>0.38514184064763513</v>
      </c>
      <c r="G37" s="100">
        <f>+Rates!K122</f>
        <v>0.44736169983862273</v>
      </c>
      <c r="H37" s="420">
        <f t="shared" si="0"/>
        <v>0.41</v>
      </c>
      <c r="I37" s="99"/>
      <c r="J37" s="282">
        <f>SUM(Rates!N37)</f>
        <v>0.69714184064763507</v>
      </c>
      <c r="K37" s="421">
        <f>SUM(Rates!N42)</f>
        <v>0.84906169983862267</v>
      </c>
      <c r="L37" s="99"/>
    </row>
    <row r="38" spans="1:13" x14ac:dyDescent="0.2">
      <c r="A38" s="423" t="s">
        <v>297</v>
      </c>
      <c r="B38" s="99"/>
      <c r="C38" s="99"/>
      <c r="D38" s="99"/>
      <c r="E38" s="280">
        <f>+Rates!K127</f>
        <v>0.16454840294840301</v>
      </c>
      <c r="F38" s="100">
        <f>+Rates!K132</f>
        <v>0.25360656418778554</v>
      </c>
      <c r="G38" s="100">
        <f>+Rates!K137</f>
        <v>0.31454918720503389</v>
      </c>
      <c r="H38" s="424">
        <f t="shared" si="0"/>
        <v>0.27800000000000002</v>
      </c>
      <c r="I38" s="99"/>
      <c r="J38" s="282">
        <f>SUM(Rates!N47)</f>
        <v>0.49880656418778557</v>
      </c>
      <c r="K38" s="421">
        <f>SUM(Rates!N52)</f>
        <v>0.64944918720503386</v>
      </c>
    </row>
    <row r="39" spans="1:13" x14ac:dyDescent="0.2">
      <c r="A39" s="423" t="s">
        <v>298</v>
      </c>
      <c r="B39" s="99"/>
      <c r="C39" s="99"/>
      <c r="D39" s="99"/>
      <c r="E39" s="280"/>
      <c r="F39" s="100">
        <f>+Rates!K142</f>
        <v>0.20300000000000007</v>
      </c>
      <c r="G39" s="100">
        <f>+Rates!K147</f>
        <v>0.27138188730340618</v>
      </c>
      <c r="H39" s="420">
        <f t="shared" si="0"/>
        <v>0.23</v>
      </c>
      <c r="I39" s="99"/>
      <c r="J39" s="282"/>
      <c r="K39" s="421">
        <f>SUM(Rates!N57)</f>
        <v>0.54218188730340611</v>
      </c>
    </row>
    <row r="40" spans="1:13" x14ac:dyDescent="0.2">
      <c r="A40" s="425" t="s">
        <v>119</v>
      </c>
      <c r="B40" s="161"/>
      <c r="C40" s="161"/>
      <c r="D40" s="161"/>
      <c r="E40" s="426"/>
      <c r="F40" s="161"/>
      <c r="G40" s="427">
        <f>+Rates!K152</f>
        <v>0.18836406570841896</v>
      </c>
      <c r="H40" s="428"/>
      <c r="I40" s="161"/>
      <c r="J40" s="429"/>
      <c r="K40" s="407">
        <f>SUM(Rates!N62)</f>
        <v>0.32766406570841894</v>
      </c>
    </row>
    <row r="41" spans="1:13" x14ac:dyDescent="0.2">
      <c r="A41" s="102"/>
      <c r="E41" s="103"/>
      <c r="G41" s="91"/>
      <c r="H41" s="145"/>
      <c r="J41" s="282"/>
      <c r="K41" s="282"/>
    </row>
    <row r="42" spans="1:13" x14ac:dyDescent="0.2">
      <c r="F42" s="398" t="s">
        <v>886</v>
      </c>
      <c r="G42" s="391"/>
      <c r="H42" s="391"/>
      <c r="I42" s="391"/>
      <c r="J42" s="392"/>
    </row>
    <row r="43" spans="1:13" x14ac:dyDescent="0.2">
      <c r="A43" s="398" t="s">
        <v>648</v>
      </c>
      <c r="B43" s="430" t="s">
        <v>658</v>
      </c>
      <c r="C43" s="430" t="s">
        <v>659</v>
      </c>
      <c r="D43" s="430" t="s">
        <v>660</v>
      </c>
      <c r="E43" s="430" t="s">
        <v>661</v>
      </c>
      <c r="F43" s="393"/>
      <c r="G43" s="99" t="s">
        <v>346</v>
      </c>
      <c r="H43" s="99" t="s">
        <v>347</v>
      </c>
      <c r="I43" s="467" t="s">
        <v>292</v>
      </c>
      <c r="J43" s="468" t="s">
        <v>293</v>
      </c>
    </row>
    <row r="44" spans="1:13" x14ac:dyDescent="0.2">
      <c r="A44" s="97"/>
      <c r="B44" s="431">
        <f>+Rates!Q17</f>
        <v>8.3851776649745885E-2</v>
      </c>
      <c r="C44" s="431">
        <f>SUM(Rates!Q22)</f>
        <v>8.5851776649745887E-2</v>
      </c>
      <c r="D44" s="431">
        <f>SUM(Rates!Q27)</f>
        <v>0.12821883316274343</v>
      </c>
      <c r="E44" s="431">
        <f>SUM(Rates!Q32)</f>
        <v>0.15038973305954853</v>
      </c>
      <c r="F44" s="409" t="s">
        <v>303</v>
      </c>
      <c r="G44" s="420">
        <f>+Rates!AF17</f>
        <v>2.6277731008217873E-2</v>
      </c>
      <c r="H44" s="493">
        <f>0.0075+G49</f>
        <v>5.5956568094950518E-2</v>
      </c>
      <c r="I44" s="494">
        <f>+Rates!AF35</f>
        <v>0.10561352863391353</v>
      </c>
      <c r="J44" s="495">
        <f>+Rates!AF23</f>
        <v>0.16507032470201416</v>
      </c>
    </row>
    <row r="45" spans="1:13" x14ac:dyDescent="0.2">
      <c r="F45" s="97">
        <v>1</v>
      </c>
      <c r="G45" s="161"/>
      <c r="H45" s="161"/>
      <c r="I45" s="161"/>
      <c r="J45" s="432">
        <f>SUM(Rates!AF29)</f>
        <v>0.16227032470201413</v>
      </c>
    </row>
    <row r="46" spans="1:13" x14ac:dyDescent="0.2">
      <c r="I46" s="399"/>
      <c r="J46" s="99"/>
      <c r="K46" s="99"/>
      <c r="L46" s="99"/>
      <c r="M46" s="99"/>
    </row>
    <row r="47" spans="1:13" x14ac:dyDescent="0.2">
      <c r="A47" s="398" t="s">
        <v>394</v>
      </c>
      <c r="B47" s="391"/>
      <c r="C47" s="391"/>
      <c r="D47" s="391"/>
      <c r="E47" s="392"/>
      <c r="F47" s="551" t="s">
        <v>1009</v>
      </c>
      <c r="G47" s="392"/>
      <c r="I47" s="398" t="s">
        <v>1096</v>
      </c>
      <c r="J47" s="391"/>
      <c r="K47" s="391"/>
      <c r="L47" s="392"/>
      <c r="M47" s="99"/>
    </row>
    <row r="48" spans="1:13" ht="13.5" thickBot="1" x14ac:dyDescent="0.25">
      <c r="A48" s="416"/>
      <c r="B48" s="417" t="s">
        <v>300</v>
      </c>
      <c r="C48" s="417" t="s">
        <v>301</v>
      </c>
      <c r="D48" s="417" t="s">
        <v>321</v>
      </c>
      <c r="E48" s="470"/>
      <c r="F48" s="552" t="s">
        <v>1010</v>
      </c>
      <c r="G48" s="476"/>
      <c r="I48" s="569" t="s">
        <v>1018</v>
      </c>
      <c r="J48" s="399" t="s">
        <v>878</v>
      </c>
      <c r="K48" s="570" t="s">
        <v>1019</v>
      </c>
      <c r="L48" s="404" t="s">
        <v>879</v>
      </c>
      <c r="M48" s="99"/>
    </row>
    <row r="49" spans="1:13" ht="13.5" thickTop="1" x14ac:dyDescent="0.2">
      <c r="A49" s="419" t="s">
        <v>300</v>
      </c>
      <c r="B49" s="100">
        <f>+Rates!T32</f>
        <v>0.11170870758006639</v>
      </c>
      <c r="C49" s="100">
        <f>+C50+B49</f>
        <v>0.17771732554640307</v>
      </c>
      <c r="D49" s="100">
        <f>SUM(Rates!T27,Rates!T37,Rates!T32)</f>
        <v>0.32880557415722833</v>
      </c>
      <c r="E49" s="469"/>
      <c r="F49" s="553" t="s">
        <v>145</v>
      </c>
      <c r="G49" s="469">
        <f>Rates!AC34</f>
        <v>4.8456568094950518E-2</v>
      </c>
      <c r="H49" s="101"/>
      <c r="I49" s="400">
        <v>41101</v>
      </c>
      <c r="J49" s="401" t="s">
        <v>880</v>
      </c>
      <c r="K49" s="402">
        <v>20500</v>
      </c>
      <c r="L49" s="455" t="s">
        <v>881</v>
      </c>
      <c r="M49" s="99"/>
    </row>
    <row r="50" spans="1:13" x14ac:dyDescent="0.2">
      <c r="A50" s="419" t="s">
        <v>301</v>
      </c>
      <c r="B50" s="100"/>
      <c r="C50" s="471">
        <f>+Rates!T37</f>
        <v>6.6008617966336669E-2</v>
      </c>
      <c r="D50" s="471">
        <f>+Rates!T37+Rates!T27</f>
        <v>0.21709686657716193</v>
      </c>
      <c r="E50" s="469"/>
      <c r="F50" s="554"/>
      <c r="G50" s="391"/>
      <c r="I50" s="394">
        <v>40120</v>
      </c>
      <c r="J50" s="395" t="s">
        <v>938</v>
      </c>
      <c r="K50" s="403">
        <v>20550</v>
      </c>
      <c r="L50" s="435" t="s">
        <v>882</v>
      </c>
      <c r="M50" s="99"/>
    </row>
    <row r="51" spans="1:13" x14ac:dyDescent="0.2">
      <c r="A51" s="419" t="s">
        <v>302</v>
      </c>
      <c r="B51" s="100"/>
      <c r="C51" s="100"/>
      <c r="D51" s="100">
        <f>+Rates!T27</f>
        <v>0.15108824861082526</v>
      </c>
      <c r="E51" s="469"/>
      <c r="F51" s="91"/>
      <c r="G51" s="91"/>
      <c r="I51" s="394">
        <v>40114</v>
      </c>
      <c r="J51" s="395" t="s">
        <v>1110</v>
      </c>
      <c r="K51" s="403">
        <v>21100</v>
      </c>
      <c r="L51" s="435" t="s">
        <v>1112</v>
      </c>
      <c r="M51" s="99"/>
    </row>
    <row r="52" spans="1:13" x14ac:dyDescent="0.2">
      <c r="A52" s="472"/>
      <c r="B52" s="427" t="s">
        <v>493</v>
      </c>
      <c r="C52" s="427"/>
      <c r="D52" s="427"/>
      <c r="E52" s="98"/>
      <c r="F52" s="91"/>
      <c r="G52" s="91"/>
      <c r="I52" s="394"/>
      <c r="J52" s="395"/>
      <c r="K52" s="403">
        <v>20700</v>
      </c>
      <c r="L52" s="435" t="s">
        <v>883</v>
      </c>
      <c r="M52" s="99"/>
    </row>
    <row r="53" spans="1:13" x14ac:dyDescent="0.2">
      <c r="I53" s="394"/>
      <c r="J53" s="395"/>
      <c r="K53" s="403">
        <v>20100</v>
      </c>
      <c r="L53" s="435" t="s">
        <v>884</v>
      </c>
      <c r="M53" s="99"/>
    </row>
    <row r="54" spans="1:13" ht="13.5" thickBot="1" x14ac:dyDescent="0.25">
      <c r="F54" s="441"/>
      <c r="I54" s="394"/>
      <c r="J54" s="395"/>
      <c r="K54" s="403">
        <v>20200</v>
      </c>
      <c r="L54" s="435" t="s">
        <v>885</v>
      </c>
      <c r="M54" s="99"/>
    </row>
    <row r="55" spans="1:13" ht="13.5" thickBot="1" x14ac:dyDescent="0.25">
      <c r="A55" s="148" t="s">
        <v>578</v>
      </c>
      <c r="B55" s="149"/>
      <c r="C55" s="149"/>
      <c r="D55" s="149"/>
      <c r="E55" s="149"/>
      <c r="F55" s="509">
        <f>Rates!A1</f>
        <v>36759</v>
      </c>
      <c r="G55" s="388"/>
      <c r="H55" s="99"/>
      <c r="I55" s="394"/>
      <c r="J55" s="395"/>
      <c r="K55" s="403">
        <v>21000</v>
      </c>
      <c r="L55" s="435" t="s">
        <v>1111</v>
      </c>
      <c r="M55" s="99"/>
    </row>
    <row r="56" spans="1:13" x14ac:dyDescent="0.2">
      <c r="A56" s="145" t="s">
        <v>560</v>
      </c>
      <c r="B56" s="103">
        <f>+Rates!B6</f>
        <v>4.3650000000000002</v>
      </c>
      <c r="D56" s="104" t="s">
        <v>567</v>
      </c>
      <c r="E56" s="103">
        <f>Rates!T3</f>
        <v>4.4850000000000003</v>
      </c>
      <c r="F56" s="507" t="str">
        <f>Rates!A2</f>
        <v xml:space="preserve">Gas Daily </v>
      </c>
      <c r="I56" s="512"/>
      <c r="J56" s="513"/>
      <c r="K56" s="514"/>
      <c r="L56" s="515"/>
      <c r="M56" s="99"/>
    </row>
    <row r="57" spans="1:13" ht="13.5" thickBot="1" x14ac:dyDescent="0.25">
      <c r="A57" s="90" t="s">
        <v>561</v>
      </c>
      <c r="B57" s="146">
        <f>+Rates!B5</f>
        <v>4.4800000000000004</v>
      </c>
      <c r="C57" s="90"/>
      <c r="D57" s="93" t="s">
        <v>29</v>
      </c>
      <c r="E57" s="103">
        <f>Rates!T4</f>
        <v>4.5449999999999999</v>
      </c>
      <c r="F57" s="508" t="str">
        <f>Rates!B2</f>
        <v>+.13</v>
      </c>
      <c r="I57" s="396"/>
      <c r="J57" s="397"/>
      <c r="K57" s="454"/>
      <c r="L57" s="436"/>
      <c r="M57" s="99"/>
    </row>
    <row r="58" spans="1:13" x14ac:dyDescent="0.2">
      <c r="A58" s="90" t="s">
        <v>562</v>
      </c>
      <c r="B58" s="103">
        <f>Rates!B4</f>
        <v>4.7300000000000004</v>
      </c>
      <c r="C58" s="91"/>
      <c r="D58" s="144" t="s">
        <v>564</v>
      </c>
      <c r="E58" s="280">
        <f>+Rates!AF3</f>
        <v>4.4800000000000004</v>
      </c>
      <c r="I58" s="395"/>
      <c r="J58" s="395"/>
      <c r="K58" s="395"/>
      <c r="L58" s="395"/>
      <c r="M58" s="99"/>
    </row>
    <row r="59" spans="1:13" ht="13.5" thickBot="1" x14ac:dyDescent="0.25">
      <c r="A59" s="145" t="s">
        <v>563</v>
      </c>
      <c r="B59" s="103">
        <f>Rates!B3</f>
        <v>4.4850000000000003</v>
      </c>
      <c r="C59" s="91"/>
      <c r="D59" s="71" t="s">
        <v>573</v>
      </c>
      <c r="E59" s="103">
        <f>+Rates!H4</f>
        <v>4.4050000000000002</v>
      </c>
      <c r="I59" s="395"/>
      <c r="J59" s="395"/>
      <c r="K59" s="395"/>
      <c r="L59" s="395"/>
      <c r="M59" s="99"/>
    </row>
    <row r="60" spans="1:13" ht="14.25" thickTop="1" thickBot="1" x14ac:dyDescent="0.25">
      <c r="A60" s="145" t="s">
        <v>566</v>
      </c>
      <c r="B60" s="103">
        <f>Rates!B7</f>
        <v>4.7649999999999997</v>
      </c>
      <c r="C60" s="91"/>
      <c r="D60" s="104" t="s">
        <v>966</v>
      </c>
      <c r="E60" s="103">
        <f>+Rates!H5</f>
        <v>4.6399999999999997</v>
      </c>
      <c r="I60" s="457" t="s">
        <v>954</v>
      </c>
      <c r="J60" s="458" t="s">
        <v>965</v>
      </c>
      <c r="K60" s="461">
        <f>+Rates!AR35</f>
        <v>0.10633265306122426</v>
      </c>
      <c r="L60" s="459" t="s">
        <v>734</v>
      </c>
      <c r="M60" s="99"/>
    </row>
    <row r="61" spans="1:13" ht="13.5" thickTop="1" x14ac:dyDescent="0.2">
      <c r="A61" s="90" t="s">
        <v>96</v>
      </c>
      <c r="B61" s="103">
        <f>Rates!K5</f>
        <v>4.335</v>
      </c>
      <c r="D61" s="144" t="s">
        <v>565</v>
      </c>
      <c r="E61" s="103">
        <f>Rates!Z3</f>
        <v>4.7</v>
      </c>
      <c r="I61" s="395"/>
      <c r="J61" s="395"/>
      <c r="K61" s="395"/>
      <c r="L61" s="395"/>
      <c r="M61" s="99"/>
    </row>
    <row r="62" spans="1:13" x14ac:dyDescent="0.2">
      <c r="A62" s="90" t="s">
        <v>97</v>
      </c>
      <c r="B62" s="103">
        <f>Rates!K4</f>
        <v>4.43</v>
      </c>
      <c r="D62" s="144" t="s">
        <v>413</v>
      </c>
      <c r="E62" s="103">
        <f>Rates!W3</f>
        <v>4.6900000000000004</v>
      </c>
      <c r="I62" s="395"/>
      <c r="J62" s="395"/>
      <c r="K62" s="395"/>
      <c r="L62" s="395"/>
      <c r="M62" s="99"/>
    </row>
    <row r="63" spans="1:13" x14ac:dyDescent="0.2">
      <c r="A63" s="145" t="s">
        <v>94</v>
      </c>
      <c r="B63" s="103">
        <f>Rates!K3</f>
        <v>4.4400000000000004</v>
      </c>
      <c r="D63" s="104" t="s">
        <v>605</v>
      </c>
      <c r="E63" s="103">
        <f>Rates!AI3</f>
        <v>4.6100000000000003</v>
      </c>
      <c r="I63" s="395"/>
      <c r="J63" s="395"/>
      <c r="K63" s="395"/>
      <c r="L63" s="395"/>
      <c r="M63" s="99"/>
    </row>
    <row r="64" spans="1:13" x14ac:dyDescent="0.2">
      <c r="A64" s="145" t="s">
        <v>297</v>
      </c>
      <c r="B64" s="103">
        <f>Rates!K6</f>
        <v>4.5449999999999999</v>
      </c>
      <c r="E64" s="103"/>
      <c r="I64" s="395"/>
      <c r="J64" s="395"/>
      <c r="K64" s="395"/>
      <c r="L64" s="395"/>
      <c r="M64" s="99"/>
    </row>
    <row r="65" spans="1:13" x14ac:dyDescent="0.2">
      <c r="A65" s="145" t="s">
        <v>119</v>
      </c>
      <c r="B65" s="103">
        <f>Rates!K7</f>
        <v>4.7750000000000004</v>
      </c>
      <c r="D65" s="644" t="s">
        <v>1124</v>
      </c>
      <c r="E65" s="645">
        <f>Rates!D2</f>
        <v>4.5149999999999997</v>
      </c>
      <c r="I65" s="395"/>
      <c r="J65" s="395"/>
      <c r="K65" s="395"/>
      <c r="L65" s="395"/>
      <c r="M65" s="99"/>
    </row>
    <row r="66" spans="1:13" x14ac:dyDescent="0.2">
      <c r="I66" s="395"/>
      <c r="J66" s="395"/>
      <c r="K66" s="395"/>
      <c r="L66" s="395"/>
      <c r="M66" s="99"/>
    </row>
    <row r="67" spans="1:13" x14ac:dyDescent="0.2">
      <c r="I67" s="395"/>
      <c r="J67" s="395"/>
      <c r="K67" s="395"/>
      <c r="L67" s="395"/>
      <c r="M67" s="99"/>
    </row>
    <row r="68" spans="1:13" x14ac:dyDescent="0.2">
      <c r="I68" s="395"/>
      <c r="J68" s="395"/>
      <c r="K68" s="395"/>
      <c r="L68" s="395"/>
      <c r="M68" s="99"/>
    </row>
    <row r="69" spans="1:13" x14ac:dyDescent="0.2">
      <c r="I69" s="395"/>
      <c r="J69" s="395"/>
      <c r="K69" s="395"/>
      <c r="L69" s="395"/>
      <c r="M69" s="99"/>
    </row>
    <row r="70" spans="1:13" x14ac:dyDescent="0.2">
      <c r="I70" s="399"/>
      <c r="J70" s="99"/>
      <c r="K70" s="99"/>
      <c r="L70" s="99"/>
      <c r="M70" s="99"/>
    </row>
    <row r="71" spans="1:13" x14ac:dyDescent="0.2">
      <c r="I71" s="99"/>
      <c r="J71" s="399"/>
      <c r="K71" s="99"/>
      <c r="L71" s="399"/>
      <c r="M71" s="99"/>
    </row>
    <row r="72" spans="1:13" x14ac:dyDescent="0.2">
      <c r="I72" s="395"/>
      <c r="J72" s="395"/>
      <c r="K72" s="395"/>
      <c r="L72" s="395"/>
      <c r="M72" s="99"/>
    </row>
    <row r="73" spans="1:13" x14ac:dyDescent="0.2">
      <c r="I73" s="395"/>
      <c r="J73" s="395"/>
      <c r="K73" s="395"/>
      <c r="L73" s="395"/>
      <c r="M73" s="99"/>
    </row>
    <row r="74" spans="1:13" x14ac:dyDescent="0.2">
      <c r="I74" s="395"/>
      <c r="J74" s="395"/>
      <c r="K74" s="395"/>
      <c r="L74" s="395"/>
      <c r="M74" s="99"/>
    </row>
    <row r="75" spans="1:13" x14ac:dyDescent="0.2">
      <c r="I75" s="395"/>
      <c r="J75" s="395"/>
      <c r="K75" s="395"/>
      <c r="L75" s="395"/>
      <c r="M75" s="99"/>
    </row>
    <row r="76" spans="1:13" x14ac:dyDescent="0.2">
      <c r="I76" s="395"/>
      <c r="J76" s="395"/>
      <c r="K76" s="395"/>
      <c r="L76" s="395"/>
      <c r="M76" s="99"/>
    </row>
    <row r="77" spans="1:13" x14ac:dyDescent="0.2">
      <c r="I77" s="395"/>
      <c r="J77" s="395"/>
      <c r="K77" s="395"/>
      <c r="L77" s="395"/>
    </row>
    <row r="78" spans="1:13" x14ac:dyDescent="0.2">
      <c r="I78" s="395"/>
      <c r="J78" s="395"/>
      <c r="K78" s="395"/>
      <c r="L78" s="395"/>
    </row>
    <row r="79" spans="1:13" x14ac:dyDescent="0.2">
      <c r="I79" s="390"/>
      <c r="J79" s="390"/>
      <c r="K79" s="390"/>
      <c r="L79" s="390"/>
    </row>
    <row r="80" spans="1:13" x14ac:dyDescent="0.2">
      <c r="I80" s="390"/>
      <c r="J80" s="390"/>
      <c r="K80" s="390"/>
      <c r="L80" s="390"/>
    </row>
    <row r="81" spans="9:12" x14ac:dyDescent="0.2">
      <c r="I81" s="390"/>
      <c r="J81" s="390"/>
      <c r="K81" s="390"/>
      <c r="L81" s="390"/>
    </row>
    <row r="82" spans="9:12" x14ac:dyDescent="0.2">
      <c r="I82" s="390"/>
      <c r="J82" s="390"/>
      <c r="K82" s="390"/>
      <c r="L82" s="390"/>
    </row>
    <row r="83" spans="9:12" x14ac:dyDescent="0.2">
      <c r="I83" s="390"/>
      <c r="J83" s="390"/>
      <c r="K83" s="390"/>
      <c r="L83" s="390"/>
    </row>
  </sheetData>
  <pageMargins left="0.75" right="0.75" top="1" bottom="1" header="0.5" footer="0.5"/>
  <pageSetup scale="75" orientation="portrait" r:id="rId1"/>
  <headerFooter alignWithMargins="0">
    <oddHeader xml:space="preserve">&amp;C&amp;14August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tabSelected="1" workbookViewId="0">
      <pane ySplit="7" topLeftCell="A47" activePane="bottomLeft" state="frozen"/>
      <selection activeCell="G38" sqref="G38"/>
      <selection pane="bottomLeft" activeCell="B4" sqref="B4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181" customWidth="1"/>
    <col min="9" max="9" width="2.85546875" style="34" customWidth="1"/>
    <col min="10" max="11" width="10.85546875" style="181" customWidth="1"/>
    <col min="12" max="12" width="2.85546875" style="34" customWidth="1"/>
    <col min="13" max="14" width="10.85546875" style="181" customWidth="1"/>
    <col min="15" max="15" width="2.85546875" style="34" customWidth="1"/>
    <col min="16" max="17" width="10.85546875" style="295" customWidth="1"/>
    <col min="18" max="18" width="2.85546875" style="295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6" width="10.85546875" style="34" customWidth="1"/>
    <col min="27" max="27" width="3.42578125" style="34" customWidth="1"/>
    <col min="28" max="28" width="9.28515625" style="181" bestFit="1" customWidth="1"/>
    <col min="29" max="29" width="9.140625" style="181"/>
    <col min="30" max="30" width="3.42578125" style="34" customWidth="1"/>
    <col min="31" max="32" width="9.140625" style="189"/>
    <col min="33" max="33" width="3.42578125" style="34" customWidth="1"/>
    <col min="34" max="35" width="9.140625" style="34"/>
    <col min="36" max="36" width="3.42578125" style="34" customWidth="1"/>
    <col min="37" max="38" width="9.140625" style="34"/>
    <col min="39" max="39" width="3.42578125" style="34" customWidth="1"/>
    <col min="40" max="41" width="9.140625" style="34"/>
    <col min="42" max="42" width="3.42578125" style="34" customWidth="1"/>
    <col min="43" max="16384" width="9.140625" style="34"/>
  </cols>
  <sheetData>
    <row r="1" spans="1:47" ht="13.5" thickBot="1" x14ac:dyDescent="0.25">
      <c r="A1" s="377">
        <v>36759</v>
      </c>
      <c r="D1" s="646" t="s">
        <v>1124</v>
      </c>
      <c r="AK1" s="34" t="s">
        <v>559</v>
      </c>
    </row>
    <row r="2" spans="1:47" ht="13.5" thickTop="1" x14ac:dyDescent="0.2">
      <c r="A2" s="106" t="s">
        <v>113</v>
      </c>
      <c r="B2" s="369" t="s">
        <v>1125</v>
      </c>
      <c r="C2" s="106"/>
      <c r="D2" s="647">
        <v>4.5149999999999997</v>
      </c>
      <c r="E2" s="273" t="s">
        <v>114</v>
      </c>
      <c r="F2" s="106"/>
      <c r="G2" s="214" t="s">
        <v>47</v>
      </c>
      <c r="H2" s="238"/>
      <c r="I2" s="106"/>
      <c r="J2" s="215" t="s">
        <v>1002</v>
      </c>
      <c r="K2" s="216">
        <v>4.42</v>
      </c>
      <c r="L2" s="106"/>
      <c r="M2" s="214"/>
      <c r="N2" s="273" t="s">
        <v>114</v>
      </c>
      <c r="O2" s="106"/>
      <c r="P2" s="296"/>
      <c r="Q2" s="297"/>
      <c r="R2" s="296"/>
      <c r="S2" s="106"/>
      <c r="T2" s="153"/>
      <c r="U2" s="106"/>
      <c r="V2" s="106"/>
      <c r="W2" s="153"/>
      <c r="X2" s="106" t="s">
        <v>47</v>
      </c>
      <c r="Y2" s="106" t="s">
        <v>47</v>
      </c>
      <c r="Z2" s="106" t="s">
        <v>47</v>
      </c>
      <c r="AH2" s="568" t="s">
        <v>142</v>
      </c>
      <c r="AL2" s="271" t="s">
        <v>443</v>
      </c>
      <c r="AO2" s="271" t="s">
        <v>443</v>
      </c>
    </row>
    <row r="3" spans="1:47" x14ac:dyDescent="0.2">
      <c r="A3" s="107" t="s">
        <v>115</v>
      </c>
      <c r="B3" s="183">
        <v>4.4850000000000003</v>
      </c>
      <c r="C3" s="106"/>
      <c r="D3" s="107" t="s">
        <v>115</v>
      </c>
      <c r="E3" s="274">
        <f>+B3</f>
        <v>4.4850000000000003</v>
      </c>
      <c r="F3" s="106"/>
      <c r="G3" s="217" t="s">
        <v>116</v>
      </c>
      <c r="H3" s="389">
        <v>4.38</v>
      </c>
      <c r="I3" s="106"/>
      <c r="J3" s="215" t="s">
        <v>77</v>
      </c>
      <c r="K3" s="216">
        <v>4.4400000000000004</v>
      </c>
      <c r="L3" s="106"/>
      <c r="M3" s="215" t="s">
        <v>77</v>
      </c>
      <c r="N3" s="274">
        <f>+K3</f>
        <v>4.4400000000000004</v>
      </c>
      <c r="O3" s="106"/>
      <c r="P3" s="298" t="s">
        <v>649</v>
      </c>
      <c r="Q3" s="299">
        <v>4.4950000000000001</v>
      </c>
      <c r="R3" s="296" t="s">
        <v>47</v>
      </c>
      <c r="S3" s="107" t="s">
        <v>117</v>
      </c>
      <c r="T3" s="154">
        <v>4.4850000000000003</v>
      </c>
      <c r="U3" s="106" t="s">
        <v>47</v>
      </c>
      <c r="V3" s="107" t="s">
        <v>413</v>
      </c>
      <c r="W3" s="154">
        <v>4.6900000000000004</v>
      </c>
      <c r="X3" s="106"/>
      <c r="Y3" s="107" t="s">
        <v>118</v>
      </c>
      <c r="Z3" s="155">
        <v>4.7</v>
      </c>
      <c r="AB3" s="215" t="s">
        <v>119</v>
      </c>
      <c r="AC3" s="437">
        <f>K7</f>
        <v>4.7750000000000004</v>
      </c>
      <c r="AE3" s="267" t="s">
        <v>357</v>
      </c>
      <c r="AF3" s="381">
        <v>4.4800000000000004</v>
      </c>
      <c r="AH3" s="107" t="s">
        <v>355</v>
      </c>
      <c r="AI3" s="154">
        <v>4.6100000000000003</v>
      </c>
      <c r="AK3" s="107" t="s">
        <v>140</v>
      </c>
      <c r="AL3" s="279">
        <f>+Z3</f>
        <v>4.7</v>
      </c>
      <c r="AN3" s="107" t="s">
        <v>441</v>
      </c>
      <c r="AO3" s="279">
        <f>+H3</f>
        <v>4.38</v>
      </c>
      <c r="AQ3" s="107" t="s">
        <v>954</v>
      </c>
      <c r="AR3" s="299">
        <f>H5+0.095</f>
        <v>4.7349999999999994</v>
      </c>
    </row>
    <row r="4" spans="1:47" x14ac:dyDescent="0.2">
      <c r="A4" s="107" t="s">
        <v>120</v>
      </c>
      <c r="B4" s="184">
        <v>4.7300000000000004</v>
      </c>
      <c r="C4" s="90"/>
      <c r="D4" s="107" t="s">
        <v>120</v>
      </c>
      <c r="E4" s="274">
        <f>+B4</f>
        <v>4.7300000000000004</v>
      </c>
      <c r="F4" s="90"/>
      <c r="G4" s="217" t="s">
        <v>121</v>
      </c>
      <c r="H4" s="239">
        <v>4.4050000000000002</v>
      </c>
      <c r="I4" s="106"/>
      <c r="J4" s="215" t="s">
        <v>78</v>
      </c>
      <c r="K4" s="216">
        <v>4.43</v>
      </c>
      <c r="L4" s="106"/>
      <c r="M4" s="215" t="s">
        <v>78</v>
      </c>
      <c r="N4" s="274">
        <f>+K4</f>
        <v>4.43</v>
      </c>
      <c r="O4" s="106"/>
      <c r="P4" s="298"/>
      <c r="Q4" s="299"/>
      <c r="R4" s="296"/>
      <c r="S4" s="107" t="s">
        <v>122</v>
      </c>
      <c r="T4" s="154">
        <v>4.5449999999999999</v>
      </c>
      <c r="U4" s="106"/>
      <c r="V4" s="107"/>
      <c r="W4" s="154">
        <f>+W17+W3</f>
        <v>4.8174166107794232</v>
      </c>
      <c r="X4" s="106"/>
      <c r="Y4" s="106"/>
      <c r="Z4" s="106"/>
      <c r="AB4" s="269" t="s">
        <v>359</v>
      </c>
      <c r="AE4" s="267" t="s">
        <v>358</v>
      </c>
      <c r="AQ4" s="34" t="s">
        <v>76</v>
      </c>
    </row>
    <row r="5" spans="1:47" x14ac:dyDescent="0.2">
      <c r="A5" s="107" t="s">
        <v>123</v>
      </c>
      <c r="B5" s="185">
        <v>4.4800000000000004</v>
      </c>
      <c r="C5" s="91"/>
      <c r="D5" s="107" t="s">
        <v>123</v>
      </c>
      <c r="E5" s="274">
        <v>3.9</v>
      </c>
      <c r="F5" s="91"/>
      <c r="G5" s="217" t="s">
        <v>76</v>
      </c>
      <c r="H5" s="240">
        <v>4.6399999999999997</v>
      </c>
      <c r="I5" s="106"/>
      <c r="J5" s="215" t="s">
        <v>124</v>
      </c>
      <c r="K5" s="582">
        <v>4.335</v>
      </c>
      <c r="L5" s="106"/>
      <c r="M5" s="215" t="s">
        <v>124</v>
      </c>
      <c r="N5" s="274">
        <f>+K5</f>
        <v>4.335</v>
      </c>
      <c r="O5" s="106"/>
      <c r="P5" s="298"/>
      <c r="Q5" s="297"/>
      <c r="R5" s="296"/>
      <c r="S5" s="107"/>
      <c r="T5" s="153"/>
      <c r="U5" s="106"/>
      <c r="V5" s="107"/>
      <c r="W5" s="153"/>
      <c r="X5" s="106"/>
      <c r="Y5" s="106"/>
      <c r="Z5" s="156"/>
    </row>
    <row r="6" spans="1:47" s="99" customFormat="1" x14ac:dyDescent="0.2">
      <c r="A6" s="125" t="s">
        <v>125</v>
      </c>
      <c r="B6" s="185">
        <v>4.3650000000000002</v>
      </c>
      <c r="C6" s="91"/>
      <c r="D6" s="125" t="s">
        <v>125</v>
      </c>
      <c r="E6" s="274">
        <f>+B6</f>
        <v>4.3650000000000002</v>
      </c>
      <c r="F6" s="91"/>
      <c r="G6" s="241"/>
      <c r="H6" s="241"/>
      <c r="I6" s="141"/>
      <c r="J6" s="217" t="s">
        <v>126</v>
      </c>
      <c r="K6" s="218">
        <v>4.5449999999999999</v>
      </c>
      <c r="L6" s="141"/>
      <c r="M6" s="217" t="s">
        <v>126</v>
      </c>
      <c r="N6" s="274">
        <f>+K6</f>
        <v>4.5449999999999999</v>
      </c>
      <c r="O6" s="141"/>
      <c r="P6" s="300"/>
      <c r="Q6" s="301"/>
      <c r="R6" s="302"/>
      <c r="S6" s="125"/>
      <c r="T6" s="157">
        <f>+T4-T3</f>
        <v>5.9999999999999609E-2</v>
      </c>
      <c r="U6" s="141"/>
      <c r="V6" s="125"/>
      <c r="W6" s="157"/>
      <c r="X6" s="141"/>
      <c r="Y6" s="141"/>
      <c r="Z6" s="158"/>
      <c r="AB6" s="241"/>
      <c r="AC6" s="241"/>
      <c r="AE6" s="253"/>
      <c r="AF6" s="253"/>
    </row>
    <row r="7" spans="1:47" s="161" customFormat="1" x14ac:dyDescent="0.2">
      <c r="A7" s="142" t="s">
        <v>522</v>
      </c>
      <c r="B7" s="185">
        <v>4.7649999999999997</v>
      </c>
      <c r="C7" s="91"/>
      <c r="D7" s="142" t="s">
        <v>522</v>
      </c>
      <c r="E7" s="274">
        <f>+B7</f>
        <v>4.7649999999999997</v>
      </c>
      <c r="F7" s="91"/>
      <c r="G7" s="242"/>
      <c r="H7" s="242"/>
      <c r="I7" s="143"/>
      <c r="J7" s="219" t="s">
        <v>119</v>
      </c>
      <c r="K7" s="281">
        <v>4.7750000000000004</v>
      </c>
      <c r="L7" s="143"/>
      <c r="M7" s="219" t="s">
        <v>119</v>
      </c>
      <c r="N7" s="274">
        <f>+K7</f>
        <v>4.7750000000000004</v>
      </c>
      <c r="O7" s="143"/>
      <c r="P7" s="303"/>
      <c r="Q7" s="304"/>
      <c r="R7" s="305"/>
      <c r="S7" s="142"/>
      <c r="T7" s="159"/>
      <c r="U7" s="143"/>
      <c r="V7" s="142"/>
      <c r="W7" s="159"/>
      <c r="X7" s="143"/>
      <c r="Y7" s="143"/>
      <c r="Z7" s="160"/>
      <c r="AB7" s="270"/>
      <c r="AC7" s="270"/>
      <c r="AE7" s="268"/>
      <c r="AF7" s="268"/>
    </row>
    <row r="8" spans="1:47" x14ac:dyDescent="0.2">
      <c r="A8" s="107" t="s">
        <v>127</v>
      </c>
      <c r="B8" s="105"/>
      <c r="C8" s="91"/>
      <c r="D8" s="91"/>
      <c r="E8" s="91"/>
      <c r="F8" s="91"/>
      <c r="G8" s="265" t="s">
        <v>585</v>
      </c>
      <c r="H8" s="254"/>
      <c r="I8" s="162"/>
      <c r="J8" s="194" t="s">
        <v>570</v>
      </c>
      <c r="K8" s="195"/>
      <c r="L8" s="106"/>
      <c r="M8" s="217" t="s">
        <v>584</v>
      </c>
      <c r="N8" s="218"/>
      <c r="O8" s="106"/>
      <c r="P8" s="298"/>
      <c r="Q8" s="297"/>
      <c r="R8" s="296"/>
      <c r="S8" s="162" t="s">
        <v>915</v>
      </c>
      <c r="T8" s="153"/>
      <c r="U8" s="106"/>
      <c r="V8" s="107" t="s">
        <v>338</v>
      </c>
      <c r="W8" s="153"/>
      <c r="X8" s="106"/>
      <c r="Y8" s="107" t="s">
        <v>348</v>
      </c>
      <c r="Z8" s="106"/>
      <c r="AB8" s="181" t="s">
        <v>270</v>
      </c>
      <c r="AE8" s="189" t="s">
        <v>356</v>
      </c>
      <c r="AH8" s="34" t="s">
        <v>129</v>
      </c>
      <c r="AK8" s="34" t="s">
        <v>323</v>
      </c>
      <c r="AQ8" s="34" t="s">
        <v>955</v>
      </c>
    </row>
    <row r="9" spans="1:47" x14ac:dyDescent="0.2">
      <c r="A9" s="125" t="s">
        <v>130</v>
      </c>
      <c r="B9" s="91"/>
      <c r="C9" s="91"/>
      <c r="D9" s="91"/>
      <c r="E9" s="91"/>
      <c r="F9" s="91"/>
      <c r="G9" s="254" t="s">
        <v>128</v>
      </c>
      <c r="H9" s="254"/>
      <c r="I9" s="163"/>
      <c r="J9" s="198" t="s">
        <v>332</v>
      </c>
      <c r="K9" s="195"/>
      <c r="L9" s="106"/>
      <c r="M9" s="220" t="s">
        <v>631</v>
      </c>
      <c r="N9" s="218"/>
      <c r="O9" s="106"/>
      <c r="P9" s="440" t="s">
        <v>908</v>
      </c>
      <c r="Q9" s="301"/>
      <c r="R9" s="302"/>
      <c r="S9" s="125" t="s">
        <v>391</v>
      </c>
      <c r="T9" s="157"/>
      <c r="U9" s="141"/>
      <c r="V9" s="125" t="s">
        <v>255</v>
      </c>
      <c r="W9" s="157"/>
      <c r="X9" s="106"/>
      <c r="Y9" s="107" t="s">
        <v>255</v>
      </c>
      <c r="Z9" s="106"/>
      <c r="AB9" s="181" t="s">
        <v>590</v>
      </c>
      <c r="AE9" s="189" t="s">
        <v>360</v>
      </c>
      <c r="AH9" s="34" t="s">
        <v>131</v>
      </c>
      <c r="AK9" s="34" t="s">
        <v>324</v>
      </c>
      <c r="AQ9" s="34" t="s">
        <v>963</v>
      </c>
    </row>
    <row r="10" spans="1:47" x14ac:dyDescent="0.2">
      <c r="A10" s="125"/>
      <c r="B10" s="91"/>
      <c r="C10" s="91"/>
      <c r="D10" s="91"/>
      <c r="E10" s="91"/>
      <c r="F10" s="91"/>
      <c r="G10" s="254" t="s">
        <v>362</v>
      </c>
      <c r="H10" s="254"/>
      <c r="I10" s="163"/>
      <c r="J10" s="199" t="s">
        <v>361</v>
      </c>
      <c r="K10" s="195"/>
      <c r="L10" s="106"/>
      <c r="M10" s="221" t="s">
        <v>361</v>
      </c>
      <c r="N10" s="218"/>
      <c r="O10" s="106"/>
      <c r="P10" s="440" t="s">
        <v>910</v>
      </c>
      <c r="Q10" s="301"/>
      <c r="R10" s="302"/>
      <c r="S10" s="125" t="s">
        <v>390</v>
      </c>
      <c r="T10" s="157"/>
      <c r="U10" s="141"/>
      <c r="V10" s="125" t="s">
        <v>392</v>
      </c>
      <c r="W10" s="157"/>
      <c r="X10" s="106"/>
      <c r="Y10" s="215" t="s">
        <v>735</v>
      </c>
      <c r="Z10" s="107"/>
      <c r="AB10" s="181" t="s">
        <v>595</v>
      </c>
      <c r="AE10" s="189" t="s">
        <v>353</v>
      </c>
      <c r="AH10" s="34" t="s">
        <v>869</v>
      </c>
      <c r="AK10" s="164">
        <v>36526</v>
      </c>
      <c r="AN10" s="164"/>
      <c r="AQ10" s="34" t="s">
        <v>956</v>
      </c>
    </row>
    <row r="11" spans="1:47" x14ac:dyDescent="0.2">
      <c r="A11" s="125"/>
      <c r="B11" s="71"/>
      <c r="C11" s="71"/>
      <c r="D11" s="71"/>
      <c r="E11" s="71"/>
      <c r="F11" s="71"/>
      <c r="G11" s="198" t="s">
        <v>587</v>
      </c>
      <c r="H11" s="254"/>
      <c r="I11" s="163"/>
      <c r="J11" s="221" t="s">
        <v>745</v>
      </c>
      <c r="K11" s="218"/>
      <c r="L11" s="106"/>
      <c r="M11" s="221" t="s">
        <v>739</v>
      </c>
      <c r="N11" s="218"/>
      <c r="O11" s="106"/>
      <c r="P11" s="440" t="s">
        <v>909</v>
      </c>
      <c r="Q11" s="301"/>
      <c r="R11" s="302"/>
      <c r="S11" s="125"/>
      <c r="T11" s="157"/>
      <c r="U11" s="141"/>
      <c r="V11" s="217" t="s">
        <v>393</v>
      </c>
      <c r="W11" s="157"/>
      <c r="X11" s="106"/>
      <c r="Y11" s="107"/>
      <c r="Z11" s="107"/>
      <c r="AB11" s="181" t="s">
        <v>594</v>
      </c>
      <c r="AE11" s="189" t="s">
        <v>354</v>
      </c>
      <c r="AK11" s="164"/>
      <c r="AN11" s="164"/>
      <c r="AQ11" s="34" t="s">
        <v>964</v>
      </c>
    </row>
    <row r="12" spans="1:47" x14ac:dyDescent="0.2">
      <c r="A12" s="217" t="s">
        <v>777</v>
      </c>
      <c r="B12" s="375"/>
      <c r="C12" s="106"/>
      <c r="D12" s="215" t="s">
        <v>777</v>
      </c>
      <c r="E12" s="376"/>
      <c r="F12" s="123"/>
      <c r="G12" s="438" t="s">
        <v>907</v>
      </c>
      <c r="H12" s="255"/>
      <c r="I12" s="106"/>
      <c r="J12" s="221" t="s">
        <v>761</v>
      </c>
      <c r="K12" s="216"/>
      <c r="L12" s="106"/>
      <c r="M12" s="215" t="s">
        <v>408</v>
      </c>
      <c r="N12" s="216"/>
      <c r="O12" s="106"/>
      <c r="P12" s="300" t="s">
        <v>657</v>
      </c>
      <c r="Q12" s="297"/>
      <c r="R12" s="296"/>
      <c r="S12" s="107"/>
      <c r="T12" s="153"/>
      <c r="U12" s="106"/>
      <c r="V12" s="107"/>
      <c r="W12" s="153"/>
      <c r="X12" s="106"/>
      <c r="Y12" s="107"/>
      <c r="Z12" s="107"/>
      <c r="AE12" s="181" t="s">
        <v>773</v>
      </c>
      <c r="AK12" s="164" t="s">
        <v>557</v>
      </c>
      <c r="AN12" s="164"/>
      <c r="AQ12" s="164">
        <v>36526</v>
      </c>
      <c r="AT12" s="34" t="s">
        <v>239</v>
      </c>
      <c r="AU12" s="165">
        <v>2.0249999999999999</v>
      </c>
    </row>
    <row r="13" spans="1:47" x14ac:dyDescent="0.2">
      <c r="A13" s="108" t="s">
        <v>22</v>
      </c>
      <c r="B13" s="109" t="s">
        <v>132</v>
      </c>
      <c r="C13" s="110"/>
      <c r="D13" s="34" t="s">
        <v>22</v>
      </c>
      <c r="E13" s="34" t="s">
        <v>133</v>
      </c>
      <c r="F13" s="113"/>
      <c r="G13" s="256" t="s">
        <v>36</v>
      </c>
      <c r="H13" s="257" t="s">
        <v>888</v>
      </c>
      <c r="I13" s="123"/>
      <c r="J13" s="200" t="s">
        <v>135</v>
      </c>
      <c r="K13" s="201" t="s">
        <v>136</v>
      </c>
      <c r="L13" s="123"/>
      <c r="M13" s="222" t="s">
        <v>135</v>
      </c>
      <c r="N13" s="223" t="s">
        <v>175</v>
      </c>
      <c r="O13" s="123"/>
      <c r="P13" s="306" t="s">
        <v>648</v>
      </c>
      <c r="Q13" s="307" t="s">
        <v>650</v>
      </c>
      <c r="R13" s="308"/>
      <c r="S13" s="108" t="s">
        <v>137</v>
      </c>
      <c r="T13" s="166" t="s">
        <v>382</v>
      </c>
      <c r="U13" s="110"/>
      <c r="V13" s="108" t="s">
        <v>138</v>
      </c>
      <c r="W13" s="166" t="s">
        <v>139</v>
      </c>
      <c r="X13" s="110"/>
      <c r="Y13" s="108" t="s">
        <v>140</v>
      </c>
      <c r="Z13" s="166" t="s">
        <v>349</v>
      </c>
      <c r="AB13" s="244" t="s">
        <v>144</v>
      </c>
      <c r="AC13" s="245" t="s">
        <v>145</v>
      </c>
      <c r="AE13" s="189" t="s">
        <v>141</v>
      </c>
      <c r="AH13" s="108" t="s">
        <v>142</v>
      </c>
      <c r="AI13" s="166" t="s">
        <v>143</v>
      </c>
      <c r="AK13" s="108" t="s">
        <v>325</v>
      </c>
      <c r="AL13" s="166" t="s">
        <v>326</v>
      </c>
      <c r="AN13" s="108" t="s">
        <v>442</v>
      </c>
      <c r="AO13" s="166" t="s">
        <v>408</v>
      </c>
      <c r="AQ13" s="108" t="s">
        <v>957</v>
      </c>
      <c r="AR13" s="166" t="s">
        <v>958</v>
      </c>
      <c r="AT13" s="89" t="s">
        <v>434</v>
      </c>
      <c r="AU13" s="165"/>
    </row>
    <row r="14" spans="1:47" x14ac:dyDescent="0.2">
      <c r="A14" s="111" t="s">
        <v>146</v>
      </c>
      <c r="B14" s="112">
        <v>2.3999999999999998E-3</v>
      </c>
      <c r="C14" s="113"/>
      <c r="D14" s="111" t="s">
        <v>336</v>
      </c>
      <c r="E14" s="122">
        <v>6.5299999999999997E-2</v>
      </c>
      <c r="F14" s="113"/>
      <c r="G14" s="258" t="s">
        <v>146</v>
      </c>
      <c r="H14" s="203">
        <v>4.3900000000000002E-2</v>
      </c>
      <c r="I14" s="113"/>
      <c r="J14" s="202" t="s">
        <v>146</v>
      </c>
      <c r="K14" s="203">
        <v>1.78E-2</v>
      </c>
      <c r="L14" s="113"/>
      <c r="M14" s="224" t="s">
        <v>146</v>
      </c>
      <c r="N14" s="225">
        <v>0.56030000000000002</v>
      </c>
      <c r="O14" s="113"/>
      <c r="P14" s="309" t="s">
        <v>146</v>
      </c>
      <c r="Q14" s="310">
        <v>6.0000000000000001E-3</v>
      </c>
      <c r="R14" s="311"/>
      <c r="S14" s="111" t="s">
        <v>146</v>
      </c>
      <c r="T14" s="442">
        <v>2.0000000000000001E-4</v>
      </c>
      <c r="U14" s="113"/>
      <c r="V14" s="111" t="s">
        <v>146</v>
      </c>
      <c r="W14" s="442">
        <v>1.3299999999999999E-2</v>
      </c>
      <c r="X14" s="113"/>
      <c r="Y14" s="111" t="s">
        <v>146</v>
      </c>
      <c r="Z14" s="442">
        <v>4.3999999999999997E-2</v>
      </c>
      <c r="AB14" s="246" t="s">
        <v>146</v>
      </c>
      <c r="AC14" s="225">
        <v>1.12E-2</v>
      </c>
      <c r="AE14" s="258" t="s">
        <v>146</v>
      </c>
      <c r="AF14" s="203">
        <f>0.005+0.002</f>
        <v>7.0000000000000001E-3</v>
      </c>
      <c r="AH14" s="111" t="s">
        <v>146</v>
      </c>
      <c r="AI14" s="112">
        <v>3.0000000000000001E-3</v>
      </c>
      <c r="AK14" s="111" t="s">
        <v>146</v>
      </c>
      <c r="AL14" s="112">
        <v>0.2127</v>
      </c>
      <c r="AN14" s="111" t="s">
        <v>146</v>
      </c>
      <c r="AO14" s="112">
        <v>1.7000000000000001E-2</v>
      </c>
      <c r="AQ14" s="111" t="s">
        <v>146</v>
      </c>
      <c r="AR14" s="112">
        <v>6.4000000000000003E-3</v>
      </c>
      <c r="AT14" s="34" t="s">
        <v>336</v>
      </c>
      <c r="AU14" s="165">
        <v>0.01</v>
      </c>
    </row>
    <row r="15" spans="1:47" x14ac:dyDescent="0.2">
      <c r="A15" s="111" t="s">
        <v>60</v>
      </c>
      <c r="B15" s="112">
        <f>0.0022+0.0072+0.0097</f>
        <v>1.9099999999999999E-2</v>
      </c>
      <c r="C15" s="113"/>
      <c r="D15" s="111" t="s">
        <v>60</v>
      </c>
      <c r="E15" s="122">
        <f>0.0072+0.0022+0.0097</f>
        <v>1.9099999999999999E-2</v>
      </c>
      <c r="F15" s="115"/>
      <c r="G15" s="258" t="s">
        <v>60</v>
      </c>
      <c r="H15" s="203">
        <f>0.0022+0.0072+0.0225</f>
        <v>3.1899999999999998E-2</v>
      </c>
      <c r="I15" s="113"/>
      <c r="J15" s="202" t="s">
        <v>60</v>
      </c>
      <c r="K15" s="203">
        <f>0.0022+0.0072</f>
        <v>9.4000000000000004E-3</v>
      </c>
      <c r="L15" s="113"/>
      <c r="M15" s="224" t="s">
        <v>60</v>
      </c>
      <c r="N15" s="225">
        <f>0.0022+0.0072</f>
        <v>9.4000000000000004E-3</v>
      </c>
      <c r="O15" s="113"/>
      <c r="P15" s="309" t="s">
        <v>60</v>
      </c>
      <c r="Q15" s="310">
        <f>0.0022+0.0072</f>
        <v>9.4000000000000004E-3</v>
      </c>
      <c r="R15" s="311"/>
      <c r="S15" s="111" t="s">
        <v>60</v>
      </c>
      <c r="T15" s="442">
        <v>2.2000000000000001E-3</v>
      </c>
      <c r="U15" s="113"/>
      <c r="V15" s="111" t="s">
        <v>60</v>
      </c>
      <c r="W15" s="442">
        <f>0.0022+0.0072</f>
        <v>9.4000000000000004E-3</v>
      </c>
      <c r="X15" s="113"/>
      <c r="Y15" s="111" t="s">
        <v>60</v>
      </c>
      <c r="Z15" s="112">
        <v>2.2000000000000001E-3</v>
      </c>
      <c r="AB15" s="246" t="s">
        <v>60</v>
      </c>
      <c r="AC15" s="225">
        <f>0.0022+0.0072</f>
        <v>9.4000000000000004E-3</v>
      </c>
      <c r="AE15" s="258" t="s">
        <v>60</v>
      </c>
      <c r="AF15" s="203">
        <f>0.0022+0.0072</f>
        <v>9.4000000000000004E-3</v>
      </c>
      <c r="AH15" s="111" t="s">
        <v>60</v>
      </c>
      <c r="AI15" s="112">
        <f>0.0022+0.0072+0.0007</f>
        <v>1.01E-2</v>
      </c>
      <c r="AK15" s="111" t="s">
        <v>60</v>
      </c>
      <c r="AL15" s="112">
        <f>0.0022+0.0072</f>
        <v>9.4000000000000004E-3</v>
      </c>
      <c r="AN15" s="111" t="s">
        <v>60</v>
      </c>
      <c r="AO15" s="112">
        <v>0</v>
      </c>
      <c r="AQ15" s="111" t="s">
        <v>60</v>
      </c>
      <c r="AR15" s="112">
        <f>0.0072+0.0022</f>
        <v>9.4000000000000004E-3</v>
      </c>
      <c r="AT15" s="34" t="s">
        <v>435</v>
      </c>
      <c r="AU15" s="165">
        <v>2.2000000000000001E-3</v>
      </c>
    </row>
    <row r="16" spans="1:47" x14ac:dyDescent="0.2">
      <c r="A16" s="111" t="s">
        <v>387</v>
      </c>
      <c r="B16" s="114">
        <f>B6/(1-0.0035)-B6</f>
        <v>1.533115905669824E-2</v>
      </c>
      <c r="C16" s="115"/>
      <c r="D16" s="111" t="s">
        <v>387</v>
      </c>
      <c r="E16" s="114">
        <f>(E6)/(1-0.0035)-E6</f>
        <v>1.533115905669824E-2</v>
      </c>
      <c r="F16" s="118"/>
      <c r="G16" s="258" t="s">
        <v>363</v>
      </c>
      <c r="H16" s="259">
        <f>(H3)/(1-0.0084)-H3</f>
        <v>3.7103670835014313E-2</v>
      </c>
      <c r="I16" s="115"/>
      <c r="J16" s="202" t="s">
        <v>746</v>
      </c>
      <c r="K16" s="204">
        <f>(K5)/(1-0.0242)-K5</f>
        <v>0.1075087108013939</v>
      </c>
      <c r="L16" s="115"/>
      <c r="M16" s="224" t="s">
        <v>749</v>
      </c>
      <c r="N16" s="226">
        <f>(N5)/(1-0.0704)-N5</f>
        <v>0.32829604130808931</v>
      </c>
      <c r="O16" s="115"/>
      <c r="P16" s="309" t="s">
        <v>654</v>
      </c>
      <c r="Q16" s="312">
        <f>+Q$3/(1-0.015)-Q$3</f>
        <v>6.8451776649745888E-2</v>
      </c>
      <c r="R16" s="313"/>
      <c r="S16" s="111" t="s">
        <v>984</v>
      </c>
      <c r="T16" s="114">
        <f>(+T3-0.108)/(1-0.00489)-(T3-0.108)</f>
        <v>2.15087075800664E-2</v>
      </c>
      <c r="U16" s="115"/>
      <c r="V16" s="443">
        <v>2.1839999999999998E-2</v>
      </c>
      <c r="W16" s="114">
        <f>+W3/(1-0.02184)-W3</f>
        <v>0.1047166107794224</v>
      </c>
      <c r="X16" s="115"/>
      <c r="Y16" s="444" t="s">
        <v>147</v>
      </c>
      <c r="Z16" s="114">
        <f>Z3/(1-0.0228)-Z3</f>
        <v>0.10966025378632871</v>
      </c>
      <c r="AB16" s="443">
        <v>5.7999999999999996E-3</v>
      </c>
      <c r="AC16" s="226">
        <f>+AC3/(1-AB16)-AC3</f>
        <v>2.7856568094950518E-2</v>
      </c>
      <c r="AE16" s="258" t="s">
        <v>591</v>
      </c>
      <c r="AF16" s="204">
        <f>+AF3/(1-0.0022)-AF3</f>
        <v>9.8777310082178715E-3</v>
      </c>
      <c r="AH16" s="443">
        <v>2E-3</v>
      </c>
      <c r="AI16" s="114">
        <f>+AI3/(1-0.002)-AI3</f>
        <v>9.2384769539082257E-3</v>
      </c>
      <c r="AK16" s="111" t="s">
        <v>558</v>
      </c>
      <c r="AL16" s="114">
        <f>+AL3/(1-0.03)-AL3</f>
        <v>0.14536082474226841</v>
      </c>
      <c r="AN16" s="111" t="s">
        <v>210</v>
      </c>
      <c r="AO16" s="114">
        <f>+AO3/(1-0)-AO3</f>
        <v>0</v>
      </c>
      <c r="AQ16" s="111" t="s">
        <v>962</v>
      </c>
      <c r="AR16" s="114">
        <f>+AR3/(1-0.02)-AR3</f>
        <v>9.6632653061224261E-2</v>
      </c>
      <c r="AT16" s="34" t="s">
        <v>436</v>
      </c>
      <c r="AU16" s="165">
        <v>0</v>
      </c>
    </row>
    <row r="17" spans="1:49" x14ac:dyDescent="0.2">
      <c r="A17" s="116"/>
      <c r="B17" s="117">
        <f>SUM(B14:B16)</f>
        <v>3.6831159056698239E-2</v>
      </c>
      <c r="C17" s="118"/>
      <c r="D17" s="111"/>
      <c r="E17" s="117">
        <f>SUM(E14:E16)</f>
        <v>9.9731159056698243E-2</v>
      </c>
      <c r="F17" s="123"/>
      <c r="G17" s="260"/>
      <c r="H17" s="205">
        <f>SUM(H14:H16)</f>
        <v>0.11290367083501432</v>
      </c>
      <c r="I17" s="118"/>
      <c r="J17" s="202"/>
      <c r="K17" s="205">
        <f>SUM(K14:K16)</f>
        <v>0.1347087108013939</v>
      </c>
      <c r="L17" s="118"/>
      <c r="M17" s="224"/>
      <c r="N17" s="227">
        <f>SUM(N14:N16)</f>
        <v>0.8979960413080893</v>
      </c>
      <c r="O17" s="118"/>
      <c r="P17" s="314"/>
      <c r="Q17" s="315">
        <f>SUM(Q14:Q16)</f>
        <v>8.3851776649745885E-2</v>
      </c>
      <c r="R17" s="316"/>
      <c r="S17" s="116"/>
      <c r="T17" s="117">
        <f>SUM(T14:T16)</f>
        <v>2.3908707580066399E-2</v>
      </c>
      <c r="U17" s="118"/>
      <c r="V17" s="116"/>
      <c r="W17" s="117">
        <f>SUM(W14:W16)</f>
        <v>0.1274166107794224</v>
      </c>
      <c r="X17" s="118">
        <v>0</v>
      </c>
      <c r="Y17" s="116"/>
      <c r="Z17" s="117">
        <f>SUM(Z14:Z16)</f>
        <v>0.1558602537863287</v>
      </c>
      <c r="AB17" s="248"/>
      <c r="AC17" s="227">
        <f>SUM(AC14:AC16)</f>
        <v>4.8456568094950518E-2</v>
      </c>
      <c r="AE17" s="260"/>
      <c r="AF17" s="205">
        <f>SUM(AF14:AF16)</f>
        <v>2.6277731008217873E-2</v>
      </c>
      <c r="AH17" s="116"/>
      <c r="AI17" s="117">
        <f>SUM(AI14:AI16)</f>
        <v>2.2338476953908226E-2</v>
      </c>
      <c r="AK17" s="116"/>
      <c r="AL17" s="117">
        <f>SUM(AL14:AL16)</f>
        <v>0.36746082474226838</v>
      </c>
      <c r="AN17" s="116"/>
      <c r="AO17" s="117">
        <f>SUM(AO14:AO16)</f>
        <v>1.7000000000000001E-2</v>
      </c>
      <c r="AQ17" s="116"/>
      <c r="AR17" s="117">
        <f>SUM(AR14:AR16)</f>
        <v>0.11243265306122427</v>
      </c>
      <c r="AT17" s="34" t="s">
        <v>437</v>
      </c>
      <c r="AU17" s="34">
        <v>1.6E-2</v>
      </c>
    </row>
    <row r="18" spans="1:49" x14ac:dyDescent="0.2">
      <c r="A18" s="119" t="s">
        <v>22</v>
      </c>
      <c r="B18" s="109" t="s">
        <v>148</v>
      </c>
      <c r="C18" s="110"/>
      <c r="D18" s="34" t="s">
        <v>22</v>
      </c>
      <c r="E18" s="34" t="s">
        <v>149</v>
      </c>
      <c r="F18" s="113"/>
      <c r="G18" s="261" t="s">
        <v>36</v>
      </c>
      <c r="H18" s="262" t="s">
        <v>889</v>
      </c>
      <c r="I18" s="123"/>
      <c r="J18" s="200" t="s">
        <v>135</v>
      </c>
      <c r="K18" s="201" t="s">
        <v>151</v>
      </c>
      <c r="L18" s="123"/>
      <c r="M18" s="222" t="s">
        <v>135</v>
      </c>
      <c r="N18" s="223" t="s">
        <v>181</v>
      </c>
      <c r="O18" s="123"/>
      <c r="P18" s="317" t="s">
        <v>648</v>
      </c>
      <c r="Q18" s="318" t="s">
        <v>651</v>
      </c>
      <c r="R18" s="308"/>
      <c r="S18" s="119" t="s">
        <v>137</v>
      </c>
      <c r="T18" s="168" t="s">
        <v>152</v>
      </c>
      <c r="U18" s="110"/>
      <c r="V18" s="119" t="s">
        <v>138</v>
      </c>
      <c r="W18" s="168" t="s">
        <v>153</v>
      </c>
      <c r="X18" s="110"/>
      <c r="Y18" s="108" t="s">
        <v>140</v>
      </c>
      <c r="Z18" s="166" t="s">
        <v>350</v>
      </c>
      <c r="AN18" s="69"/>
      <c r="AO18" s="69"/>
      <c r="AT18" s="34" t="s">
        <v>438</v>
      </c>
      <c r="AU18" s="165">
        <f>+AU12/(1-AU17)-AU12</f>
        <v>3.292682926829249E-2</v>
      </c>
    </row>
    <row r="19" spans="1:49" x14ac:dyDescent="0.2">
      <c r="A19" s="111" t="s">
        <v>146</v>
      </c>
      <c r="B19" s="112">
        <v>5.0000000000000001E-3</v>
      </c>
      <c r="C19" s="113"/>
      <c r="D19" s="111" t="s">
        <v>146</v>
      </c>
      <c r="E19" s="122">
        <v>8.9899999999999994E-2</v>
      </c>
      <c r="F19" s="113"/>
      <c r="G19" s="258" t="s">
        <v>146</v>
      </c>
      <c r="H19" s="203">
        <v>6.6900000000000001E-2</v>
      </c>
      <c r="I19" s="113"/>
      <c r="J19" s="202" t="s">
        <v>146</v>
      </c>
      <c r="K19" s="203">
        <v>1.8700000000000001E-2</v>
      </c>
      <c r="L19" s="113"/>
      <c r="M19" s="224" t="s">
        <v>146</v>
      </c>
      <c r="N19" s="225">
        <v>0.66490000000000005</v>
      </c>
      <c r="O19" s="113"/>
      <c r="P19" s="309" t="s">
        <v>146</v>
      </c>
      <c r="Q19" s="310">
        <v>8.0000000000000002E-3</v>
      </c>
      <c r="R19" s="311"/>
      <c r="S19" s="111" t="s">
        <v>146</v>
      </c>
      <c r="T19" s="442">
        <v>1.6999999999999999E-3</v>
      </c>
      <c r="U19" s="113"/>
      <c r="V19" s="111" t="s">
        <v>146</v>
      </c>
      <c r="W19" s="442">
        <v>0.15409999999999999</v>
      </c>
      <c r="X19" s="113"/>
      <c r="Y19" s="111" t="s">
        <v>146</v>
      </c>
      <c r="Z19" s="442">
        <v>0.1943</v>
      </c>
      <c r="AB19" s="244" t="s">
        <v>144</v>
      </c>
      <c r="AC19" s="245" t="s">
        <v>155</v>
      </c>
      <c r="AE19" s="189" t="s">
        <v>156</v>
      </c>
      <c r="AH19" s="108" t="s">
        <v>142</v>
      </c>
      <c r="AI19" s="166" t="s">
        <v>154</v>
      </c>
      <c r="AK19" s="108" t="s">
        <v>325</v>
      </c>
      <c r="AL19" s="166" t="s">
        <v>707</v>
      </c>
      <c r="AN19" s="169"/>
      <c r="AO19" s="110"/>
      <c r="AQ19" s="108" t="s">
        <v>957</v>
      </c>
      <c r="AR19" s="166" t="s">
        <v>959</v>
      </c>
      <c r="AT19" s="34" t="s">
        <v>439</v>
      </c>
      <c r="AU19" s="170">
        <f>+AU18+AU16+AU15+AU14</f>
        <v>4.5126829268292493E-2</v>
      </c>
    </row>
    <row r="20" spans="1:49" ht="13.5" thickBot="1" x14ac:dyDescent="0.25">
      <c r="A20" s="111" t="s">
        <v>60</v>
      </c>
      <c r="B20" s="112">
        <f>0.0022+0.0072+0.0097</f>
        <v>1.9099999999999999E-2</v>
      </c>
      <c r="C20" s="113"/>
      <c r="D20" s="111" t="s">
        <v>60</v>
      </c>
      <c r="E20" s="122">
        <f>0.0072+0.0022+0.0097</f>
        <v>1.9099999999999999E-2</v>
      </c>
      <c r="F20" s="115"/>
      <c r="G20" s="258" t="s">
        <v>60</v>
      </c>
      <c r="H20" s="203">
        <f>0.0022+0.0072+0.0225</f>
        <v>3.1899999999999998E-2</v>
      </c>
      <c r="I20" s="113"/>
      <c r="J20" s="202" t="s">
        <v>60</v>
      </c>
      <c r="K20" s="203">
        <f>0.0022</f>
        <v>2.2000000000000001E-3</v>
      </c>
      <c r="L20" s="113"/>
      <c r="M20" s="224" t="s">
        <v>60</v>
      </c>
      <c r="N20" s="225">
        <f>0.0022+0.0072</f>
        <v>9.4000000000000004E-3</v>
      </c>
      <c r="O20" s="113"/>
      <c r="P20" s="309" t="s">
        <v>60</v>
      </c>
      <c r="Q20" s="310">
        <f>0.0022+0.0072</f>
        <v>9.4000000000000004E-3</v>
      </c>
      <c r="R20" s="311"/>
      <c r="S20" s="111" t="s">
        <v>60</v>
      </c>
      <c r="T20" s="442">
        <v>2.2000000000000001E-3</v>
      </c>
      <c r="U20" s="113"/>
      <c r="V20" s="111" t="s">
        <v>60</v>
      </c>
      <c r="W20" s="442">
        <f>0.0022+0.0072</f>
        <v>9.4000000000000004E-3</v>
      </c>
      <c r="X20" s="113"/>
      <c r="Y20" s="111" t="s">
        <v>60</v>
      </c>
      <c r="Z20" s="112">
        <v>2.2000000000000001E-3</v>
      </c>
      <c r="AB20" s="246" t="s">
        <v>146</v>
      </c>
      <c r="AC20" s="225">
        <v>0</v>
      </c>
      <c r="AE20" s="258" t="s">
        <v>146</v>
      </c>
      <c r="AF20" s="203">
        <f>0.0303+0.002</f>
        <v>3.2300000000000002E-2</v>
      </c>
      <c r="AH20" s="111" t="s">
        <v>146</v>
      </c>
      <c r="AI20" s="112">
        <v>5.4000000000000003E-3</v>
      </c>
      <c r="AK20" s="111" t="s">
        <v>146</v>
      </c>
      <c r="AL20" s="112">
        <v>9.1999999999999998E-3</v>
      </c>
      <c r="AN20" s="171"/>
      <c r="AO20" s="113"/>
      <c r="AQ20" s="111" t="s">
        <v>146</v>
      </c>
      <c r="AR20" s="112">
        <f>0.0001</f>
        <v>1E-4</v>
      </c>
      <c r="AT20" s="34" t="s">
        <v>440</v>
      </c>
      <c r="AU20" s="172"/>
      <c r="AW20" s="34" t="s">
        <v>225</v>
      </c>
    </row>
    <row r="21" spans="1:49" ht="13.5" thickTop="1" x14ac:dyDescent="0.2">
      <c r="A21" s="111" t="s">
        <v>778</v>
      </c>
      <c r="B21" s="114">
        <f>B6/(1-0.0081)-B6</f>
        <v>3.5645226333299362E-2</v>
      </c>
      <c r="C21" s="115"/>
      <c r="D21" s="111" t="s">
        <v>778</v>
      </c>
      <c r="E21" s="114">
        <f>(E6)/(1-0.0081)-E6</f>
        <v>3.5645226333299362E-2</v>
      </c>
      <c r="F21" s="118"/>
      <c r="G21" s="258" t="s">
        <v>364</v>
      </c>
      <c r="H21" s="259">
        <f>(H3)/(1-0.0244)-H3</f>
        <v>0.10954489544895463</v>
      </c>
      <c r="I21" s="115"/>
      <c r="J21" s="202" t="s">
        <v>747</v>
      </c>
      <c r="K21" s="204">
        <f>(K5)/(1-0.0257)-K5</f>
        <v>0.1143482500256594</v>
      </c>
      <c r="L21" s="115"/>
      <c r="M21" s="224" t="s">
        <v>750</v>
      </c>
      <c r="N21" s="226">
        <f>(N5)/(1-0.797)-N5</f>
        <v>17.019679802955668</v>
      </c>
      <c r="O21" s="115"/>
      <c r="P21" s="309" t="s">
        <v>654</v>
      </c>
      <c r="Q21" s="312">
        <f>+Q$3/(1-0.015)-Q$3</f>
        <v>6.8451776649745888E-2</v>
      </c>
      <c r="R21" s="313"/>
      <c r="S21" s="111" t="s">
        <v>982</v>
      </c>
      <c r="T21" s="114">
        <f>+T3/(1-0.00603)-T3</f>
        <v>2.7208617966336668E-2</v>
      </c>
      <c r="U21" s="115"/>
      <c r="V21" s="111" t="s">
        <v>805</v>
      </c>
      <c r="W21" s="114">
        <f>+W3/(1-0.02184)-W3</f>
        <v>0.1047166107794224</v>
      </c>
      <c r="X21" s="115"/>
      <c r="Y21" s="111" t="s">
        <v>147</v>
      </c>
      <c r="Z21" s="114">
        <f>(Z3)/(1-0.0228)-Z3</f>
        <v>0.10966025378632871</v>
      </c>
      <c r="AB21" s="246" t="s">
        <v>60</v>
      </c>
      <c r="AC21" s="225">
        <f>0.0022+0.0072</f>
        <v>9.4000000000000004E-3</v>
      </c>
      <c r="AE21" s="258" t="s">
        <v>60</v>
      </c>
      <c r="AF21" s="203">
        <f>0.0072+0.0022</f>
        <v>9.4000000000000004E-3</v>
      </c>
      <c r="AH21" s="111" t="s">
        <v>60</v>
      </c>
      <c r="AI21" s="112">
        <f>0.0022+0.0072+0.0012</f>
        <v>1.06E-2</v>
      </c>
      <c r="AK21" s="111" t="s">
        <v>60</v>
      </c>
      <c r="AL21" s="112">
        <f>0.0022+0.0072</f>
        <v>9.4000000000000004E-3</v>
      </c>
      <c r="AN21" s="171"/>
      <c r="AO21" s="113"/>
      <c r="AQ21" s="111" t="s">
        <v>60</v>
      </c>
      <c r="AR21" s="112">
        <f>0.0072+0.0022</f>
        <v>9.4000000000000004E-3</v>
      </c>
    </row>
    <row r="22" spans="1:49" x14ac:dyDescent="0.2">
      <c r="A22" s="116" t="s">
        <v>47</v>
      </c>
      <c r="B22" s="117">
        <f>SUM(B19:B21)</f>
        <v>5.9745226333299359E-2</v>
      </c>
      <c r="C22" s="118"/>
      <c r="D22" s="111"/>
      <c r="E22" s="117">
        <f>SUM(E19:E21)</f>
        <v>0.14464522633329935</v>
      </c>
      <c r="F22" s="118"/>
      <c r="G22" s="260"/>
      <c r="H22" s="205">
        <f>SUM(H19:H21)</f>
        <v>0.20834489544895463</v>
      </c>
      <c r="I22" s="118"/>
      <c r="J22" s="202"/>
      <c r="K22" s="205">
        <f>SUM(K19:K21)</f>
        <v>0.13524825002565941</v>
      </c>
      <c r="L22" s="118"/>
      <c r="M22" s="224"/>
      <c r="N22" s="227">
        <f>SUM(N19:N21)</f>
        <v>17.693979802955667</v>
      </c>
      <c r="O22" s="118"/>
      <c r="P22" s="314"/>
      <c r="Q22" s="315">
        <f>SUM(Q19:Q21)</f>
        <v>8.5851776649745887E-2</v>
      </c>
      <c r="R22" s="316"/>
      <c r="S22" s="116"/>
      <c r="T22" s="117">
        <f>SUM(T19:T21)</f>
        <v>3.1108617966336669E-2</v>
      </c>
      <c r="U22" s="118"/>
      <c r="V22" s="116"/>
      <c r="W22" s="117">
        <f>SUM(W19:W21)</f>
        <v>0.26821661077942238</v>
      </c>
      <c r="X22" s="118"/>
      <c r="Y22" s="116"/>
      <c r="Z22" s="117">
        <f>SUM(Z19:Z21)</f>
        <v>0.30616025378632872</v>
      </c>
      <c r="AB22" s="443">
        <v>5.7999999999999996E-3</v>
      </c>
      <c r="AC22" s="226">
        <f>+AC$3/(1-AB22)-AC3</f>
        <v>2.7856568094950518E-2</v>
      </c>
      <c r="AE22" s="258" t="s">
        <v>592</v>
      </c>
      <c r="AF22" s="204">
        <f>+AF3/(1-0.0268)-AF3</f>
        <v>0.12337032470201414</v>
      </c>
      <c r="AH22" s="443">
        <v>4.0000000000000001E-3</v>
      </c>
      <c r="AI22" s="114">
        <f>+AI3/(1-0.004)-AI3</f>
        <v>1.8514056224899988E-2</v>
      </c>
      <c r="AK22" s="111" t="s">
        <v>558</v>
      </c>
      <c r="AL22" s="114">
        <f>+AL3/(1-0.03)-AL3</f>
        <v>0.14536082474226841</v>
      </c>
      <c r="AN22" s="171"/>
      <c r="AO22" s="115"/>
      <c r="AQ22" s="111" t="s">
        <v>962</v>
      </c>
      <c r="AR22" s="114">
        <f>+AR3/(1-0.02)-AR3</f>
        <v>9.6632653061224261E-2</v>
      </c>
    </row>
    <row r="23" spans="1:49" x14ac:dyDescent="0.2">
      <c r="A23" s="119" t="s">
        <v>22</v>
      </c>
      <c r="B23" s="109" t="s">
        <v>157</v>
      </c>
      <c r="C23" s="110"/>
      <c r="D23" s="167" t="s">
        <v>22</v>
      </c>
      <c r="E23" s="117" t="s">
        <v>158</v>
      </c>
      <c r="F23" s="120"/>
      <c r="G23" s="261" t="s">
        <v>36</v>
      </c>
      <c r="H23" s="262" t="s">
        <v>890</v>
      </c>
      <c r="I23" s="118"/>
      <c r="J23" s="206" t="s">
        <v>135</v>
      </c>
      <c r="K23" s="207" t="s">
        <v>160</v>
      </c>
      <c r="L23" s="118"/>
      <c r="M23" s="222" t="s">
        <v>135</v>
      </c>
      <c r="N23" s="223" t="s">
        <v>196</v>
      </c>
      <c r="O23" s="118"/>
      <c r="P23" s="317" t="s">
        <v>648</v>
      </c>
      <c r="Q23" s="318" t="s">
        <v>652</v>
      </c>
      <c r="R23" s="308"/>
      <c r="S23" s="119" t="s">
        <v>137</v>
      </c>
      <c r="T23" s="168" t="s">
        <v>383</v>
      </c>
      <c r="U23" s="110"/>
      <c r="V23" s="119" t="s">
        <v>138</v>
      </c>
      <c r="W23" s="168" t="s">
        <v>161</v>
      </c>
      <c r="X23" s="110"/>
      <c r="Y23" s="110"/>
      <c r="Z23" s="110"/>
      <c r="AB23" s="248"/>
      <c r="AC23" s="227">
        <f>SUM(AC20:AC22)</f>
        <v>3.7256568094950517E-2</v>
      </c>
      <c r="AE23" s="260"/>
      <c r="AF23" s="205">
        <f>SUM(AF20:AF22)</f>
        <v>0.16507032470201416</v>
      </c>
      <c r="AH23" s="116"/>
      <c r="AI23" s="117">
        <f>SUM(AI20:AI22)</f>
        <v>3.4514056224899989E-2</v>
      </c>
      <c r="AK23" s="116"/>
      <c r="AL23" s="117">
        <f>SUM(AL20:AL22)</f>
        <v>0.16396082474226842</v>
      </c>
      <c r="AN23" s="69"/>
      <c r="AO23" s="118"/>
      <c r="AQ23" s="116"/>
      <c r="AR23" s="117">
        <f>SUM(AR20:AR22)</f>
        <v>0.10613265306122426</v>
      </c>
    </row>
    <row r="24" spans="1:49" x14ac:dyDescent="0.2">
      <c r="A24" s="111" t="s">
        <v>146</v>
      </c>
      <c r="B24" s="112">
        <v>7.4999999999999997E-3</v>
      </c>
      <c r="C24" s="113"/>
      <c r="D24" s="111" t="s">
        <v>146</v>
      </c>
      <c r="E24" s="122">
        <v>0.12429999999999999</v>
      </c>
      <c r="F24" s="120"/>
      <c r="G24" s="258" t="s">
        <v>146</v>
      </c>
      <c r="H24" s="203">
        <v>8.7999999999999995E-2</v>
      </c>
      <c r="I24" s="120"/>
      <c r="J24" s="202" t="s">
        <v>146</v>
      </c>
      <c r="K24" s="203">
        <v>2.3599999999999999E-2</v>
      </c>
      <c r="L24" s="120"/>
      <c r="M24" s="224" t="s">
        <v>146</v>
      </c>
      <c r="N24" s="225">
        <v>0.41639999999999999</v>
      </c>
      <c r="O24" s="120"/>
      <c r="P24" s="309" t="s">
        <v>146</v>
      </c>
      <c r="Q24" s="310">
        <v>1.2999999999999999E-2</v>
      </c>
      <c r="R24" s="311"/>
      <c r="S24" s="111" t="s">
        <v>146</v>
      </c>
      <c r="T24" s="442">
        <v>1.7000000000000001E-2</v>
      </c>
      <c r="U24" s="113"/>
      <c r="V24" s="111" t="s">
        <v>146</v>
      </c>
      <c r="W24" s="442">
        <v>0.21970000000000001</v>
      </c>
      <c r="X24" s="113"/>
      <c r="Y24" s="108" t="s">
        <v>140</v>
      </c>
      <c r="Z24" s="166" t="s">
        <v>604</v>
      </c>
      <c r="AN24" s="69"/>
      <c r="AO24" s="69"/>
    </row>
    <row r="25" spans="1:49" x14ac:dyDescent="0.2">
      <c r="A25" s="111" t="s">
        <v>60</v>
      </c>
      <c r="B25" s="112">
        <f>0.0022+0.0072+0.0097</f>
        <v>1.9099999999999999E-2</v>
      </c>
      <c r="C25" s="113"/>
      <c r="D25" s="111" t="s">
        <v>60</v>
      </c>
      <c r="E25" s="122">
        <f>0.0072+0.0022+0.0097</f>
        <v>1.9099999999999999E-2</v>
      </c>
      <c r="F25" s="115"/>
      <c r="G25" s="258" t="s">
        <v>60</v>
      </c>
      <c r="H25" s="203">
        <f>0.0022+0.0072</f>
        <v>9.4000000000000004E-3</v>
      </c>
      <c r="I25" s="120"/>
      <c r="J25" s="202" t="s">
        <v>60</v>
      </c>
      <c r="K25" s="203">
        <f>0.0022+0.0072</f>
        <v>9.4000000000000004E-3</v>
      </c>
      <c r="L25" s="120"/>
      <c r="M25" s="224" t="s">
        <v>60</v>
      </c>
      <c r="N25" s="225">
        <f>0.0022+0.0072</f>
        <v>9.4000000000000004E-3</v>
      </c>
      <c r="O25" s="120"/>
      <c r="P25" s="309" t="s">
        <v>60</v>
      </c>
      <c r="Q25" s="310">
        <f>0.0022+0.0072</f>
        <v>9.4000000000000004E-3</v>
      </c>
      <c r="R25" s="311"/>
      <c r="S25" s="111" t="s">
        <v>60</v>
      </c>
      <c r="T25" s="442">
        <v>2.2000000000000001E-3</v>
      </c>
      <c r="U25" s="113"/>
      <c r="V25" s="111" t="s">
        <v>60</v>
      </c>
      <c r="W25" s="442">
        <f>0.0022+0.0072</f>
        <v>9.4000000000000004E-3</v>
      </c>
      <c r="X25" s="113"/>
      <c r="Y25" s="111" t="s">
        <v>146</v>
      </c>
      <c r="Z25" s="112">
        <v>0.15</v>
      </c>
      <c r="AB25" s="181" t="s">
        <v>356</v>
      </c>
      <c r="AE25" s="189" t="s">
        <v>169</v>
      </c>
      <c r="AH25" s="108" t="s">
        <v>142</v>
      </c>
      <c r="AI25" s="166" t="s">
        <v>337</v>
      </c>
      <c r="AK25" s="169"/>
      <c r="AL25" s="110"/>
      <c r="AN25" s="169"/>
      <c r="AO25" s="110"/>
      <c r="AQ25" s="108" t="s">
        <v>957</v>
      </c>
      <c r="AR25" s="166" t="s">
        <v>960</v>
      </c>
    </row>
    <row r="26" spans="1:49" x14ac:dyDescent="0.2">
      <c r="A26" s="111" t="s">
        <v>779</v>
      </c>
      <c r="B26" s="114">
        <f>B6/(1-0.0126)-B6</f>
        <v>5.570083046384422E-2</v>
      </c>
      <c r="C26" s="115"/>
      <c r="D26" s="111" t="s">
        <v>779</v>
      </c>
      <c r="E26" s="114">
        <f>E6/(1-0.0126)-E6</f>
        <v>5.570083046384422E-2</v>
      </c>
      <c r="F26" s="118"/>
      <c r="G26" s="258" t="s">
        <v>365</v>
      </c>
      <c r="H26" s="259">
        <f>(H3)/(1-0.0443)-H3</f>
        <v>0.20302814690802595</v>
      </c>
      <c r="I26" s="115"/>
      <c r="J26" s="202" t="s">
        <v>748</v>
      </c>
      <c r="K26" s="204">
        <f>(K5)/(1-0.0332)-K5</f>
        <v>0.14886429458005779</v>
      </c>
      <c r="L26" s="115"/>
      <c r="M26" s="224" t="s">
        <v>752</v>
      </c>
      <c r="N26" s="226">
        <f>(N4)/(1-0.064)-N4</f>
        <v>0.30290598290598325</v>
      </c>
      <c r="O26" s="115"/>
      <c r="P26" s="309" t="s">
        <v>655</v>
      </c>
      <c r="Q26" s="312">
        <f>+Q$3/(1-0.023)-Q$3</f>
        <v>0.10581883316274343</v>
      </c>
      <c r="R26" s="313"/>
      <c r="S26" s="111" t="s">
        <v>983</v>
      </c>
      <c r="T26" s="114">
        <f>+T4/(1-0.0282)-T4</f>
        <v>0.13188824861082526</v>
      </c>
      <c r="U26" s="115"/>
      <c r="V26" s="111" t="s">
        <v>805</v>
      </c>
      <c r="W26" s="114">
        <f>+W3/(1-0.02184)-W3</f>
        <v>0.1047166107794224</v>
      </c>
      <c r="X26" s="115"/>
      <c r="Y26" s="111" t="s">
        <v>60</v>
      </c>
      <c r="Z26" s="112">
        <v>2.2000000000000001E-3</v>
      </c>
      <c r="AB26" s="181" t="s">
        <v>976</v>
      </c>
      <c r="AE26" s="258" t="s">
        <v>146</v>
      </c>
      <c r="AF26" s="203">
        <f>0.0275+0.002</f>
        <v>2.9499999999999998E-2</v>
      </c>
      <c r="AH26" s="111" t="s">
        <v>146</v>
      </c>
      <c r="AI26" s="112">
        <v>0.46929999999999999</v>
      </c>
      <c r="AK26" s="171"/>
      <c r="AL26" s="113"/>
      <c r="AN26" s="171"/>
      <c r="AO26" s="113"/>
      <c r="AQ26" s="111" t="s">
        <v>146</v>
      </c>
      <c r="AR26" s="112">
        <v>8.9999999999999998E-4</v>
      </c>
    </row>
    <row r="27" spans="1:49" x14ac:dyDescent="0.2">
      <c r="A27" s="116"/>
      <c r="B27" s="117">
        <f>SUM(B24:B26)</f>
        <v>8.2300830463844218E-2</v>
      </c>
      <c r="C27" s="118"/>
      <c r="D27" s="111"/>
      <c r="E27" s="117">
        <f>SUM(E24:E26)</f>
        <v>0.19910083046384422</v>
      </c>
      <c r="F27" s="110"/>
      <c r="G27" s="260"/>
      <c r="H27" s="205">
        <f>SUM(H24:H26)</f>
        <v>0.30042814690802594</v>
      </c>
      <c r="I27" s="118"/>
      <c r="J27" s="202"/>
      <c r="K27" s="205">
        <f>SUM(K24:K26)</f>
        <v>0.18186429458005779</v>
      </c>
      <c r="L27" s="118"/>
      <c r="M27" s="224"/>
      <c r="N27" s="227">
        <f>SUM(N24:N26)</f>
        <v>0.72870598290598321</v>
      </c>
      <c r="O27" s="118"/>
      <c r="P27" s="314"/>
      <c r="Q27" s="315">
        <f>SUM(Q24:Q26)</f>
        <v>0.12821883316274343</v>
      </c>
      <c r="R27" s="316"/>
      <c r="S27" s="116"/>
      <c r="T27" s="117">
        <f>SUM(T24:T26)</f>
        <v>0.15108824861082526</v>
      </c>
      <c r="U27" s="118"/>
      <c r="V27" s="116"/>
      <c r="W27" s="117">
        <f>SUM(W24:W26)</f>
        <v>0.33381661077942237</v>
      </c>
      <c r="X27" s="118"/>
      <c r="Y27" s="111" t="s">
        <v>147</v>
      </c>
      <c r="Z27" s="114">
        <f>(Z3)/(1-0.0228)-Z3</f>
        <v>0.10966025378632871</v>
      </c>
      <c r="AB27" s="181" t="s">
        <v>595</v>
      </c>
      <c r="AE27" s="258" t="s">
        <v>60</v>
      </c>
      <c r="AF27" s="203">
        <f>0.0072+0.0022</f>
        <v>9.4000000000000004E-3</v>
      </c>
      <c r="AH27" s="111" t="s">
        <v>60</v>
      </c>
      <c r="AI27" s="112">
        <f>0.0022+0.0072+0.0012</f>
        <v>1.06E-2</v>
      </c>
      <c r="AK27" s="171"/>
      <c r="AL27" s="113"/>
      <c r="AN27" s="171"/>
      <c r="AO27" s="113"/>
      <c r="AQ27" s="111" t="s">
        <v>60</v>
      </c>
      <c r="AR27" s="112">
        <f>0.0072+0.0022</f>
        <v>9.4000000000000004E-3</v>
      </c>
    </row>
    <row r="28" spans="1:49" x14ac:dyDescent="0.2">
      <c r="A28" s="108" t="s">
        <v>22</v>
      </c>
      <c r="B28" s="109" t="s">
        <v>202</v>
      </c>
      <c r="D28" s="34" t="s">
        <v>22</v>
      </c>
      <c r="E28" s="34" t="s">
        <v>444</v>
      </c>
      <c r="F28" s="113"/>
      <c r="G28" s="261" t="s">
        <v>36</v>
      </c>
      <c r="H28" s="263" t="s">
        <v>891</v>
      </c>
      <c r="I28" s="110"/>
      <c r="J28" s="200" t="s">
        <v>135</v>
      </c>
      <c r="K28" s="201" t="s">
        <v>166</v>
      </c>
      <c r="L28" s="110"/>
      <c r="M28" s="222" t="s">
        <v>135</v>
      </c>
      <c r="N28" s="223" t="s">
        <v>200</v>
      </c>
      <c r="O28" s="110"/>
      <c r="P28" s="317" t="s">
        <v>648</v>
      </c>
      <c r="Q28" s="318" t="s">
        <v>653</v>
      </c>
      <c r="S28" s="108" t="s">
        <v>137</v>
      </c>
      <c r="T28" s="166" t="s">
        <v>167</v>
      </c>
      <c r="V28" s="108" t="s">
        <v>138</v>
      </c>
      <c r="W28" s="166" t="s">
        <v>168</v>
      </c>
      <c r="Y28" s="116"/>
      <c r="Z28" s="117">
        <f>SUM(Z25:Z27)</f>
        <v>0.26186025378632871</v>
      </c>
      <c r="AB28" s="181" t="s">
        <v>594</v>
      </c>
      <c r="AE28" s="258" t="s">
        <v>592</v>
      </c>
      <c r="AF28" s="204">
        <f>+AF3/(1-0.0268)-AF3</f>
        <v>0.12337032470201414</v>
      </c>
      <c r="AH28" s="111" t="s">
        <v>1049</v>
      </c>
      <c r="AI28" s="114">
        <f>+AI3/(1-0.004)-AI3</f>
        <v>1.8514056224899988E-2</v>
      </c>
      <c r="AK28" s="171"/>
      <c r="AL28" s="115"/>
      <c r="AN28" s="171"/>
      <c r="AO28" s="115"/>
      <c r="AQ28" s="111" t="s">
        <v>962</v>
      </c>
      <c r="AR28" s="114">
        <f>+AR3/(1-0.02)-AR3</f>
        <v>9.6632653061224261E-2</v>
      </c>
    </row>
    <row r="29" spans="1:49" x14ac:dyDescent="0.2">
      <c r="A29" s="111" t="s">
        <v>146</v>
      </c>
      <c r="B29" s="112">
        <v>1.8599999999999998E-2</v>
      </c>
      <c r="D29" s="111" t="s">
        <v>146</v>
      </c>
      <c r="E29" s="122">
        <v>0.25109999999999999</v>
      </c>
      <c r="F29" s="113"/>
      <c r="G29" s="260" t="s">
        <v>146</v>
      </c>
      <c r="H29" s="203">
        <v>9.7799999999999998E-2</v>
      </c>
      <c r="I29" s="113"/>
      <c r="J29" s="202" t="s">
        <v>146</v>
      </c>
      <c r="K29" s="203">
        <v>7.0800000000000002E-2</v>
      </c>
      <c r="L29" s="113"/>
      <c r="M29" s="224" t="s">
        <v>146</v>
      </c>
      <c r="N29" s="225">
        <v>0.52100000000000002</v>
      </c>
      <c r="O29" s="113"/>
      <c r="P29" s="309" t="s">
        <v>146</v>
      </c>
      <c r="Q29" s="310">
        <v>2.1000000000000001E-2</v>
      </c>
      <c r="S29" s="111" t="s">
        <v>146</v>
      </c>
      <c r="T29" s="442">
        <v>8.7999999999999995E-2</v>
      </c>
      <c r="V29" s="111" t="s">
        <v>146</v>
      </c>
      <c r="W29" s="112" t="s">
        <v>170</v>
      </c>
      <c r="Y29" s="113" t="s">
        <v>47</v>
      </c>
      <c r="Z29" s="113" t="s">
        <v>47</v>
      </c>
      <c r="AE29" s="260"/>
      <c r="AF29" s="205">
        <f>SUM(AF26:AF28)</f>
        <v>0.16227032470201413</v>
      </c>
      <c r="AH29" s="116"/>
      <c r="AI29" s="117">
        <f>SUM(AI26:AI28)</f>
        <v>0.49841405622489998</v>
      </c>
      <c r="AK29" s="69"/>
      <c r="AL29" s="118"/>
      <c r="AN29" s="69"/>
      <c r="AO29" s="118"/>
      <c r="AQ29" s="116"/>
      <c r="AR29" s="117">
        <f>SUM(AR26:AR28)</f>
        <v>0.10693265306122426</v>
      </c>
    </row>
    <row r="30" spans="1:49" x14ac:dyDescent="0.2">
      <c r="A30" s="111" t="s">
        <v>60</v>
      </c>
      <c r="B30" s="112">
        <f>0.0022+0.0072+0.0097</f>
        <v>1.9099999999999999E-2</v>
      </c>
      <c r="C30" s="120"/>
      <c r="D30" s="111" t="s">
        <v>60</v>
      </c>
      <c r="E30" s="122">
        <f>0.0072+0.0097+0.0022</f>
        <v>1.9099999999999999E-2</v>
      </c>
      <c r="F30" s="115"/>
      <c r="G30" s="260" t="s">
        <v>60</v>
      </c>
      <c r="H30" s="203">
        <f>0.0022</f>
        <v>2.2000000000000001E-3</v>
      </c>
      <c r="I30" s="113"/>
      <c r="J30" s="202" t="s">
        <v>60</v>
      </c>
      <c r="K30" s="203">
        <f>0.0022+0.0072</f>
        <v>9.4000000000000004E-3</v>
      </c>
      <c r="L30" s="113"/>
      <c r="M30" s="224" t="s">
        <v>60</v>
      </c>
      <c r="N30" s="225">
        <f>0.0022+0.0072</f>
        <v>9.4000000000000004E-3</v>
      </c>
      <c r="O30" s="113"/>
      <c r="P30" s="309" t="s">
        <v>60</v>
      </c>
      <c r="Q30" s="310">
        <f>0.0022+0.0072</f>
        <v>9.4000000000000004E-3</v>
      </c>
      <c r="R30" s="321"/>
      <c r="S30" s="111" t="s">
        <v>60</v>
      </c>
      <c r="T30" s="442">
        <v>2.2000000000000001E-3</v>
      </c>
      <c r="U30" s="120"/>
      <c r="V30" s="111" t="s">
        <v>60</v>
      </c>
      <c r="W30" s="112">
        <v>0</v>
      </c>
      <c r="X30" s="120"/>
      <c r="Y30" s="113" t="s">
        <v>47</v>
      </c>
      <c r="Z30" s="113" t="s">
        <v>47</v>
      </c>
      <c r="AB30" s="244" t="s">
        <v>144</v>
      </c>
      <c r="AC30" s="245" t="s">
        <v>145</v>
      </c>
      <c r="AL30" s="173"/>
      <c r="AN30" s="69"/>
      <c r="AO30" s="174"/>
    </row>
    <row r="31" spans="1:49" x14ac:dyDescent="0.2">
      <c r="A31" s="111" t="s">
        <v>780</v>
      </c>
      <c r="B31" s="114">
        <f>B6/(1-0.0316)-B6</f>
        <v>0.1424349442379178</v>
      </c>
      <c r="C31" s="115"/>
      <c r="D31" s="111" t="s">
        <v>780</v>
      </c>
      <c r="E31" s="114">
        <f>+E6/(1-0.0316)-E6</f>
        <v>0.1424349442379178</v>
      </c>
      <c r="F31" s="118"/>
      <c r="G31" s="260" t="s">
        <v>366</v>
      </c>
      <c r="H31" s="259">
        <f>(H3)/(1-0.0504)-H3</f>
        <v>0.23246840775063227</v>
      </c>
      <c r="I31" s="115"/>
      <c r="J31" s="202" t="s">
        <v>333</v>
      </c>
      <c r="K31" s="204">
        <f>(K5)/(1-0.0564)-K5</f>
        <v>0.25910767274268753</v>
      </c>
      <c r="L31" s="115"/>
      <c r="M31" s="224" t="s">
        <v>753</v>
      </c>
      <c r="N31" s="226">
        <f>(N4)/(1-0.0733)-N4</f>
        <v>0.35040358260494209</v>
      </c>
      <c r="O31" s="115"/>
      <c r="P31" s="309" t="s">
        <v>656</v>
      </c>
      <c r="Q31" s="312">
        <f>+Q$3/(1-0.026)-Q$3</f>
        <v>0.11998973305954852</v>
      </c>
      <c r="R31" s="313"/>
      <c r="S31" s="111" t="s">
        <v>984</v>
      </c>
      <c r="T31" s="114">
        <f>(+T3-0.108)/(1-0.00489)-(T3-0.108)</f>
        <v>2.15087075800664E-2</v>
      </c>
      <c r="U31" s="115"/>
      <c r="V31" s="111" t="s">
        <v>805</v>
      </c>
      <c r="W31" s="114">
        <f>+W3/(1-0.02184)-W3</f>
        <v>0.1047166107794224</v>
      </c>
      <c r="X31" s="115"/>
      <c r="Y31" s="115"/>
      <c r="Z31" s="115"/>
      <c r="AB31" s="246" t="s">
        <v>146</v>
      </c>
      <c r="AC31" s="225">
        <v>1.12E-2</v>
      </c>
      <c r="AE31" s="189" t="s">
        <v>177</v>
      </c>
      <c r="AH31" s="108" t="s">
        <v>142</v>
      </c>
      <c r="AI31" s="166" t="s">
        <v>351</v>
      </c>
      <c r="AL31" s="173"/>
      <c r="AO31" s="173"/>
      <c r="AQ31" s="108" t="s">
        <v>957</v>
      </c>
      <c r="AR31" s="166" t="s">
        <v>961</v>
      </c>
    </row>
    <row r="32" spans="1:49" x14ac:dyDescent="0.2">
      <c r="A32" s="116"/>
      <c r="B32" s="117">
        <f>SUM(B29:B31)</f>
        <v>0.18013494423791782</v>
      </c>
      <c r="C32" s="118"/>
      <c r="D32" s="111"/>
      <c r="E32" s="117">
        <f>SUM(E29:E31)</f>
        <v>0.4126349442379178</v>
      </c>
      <c r="F32" s="110"/>
      <c r="G32" s="260"/>
      <c r="H32" s="205">
        <f>SUM(H29:H31)</f>
        <v>0.33246840775063224</v>
      </c>
      <c r="I32" s="118"/>
      <c r="J32" s="202"/>
      <c r="K32" s="205">
        <f>SUM(K29:K31)</f>
        <v>0.33930767274268753</v>
      </c>
      <c r="L32" s="118"/>
      <c r="M32" s="224"/>
      <c r="N32" s="227">
        <f>SUM(N29:N31)</f>
        <v>0.88080358260494207</v>
      </c>
      <c r="O32" s="118"/>
      <c r="P32" s="314"/>
      <c r="Q32" s="315">
        <f>SUM(Q29:Q31)</f>
        <v>0.15038973305954853</v>
      </c>
      <c r="R32" s="316"/>
      <c r="S32" s="116"/>
      <c r="T32" s="117">
        <f>SUM(T29:T31)</f>
        <v>0.11170870758006639</v>
      </c>
      <c r="U32" s="118"/>
      <c r="V32" s="116"/>
      <c r="W32" s="117">
        <f>SUM(W29:W31)</f>
        <v>0.1047166107794224</v>
      </c>
      <c r="X32" s="118"/>
      <c r="Y32" s="118"/>
      <c r="Z32" s="118"/>
      <c r="AB32" s="246" t="s">
        <v>60</v>
      </c>
      <c r="AC32" s="225">
        <f>0.0022+0.0072</f>
        <v>9.4000000000000004E-3</v>
      </c>
      <c r="AE32" s="258" t="s">
        <v>146</v>
      </c>
      <c r="AF32" s="203">
        <f>0.0152+0.002</f>
        <v>1.72E-2</v>
      </c>
      <c r="AH32" s="111" t="s">
        <v>146</v>
      </c>
      <c r="AI32" s="112">
        <v>0.115</v>
      </c>
      <c r="AK32" s="175"/>
      <c r="AN32" s="175"/>
      <c r="AQ32" s="111" t="s">
        <v>146</v>
      </c>
      <c r="AR32" s="112">
        <v>2.9999999999999997E-4</v>
      </c>
    </row>
    <row r="33" spans="1:44" x14ac:dyDescent="0.2">
      <c r="A33" s="108" t="s">
        <v>22</v>
      </c>
      <c r="B33" s="109" t="s">
        <v>163</v>
      </c>
      <c r="C33" s="110"/>
      <c r="D33" s="34" t="s">
        <v>22</v>
      </c>
      <c r="E33" s="34" t="s">
        <v>164</v>
      </c>
      <c r="F33" s="113"/>
      <c r="G33" s="261" t="s">
        <v>36</v>
      </c>
      <c r="H33" s="263" t="s">
        <v>892</v>
      </c>
      <c r="I33" s="110"/>
      <c r="J33" s="200" t="s">
        <v>135</v>
      </c>
      <c r="K33" s="201" t="s">
        <v>175</v>
      </c>
      <c r="L33" s="110"/>
      <c r="M33" s="222" t="s">
        <v>135</v>
      </c>
      <c r="N33" s="223" t="s">
        <v>218</v>
      </c>
      <c r="O33" s="110"/>
      <c r="P33" s="319"/>
      <c r="Q33" s="308"/>
      <c r="R33" s="308"/>
      <c r="S33" s="119" t="s">
        <v>137</v>
      </c>
      <c r="T33" s="168" t="s">
        <v>176</v>
      </c>
      <c r="U33" s="110"/>
      <c r="V33" s="119" t="s">
        <v>138</v>
      </c>
      <c r="W33" s="168" t="s">
        <v>914</v>
      </c>
      <c r="X33" s="110"/>
      <c r="Y33" s="110"/>
      <c r="Z33" s="110"/>
      <c r="AB33" s="443">
        <v>5.7999999999999996E-3</v>
      </c>
      <c r="AC33" s="226">
        <f>+AC3/(1-0.0058)-AC3</f>
        <v>2.7856568094950518E-2</v>
      </c>
      <c r="AE33" s="258" t="s">
        <v>60</v>
      </c>
      <c r="AF33" s="203">
        <f>0.002+0.0072+0.0022</f>
        <v>1.14E-2</v>
      </c>
      <c r="AH33" s="111" t="s">
        <v>60</v>
      </c>
      <c r="AI33" s="112">
        <f>0.0022+0.0012</f>
        <v>3.4000000000000002E-3</v>
      </c>
      <c r="AK33" s="176"/>
      <c r="AL33" s="173"/>
      <c r="AN33" s="176"/>
      <c r="AO33" s="173"/>
      <c r="AQ33" s="111" t="s">
        <v>60</v>
      </c>
      <c r="AR33" s="112">
        <f>0.0072+0.0022</f>
        <v>9.4000000000000004E-3</v>
      </c>
    </row>
    <row r="34" spans="1:44" x14ac:dyDescent="0.2">
      <c r="A34" s="111" t="s">
        <v>146</v>
      </c>
      <c r="B34" s="112">
        <v>2.7400000000000001E-2</v>
      </c>
      <c r="C34" s="113"/>
      <c r="D34" s="111" t="s">
        <v>146</v>
      </c>
      <c r="E34" s="122">
        <v>6.9400000000000003E-2</v>
      </c>
      <c r="F34" s="113"/>
      <c r="G34" s="260" t="s">
        <v>146</v>
      </c>
      <c r="H34" s="203">
        <v>0.1118</v>
      </c>
      <c r="I34" s="113"/>
      <c r="J34" s="202" t="s">
        <v>146</v>
      </c>
      <c r="K34" s="203">
        <v>9.2200000000000004E-2</v>
      </c>
      <c r="L34" s="113"/>
      <c r="M34" s="224" t="s">
        <v>146</v>
      </c>
      <c r="N34" s="225">
        <v>0.39829999999999999</v>
      </c>
      <c r="O34" s="113"/>
      <c r="P34" s="320"/>
      <c r="Q34" s="311"/>
      <c r="R34" s="311"/>
      <c r="S34" s="111" t="s">
        <v>146</v>
      </c>
      <c r="T34" s="442">
        <v>3.6600000000000001E-2</v>
      </c>
      <c r="U34" s="113"/>
      <c r="V34" s="111" t="s">
        <v>146</v>
      </c>
      <c r="W34" s="112">
        <v>0.05</v>
      </c>
      <c r="X34" s="113"/>
      <c r="Y34" s="113"/>
      <c r="Z34" s="113"/>
      <c r="AB34" s="248"/>
      <c r="AC34" s="227">
        <f>SUM(AC31:AC33)</f>
        <v>4.8456568094950518E-2</v>
      </c>
      <c r="AE34" s="258" t="s">
        <v>593</v>
      </c>
      <c r="AF34" s="204">
        <f>+AF3/(1-0.0169)-AF3</f>
        <v>7.7013528633913531E-2</v>
      </c>
      <c r="AH34" s="111" t="s">
        <v>1049</v>
      </c>
      <c r="AI34" s="114">
        <f>+AI3/(1-0.004)-AI3</f>
        <v>1.8514056224899988E-2</v>
      </c>
      <c r="AL34" s="173"/>
      <c r="AO34" s="173"/>
      <c r="AQ34" s="111" t="s">
        <v>962</v>
      </c>
      <c r="AR34" s="114">
        <f>+AR3/(1-0.02)-AR3</f>
        <v>9.6632653061224261E-2</v>
      </c>
    </row>
    <row r="35" spans="1:44" x14ac:dyDescent="0.2">
      <c r="A35" s="111" t="s">
        <v>60</v>
      </c>
      <c r="B35" s="112">
        <f>0.0022+0.0072+0.0097</f>
        <v>1.9099999999999999E-2</v>
      </c>
      <c r="C35" s="113"/>
      <c r="D35" s="111" t="s">
        <v>60</v>
      </c>
      <c r="E35" s="122">
        <v>0</v>
      </c>
      <c r="F35" s="115"/>
      <c r="G35" s="260" t="s">
        <v>60</v>
      </c>
      <c r="H35" s="203">
        <f>0.0022+0.0072</f>
        <v>9.4000000000000004E-3</v>
      </c>
      <c r="I35" s="113"/>
      <c r="J35" s="202" t="s">
        <v>60</v>
      </c>
      <c r="K35" s="203">
        <f>0.0022+0.0072</f>
        <v>9.4000000000000004E-3</v>
      </c>
      <c r="L35" s="113"/>
      <c r="M35" s="224" t="s">
        <v>60</v>
      </c>
      <c r="N35" s="225">
        <f>0.0022+0.0072</f>
        <v>9.4000000000000004E-3</v>
      </c>
      <c r="O35" s="113"/>
      <c r="P35" s="320"/>
      <c r="Q35" s="311"/>
      <c r="R35" s="311"/>
      <c r="S35" s="111" t="s">
        <v>60</v>
      </c>
      <c r="T35" s="442">
        <v>2.2000000000000001E-3</v>
      </c>
      <c r="U35" s="113"/>
      <c r="V35" s="111" t="s">
        <v>60</v>
      </c>
      <c r="W35" s="112">
        <f>0.0022</f>
        <v>2.2000000000000001E-3</v>
      </c>
      <c r="X35" s="113"/>
      <c r="Y35" s="113"/>
      <c r="Z35" s="113"/>
      <c r="AE35" s="260"/>
      <c r="AF35" s="205">
        <f>SUM(AF32:AF34)</f>
        <v>0.10561352863391353</v>
      </c>
      <c r="AH35" s="116"/>
      <c r="AI35" s="117">
        <f>SUM(AI32:AI34)</f>
        <v>0.13691405622489999</v>
      </c>
      <c r="AL35" s="173"/>
      <c r="AO35" s="173"/>
      <c r="AQ35" s="116"/>
      <c r="AR35" s="117">
        <f>SUM(AR32:AR34)</f>
        <v>0.10633265306122426</v>
      </c>
    </row>
    <row r="36" spans="1:44" x14ac:dyDescent="0.2">
      <c r="A36" s="111" t="s">
        <v>781</v>
      </c>
      <c r="B36" s="114">
        <f>B6/(1-0.0469)-B6</f>
        <v>0.2147922568460805</v>
      </c>
      <c r="C36" s="115"/>
      <c r="D36" s="111" t="s">
        <v>783</v>
      </c>
      <c r="E36" s="114">
        <f>+E5/(1-0.0046)-E5</f>
        <v>1.8022905364677655E-2</v>
      </c>
      <c r="F36" s="118"/>
      <c r="G36" s="260" t="s">
        <v>367</v>
      </c>
      <c r="H36" s="259">
        <f>(H3)/(1-0.058)-H3</f>
        <v>0.26968152866242079</v>
      </c>
      <c r="I36" s="115"/>
      <c r="J36" s="202" t="s">
        <v>749</v>
      </c>
      <c r="K36" s="204">
        <f>(K5)/(1-0.0704)-K5</f>
        <v>0.32829604130808931</v>
      </c>
      <c r="L36" s="115"/>
      <c r="M36" s="224" t="s">
        <v>755</v>
      </c>
      <c r="N36" s="226">
        <f>(N3)/(1-0.0612)-N3</f>
        <v>0.28944184064763512</v>
      </c>
      <c r="O36" s="115"/>
      <c r="P36" s="320"/>
      <c r="Q36" s="313"/>
      <c r="R36" s="313"/>
      <c r="S36" s="111" t="s">
        <v>982</v>
      </c>
      <c r="T36" s="114">
        <f>T3/(1-0.00603)-T3</f>
        <v>2.7208617966336668E-2</v>
      </c>
      <c r="U36" s="115"/>
      <c r="V36" s="111" t="s">
        <v>805</v>
      </c>
      <c r="W36" s="114">
        <f>+W3/(1-0.02184)-W3</f>
        <v>0.1047166107794224</v>
      </c>
      <c r="X36" s="115"/>
      <c r="Y36" s="115"/>
      <c r="Z36" s="115"/>
      <c r="AB36" s="244" t="s">
        <v>144</v>
      </c>
      <c r="AC36" s="245" t="s">
        <v>155</v>
      </c>
      <c r="AI36" s="182">
        <f>SUM(AI35,AI3)</f>
        <v>4.7469140562249006</v>
      </c>
      <c r="AR36" s="182"/>
    </row>
    <row r="37" spans="1:44" x14ac:dyDescent="0.2">
      <c r="A37" s="116"/>
      <c r="B37" s="117">
        <f>SUM(B34:B36)</f>
        <v>0.26129225684608048</v>
      </c>
      <c r="C37" s="118"/>
      <c r="D37" s="111"/>
      <c r="E37" s="117">
        <f>SUM(E34:E36)</f>
        <v>8.7422905364677658E-2</v>
      </c>
      <c r="F37" s="110"/>
      <c r="G37" s="260"/>
      <c r="H37" s="205">
        <f>SUM(H34:H36)</f>
        <v>0.39088152866242076</v>
      </c>
      <c r="I37" s="118"/>
      <c r="J37" s="202"/>
      <c r="K37" s="205">
        <f>SUM(K34:K36)</f>
        <v>0.42989604130808934</v>
      </c>
      <c r="L37" s="118"/>
      <c r="M37" s="224"/>
      <c r="N37" s="227">
        <f>SUM(N34:N36)</f>
        <v>0.69714184064763507</v>
      </c>
      <c r="O37" s="118"/>
      <c r="P37" s="322"/>
      <c r="Q37" s="323"/>
      <c r="R37" s="316"/>
      <c r="S37" s="116"/>
      <c r="T37" s="177">
        <f>SUM(T34:T36)</f>
        <v>6.6008617966336669E-2</v>
      </c>
      <c r="U37" s="118"/>
      <c r="V37" s="116"/>
      <c r="W37" s="117">
        <f>SUM(W34:W36)</f>
        <v>0.1569166107794224</v>
      </c>
      <c r="X37" s="118"/>
      <c r="Y37" s="118"/>
      <c r="Z37" s="118"/>
      <c r="AB37" s="246" t="s">
        <v>146</v>
      </c>
      <c r="AC37" s="225">
        <v>0</v>
      </c>
      <c r="AE37" s="189" t="s">
        <v>447</v>
      </c>
      <c r="AH37" s="108" t="s">
        <v>142</v>
      </c>
      <c r="AI37" s="166" t="s">
        <v>395</v>
      </c>
      <c r="AK37" s="175"/>
      <c r="AN37" s="175"/>
      <c r="AQ37" s="169"/>
      <c r="AR37" s="110"/>
    </row>
    <row r="38" spans="1:44" x14ac:dyDescent="0.2">
      <c r="A38" s="119" t="s">
        <v>22</v>
      </c>
      <c r="B38" s="109" t="s">
        <v>172</v>
      </c>
      <c r="C38" s="110"/>
      <c r="D38" s="167" t="s">
        <v>22</v>
      </c>
      <c r="E38" s="117" t="s">
        <v>173</v>
      </c>
      <c r="F38" s="113"/>
      <c r="G38" s="261" t="s">
        <v>36</v>
      </c>
      <c r="H38" s="263" t="s">
        <v>893</v>
      </c>
      <c r="I38" s="110"/>
      <c r="J38" s="200" t="s">
        <v>135</v>
      </c>
      <c r="K38" s="201" t="s">
        <v>181</v>
      </c>
      <c r="L38" s="110"/>
      <c r="M38" s="222" t="s">
        <v>135</v>
      </c>
      <c r="N38" s="223" t="s">
        <v>221</v>
      </c>
      <c r="O38" s="110"/>
      <c r="P38" s="319"/>
      <c r="Q38" s="308"/>
      <c r="R38" s="308"/>
      <c r="S38" s="119" t="s">
        <v>137</v>
      </c>
      <c r="T38" s="168" t="s">
        <v>384</v>
      </c>
      <c r="U38" s="110"/>
      <c r="V38" s="119"/>
      <c r="W38" s="168"/>
      <c r="X38" s="110"/>
      <c r="Y38" s="110"/>
      <c r="Z38" s="110"/>
      <c r="AB38" s="246" t="s">
        <v>60</v>
      </c>
      <c r="AC38" s="225">
        <f>0.0022+0.0072</f>
        <v>9.4000000000000004E-3</v>
      </c>
      <c r="AE38" s="258" t="s">
        <v>146</v>
      </c>
      <c r="AF38" s="203">
        <f>0.0152+0.002</f>
        <v>1.72E-2</v>
      </c>
      <c r="AH38" s="111" t="s">
        <v>146</v>
      </c>
      <c r="AI38" s="112">
        <v>0.13</v>
      </c>
      <c r="AK38" s="176"/>
      <c r="AL38" s="173"/>
      <c r="AN38" s="176"/>
      <c r="AO38" s="173"/>
      <c r="AQ38" s="171"/>
      <c r="AR38" s="113"/>
    </row>
    <row r="39" spans="1:44" x14ac:dyDescent="0.2">
      <c r="A39" s="111" t="s">
        <v>146</v>
      </c>
      <c r="B39" s="112">
        <v>3.2000000000000001E-2</v>
      </c>
      <c r="C39" s="113"/>
      <c r="D39" s="111" t="s">
        <v>146</v>
      </c>
      <c r="E39" s="122">
        <v>0.1038</v>
      </c>
      <c r="F39" s="113"/>
      <c r="G39" s="260" t="s">
        <v>146</v>
      </c>
      <c r="H39" s="203">
        <v>0.1231</v>
      </c>
      <c r="I39" s="113"/>
      <c r="J39" s="202" t="s">
        <v>146</v>
      </c>
      <c r="K39" s="203">
        <v>0.1071</v>
      </c>
      <c r="L39" s="113"/>
      <c r="M39" s="224" t="s">
        <v>146</v>
      </c>
      <c r="N39" s="225">
        <v>0.50290000000000001</v>
      </c>
      <c r="O39" s="113"/>
      <c r="P39" s="320"/>
      <c r="Q39" s="311"/>
      <c r="R39" s="311"/>
      <c r="S39" s="111" t="s">
        <v>146</v>
      </c>
      <c r="T39" s="442">
        <v>0.12039999999999999</v>
      </c>
      <c r="U39" s="113"/>
      <c r="V39" s="111"/>
      <c r="W39" s="112"/>
      <c r="X39" s="113"/>
      <c r="Y39" s="113"/>
      <c r="Z39" s="113"/>
      <c r="AB39" s="443">
        <v>5.7999999999999996E-3</v>
      </c>
      <c r="AC39" s="226">
        <f>+AC3/(1-0.0058)-AC3</f>
        <v>2.7856568094950518E-2</v>
      </c>
      <c r="AE39" s="258" t="s">
        <v>60</v>
      </c>
      <c r="AF39" s="203">
        <f>0.0072+0.0022</f>
        <v>9.4000000000000004E-3</v>
      </c>
      <c r="AH39" s="111" t="s">
        <v>60</v>
      </c>
      <c r="AI39" s="112">
        <f>0.0022+0.0007</f>
        <v>2.9000000000000002E-3</v>
      </c>
      <c r="AL39" s="173"/>
      <c r="AO39" s="173"/>
      <c r="AQ39" s="171"/>
      <c r="AR39" s="113"/>
    </row>
    <row r="40" spans="1:44" x14ac:dyDescent="0.2">
      <c r="A40" s="111" t="s">
        <v>60</v>
      </c>
      <c r="B40" s="112">
        <f>0.0022+0.0072+0.0097</f>
        <v>1.9099999999999999E-2</v>
      </c>
      <c r="C40" s="113"/>
      <c r="D40" s="111" t="s">
        <v>60</v>
      </c>
      <c r="E40" s="122">
        <f>0.0072+0.0022+0.0097</f>
        <v>1.9099999999999999E-2</v>
      </c>
      <c r="F40" s="115"/>
      <c r="G40" s="260" t="s">
        <v>60</v>
      </c>
      <c r="H40" s="203">
        <f>0.0022+0.0072</f>
        <v>9.4000000000000004E-3</v>
      </c>
      <c r="I40" s="113"/>
      <c r="J40" s="202" t="s">
        <v>60</v>
      </c>
      <c r="K40" s="203">
        <f>0.0022+0.0072</f>
        <v>9.4000000000000004E-3</v>
      </c>
      <c r="L40" s="113"/>
      <c r="M40" s="224" t="s">
        <v>60</v>
      </c>
      <c r="N40" s="225">
        <f>0.0022+0.0072</f>
        <v>9.4000000000000004E-3</v>
      </c>
      <c r="O40" s="113"/>
      <c r="P40" s="320"/>
      <c r="Q40" s="311"/>
      <c r="R40" s="311"/>
      <c r="S40" s="111" t="s">
        <v>60</v>
      </c>
      <c r="T40" s="442">
        <v>2.2000000000000001E-3</v>
      </c>
      <c r="U40" s="113"/>
      <c r="V40" s="111"/>
      <c r="W40" s="112"/>
      <c r="X40" s="113"/>
      <c r="Y40" s="113"/>
      <c r="Z40" s="113"/>
      <c r="AB40" s="248"/>
      <c r="AC40" s="227">
        <f>SUM(AC37:AC39)</f>
        <v>3.7256568094950517E-2</v>
      </c>
      <c r="AE40" s="258" t="s">
        <v>210</v>
      </c>
      <c r="AF40" s="204">
        <v>0</v>
      </c>
      <c r="AH40" s="111" t="s">
        <v>1050</v>
      </c>
      <c r="AI40" s="114">
        <f>+AI3/(1-0.002)-AI3</f>
        <v>9.2384769539082257E-3</v>
      </c>
      <c r="AL40" s="173"/>
      <c r="AO40" s="173"/>
      <c r="AQ40" s="171"/>
      <c r="AR40" s="115"/>
    </row>
    <row r="41" spans="1:44" x14ac:dyDescent="0.2">
      <c r="A41" s="111" t="s">
        <v>782</v>
      </c>
      <c r="B41" s="114">
        <f>B6/(1-0.0553)-B6</f>
        <v>0.2555144490314385</v>
      </c>
      <c r="C41" s="115"/>
      <c r="D41" s="111" t="s">
        <v>796</v>
      </c>
      <c r="E41" s="114">
        <f>E5/(1-0.0091)-E5</f>
        <v>3.5815924916742237E-2</v>
      </c>
      <c r="F41" s="118"/>
      <c r="G41" s="260" t="s">
        <v>368</v>
      </c>
      <c r="H41" s="259">
        <f>(H3)/(1-0.0672)-H3</f>
        <v>0.3155403087478561</v>
      </c>
      <c r="I41" s="115"/>
      <c r="J41" s="202" t="s">
        <v>750</v>
      </c>
      <c r="K41" s="204">
        <f>(K5)/(1-0.0797)-K5</f>
        <v>0.37542051504944052</v>
      </c>
      <c r="L41" s="115"/>
      <c r="M41" s="224" t="s">
        <v>756</v>
      </c>
      <c r="N41" s="226">
        <f>(N3)/(1-0.0705)-N3</f>
        <v>0.3367616998386227</v>
      </c>
      <c r="O41" s="115"/>
      <c r="P41" s="320"/>
      <c r="Q41" s="313"/>
      <c r="R41" s="313"/>
      <c r="S41" s="111" t="s">
        <v>983</v>
      </c>
      <c r="T41" s="114">
        <f>T4/(1-0.0282)-T4</f>
        <v>0.13188824861082526</v>
      </c>
      <c r="U41" s="115"/>
      <c r="V41" s="111"/>
      <c r="W41" s="114"/>
      <c r="X41" s="115"/>
      <c r="Y41" s="115"/>
      <c r="Z41" s="115"/>
      <c r="AE41" s="260"/>
      <c r="AF41" s="205">
        <f>SUM(AF38:AF40)</f>
        <v>2.6599999999999999E-2</v>
      </c>
      <c r="AH41" s="116"/>
      <c r="AI41" s="117">
        <f>SUM(AI38:AI40)</f>
        <v>0.14213847695390824</v>
      </c>
      <c r="AQ41" s="69"/>
      <c r="AR41" s="118"/>
    </row>
    <row r="42" spans="1:44" x14ac:dyDescent="0.2">
      <c r="A42" s="116"/>
      <c r="B42" s="117">
        <f>SUM(B39:B41)</f>
        <v>0.30661444903143847</v>
      </c>
      <c r="C42" s="118"/>
      <c r="D42" s="111"/>
      <c r="E42" s="117">
        <f>SUM(E39:E41)</f>
        <v>0.15871592491674225</v>
      </c>
      <c r="F42" s="110"/>
      <c r="G42" s="260"/>
      <c r="H42" s="205">
        <f>SUM(H39:H41)</f>
        <v>0.44804030874785611</v>
      </c>
      <c r="I42" s="118"/>
      <c r="J42" s="202"/>
      <c r="K42" s="205">
        <f>SUM(K39:K41)</f>
        <v>0.49192051504944051</v>
      </c>
      <c r="L42" s="118"/>
      <c r="M42" s="224"/>
      <c r="N42" s="227">
        <f>SUM(N39:N41)</f>
        <v>0.84906169983862267</v>
      </c>
      <c r="O42" s="118"/>
      <c r="P42" s="322"/>
      <c r="Q42" s="316"/>
      <c r="R42" s="316"/>
      <c r="S42" s="116"/>
      <c r="T42" s="117">
        <f>SUM(T39:T41)</f>
        <v>0.25448824861082525</v>
      </c>
      <c r="U42" s="118"/>
      <c r="V42" s="116"/>
      <c r="W42" s="117"/>
      <c r="X42" s="118"/>
      <c r="Y42" s="118"/>
      <c r="Z42" s="118"/>
      <c r="AI42" s="178">
        <f>+AI41+AI3</f>
        <v>4.7521384769539088</v>
      </c>
      <c r="AK42" s="175"/>
      <c r="AN42" s="175"/>
      <c r="AQ42" s="69"/>
      <c r="AR42" s="456"/>
    </row>
    <row r="43" spans="1:44" x14ac:dyDescent="0.2">
      <c r="A43" s="119" t="s">
        <v>22</v>
      </c>
      <c r="B43" s="109" t="s">
        <v>178</v>
      </c>
      <c r="C43" s="110"/>
      <c r="D43" s="34" t="s">
        <v>22</v>
      </c>
      <c r="E43" s="34" t="s">
        <v>179</v>
      </c>
      <c r="F43" s="113"/>
      <c r="G43" s="261" t="s">
        <v>36</v>
      </c>
      <c r="H43" s="263" t="s">
        <v>894</v>
      </c>
      <c r="I43" s="110"/>
      <c r="J43" s="200" t="s">
        <v>135</v>
      </c>
      <c r="K43" s="201" t="s">
        <v>185</v>
      </c>
      <c r="L43" s="110"/>
      <c r="M43" s="222" t="s">
        <v>135</v>
      </c>
      <c r="N43" s="223" t="s">
        <v>227</v>
      </c>
      <c r="O43" s="110"/>
      <c r="P43" s="308"/>
      <c r="Q43" s="308"/>
      <c r="R43" s="308"/>
      <c r="S43" s="110"/>
      <c r="T43" s="110"/>
      <c r="U43" s="110"/>
      <c r="V43" s="110"/>
      <c r="W43" s="110"/>
      <c r="X43" s="110"/>
      <c r="Y43" s="121"/>
      <c r="Z43" s="121"/>
      <c r="AH43" s="34" t="s">
        <v>271</v>
      </c>
      <c r="AK43" s="176"/>
      <c r="AL43" s="173"/>
      <c r="AN43" s="176"/>
      <c r="AO43" s="173"/>
    </row>
    <row r="44" spans="1:44" x14ac:dyDescent="0.2">
      <c r="A44" s="111" t="s">
        <v>146</v>
      </c>
      <c r="B44" s="112">
        <v>3.0000000000000001E-3</v>
      </c>
      <c r="C44" s="113"/>
      <c r="D44" s="111" t="s">
        <v>146</v>
      </c>
      <c r="E44" s="122">
        <v>0.2306</v>
      </c>
      <c r="F44" s="113"/>
      <c r="G44" s="260" t="s">
        <v>146</v>
      </c>
      <c r="H44" s="203">
        <v>0.1608</v>
      </c>
      <c r="I44" s="113"/>
      <c r="J44" s="202" t="s">
        <v>146</v>
      </c>
      <c r="K44" s="203">
        <v>1.47E-2</v>
      </c>
      <c r="L44" s="113"/>
      <c r="M44" s="224" t="s">
        <v>146</v>
      </c>
      <c r="N44" s="225">
        <v>0.31380000000000002</v>
      </c>
      <c r="O44" s="113"/>
      <c r="P44" s="319"/>
      <c r="Q44" s="308"/>
      <c r="R44" s="311"/>
      <c r="S44" s="119" t="s">
        <v>137</v>
      </c>
      <c r="T44" s="168" t="s">
        <v>190</v>
      </c>
      <c r="U44" s="113"/>
      <c r="V44" s="119"/>
      <c r="W44" s="168"/>
      <c r="X44" s="113"/>
      <c r="Y44" s="113"/>
      <c r="Z44" s="113"/>
      <c r="AL44" s="173"/>
      <c r="AO44" s="173"/>
    </row>
    <row r="45" spans="1:44" x14ac:dyDescent="0.2">
      <c r="A45" s="111" t="s">
        <v>60</v>
      </c>
      <c r="B45" s="112">
        <f>0.0022+0.0072+0.0097</f>
        <v>1.9099999999999999E-2</v>
      </c>
      <c r="C45" s="113"/>
      <c r="D45" s="111" t="s">
        <v>60</v>
      </c>
      <c r="E45" s="122">
        <f>0.0072+0.0022+0.0097</f>
        <v>1.9099999999999999E-2</v>
      </c>
      <c r="F45" s="115"/>
      <c r="G45" s="260" t="s">
        <v>60</v>
      </c>
      <c r="H45" s="203">
        <f>0.0022+0.0072</f>
        <v>9.4000000000000004E-3</v>
      </c>
      <c r="I45" s="113"/>
      <c r="J45" s="202" t="s">
        <v>60</v>
      </c>
      <c r="K45" s="203">
        <f>0.0022</f>
        <v>2.2000000000000001E-3</v>
      </c>
      <c r="L45" s="113"/>
      <c r="M45" s="224" t="s">
        <v>60</v>
      </c>
      <c r="N45" s="225">
        <f>0.0022+0.0072</f>
        <v>9.4000000000000004E-3</v>
      </c>
      <c r="O45" s="113"/>
      <c r="P45" s="320"/>
      <c r="Q45" s="311"/>
      <c r="R45" s="311"/>
      <c r="S45" s="111" t="s">
        <v>146</v>
      </c>
      <c r="T45" s="112">
        <v>0.03</v>
      </c>
      <c r="U45" s="113"/>
      <c r="V45" s="111"/>
      <c r="W45" s="112"/>
      <c r="X45" s="113"/>
      <c r="Y45" s="113"/>
      <c r="Z45" s="113"/>
      <c r="AH45" s="175">
        <v>36739</v>
      </c>
      <c r="AL45" s="173"/>
      <c r="AO45" s="173"/>
      <c r="AQ45" s="175"/>
    </row>
    <row r="46" spans="1:44" x14ac:dyDescent="0.2">
      <c r="A46" s="111" t="s">
        <v>783</v>
      </c>
      <c r="B46" s="114">
        <f>B4/(1-0.0046)-B4</f>
        <v>2.1858549326903898E-2</v>
      </c>
      <c r="C46" s="115"/>
      <c r="D46" s="111" t="s">
        <v>785</v>
      </c>
      <c r="E46" s="114">
        <f>(E5)/(1-0.0281)-E5</f>
        <v>0.1127585142504377</v>
      </c>
      <c r="F46" s="118"/>
      <c r="G46" s="260" t="s">
        <v>369</v>
      </c>
      <c r="H46" s="259">
        <f>(H3)/(1-0.0742)-H3</f>
        <v>0.35104342190537974</v>
      </c>
      <c r="I46" s="115"/>
      <c r="J46" s="202" t="s">
        <v>235</v>
      </c>
      <c r="K46" s="204">
        <f>(K4)/(1-0.0191)-K4</f>
        <v>8.6260577021103124E-2</v>
      </c>
      <c r="L46" s="115"/>
      <c r="M46" s="224" t="s">
        <v>757</v>
      </c>
      <c r="N46" s="226">
        <f>(N6)/(1-0.0372)-(N6)</f>
        <v>0.17560656418778553</v>
      </c>
      <c r="O46" s="115"/>
      <c r="P46" s="320"/>
      <c r="Q46" s="311"/>
      <c r="R46" s="313"/>
      <c r="S46" s="111" t="s">
        <v>60</v>
      </c>
      <c r="T46" s="112">
        <v>2.2000000000000001E-3</v>
      </c>
      <c r="U46" s="115"/>
      <c r="V46" s="111"/>
      <c r="W46" s="112"/>
      <c r="X46" s="115"/>
      <c r="Y46" s="115"/>
      <c r="Z46" s="115"/>
      <c r="AH46" s="176" t="s">
        <v>272</v>
      </c>
      <c r="AI46" s="173">
        <v>2E-3</v>
      </c>
      <c r="AQ46" s="176"/>
      <c r="AR46" s="173"/>
    </row>
    <row r="47" spans="1:44" x14ac:dyDescent="0.2">
      <c r="A47" s="116"/>
      <c r="B47" s="117">
        <f>SUM(B44:B46)</f>
        <v>4.3958549326903892E-2</v>
      </c>
      <c r="C47" s="118"/>
      <c r="D47" s="111"/>
      <c r="E47" s="117">
        <f>SUM(E44:E46)</f>
        <v>0.36245851425043774</v>
      </c>
      <c r="F47" s="121"/>
      <c r="G47" s="260"/>
      <c r="H47" s="205">
        <f>SUM(H44:H46)</f>
        <v>0.52124342190537976</v>
      </c>
      <c r="I47" s="118"/>
      <c r="J47" s="202"/>
      <c r="K47" s="205">
        <f>SUM(K44:K46)</f>
        <v>0.10316057702110312</v>
      </c>
      <c r="L47" s="118"/>
      <c r="M47" s="224"/>
      <c r="N47" s="227">
        <f>SUM(N44:N46)</f>
        <v>0.49880656418778557</v>
      </c>
      <c r="O47" s="118"/>
      <c r="P47" s="320"/>
      <c r="Q47" s="313"/>
      <c r="R47" s="316"/>
      <c r="S47" s="111" t="s">
        <v>982</v>
      </c>
      <c r="T47" s="114">
        <f>T3/(1-0.00603)-T3</f>
        <v>2.7208617966336668E-2</v>
      </c>
      <c r="U47" s="118"/>
      <c r="V47" s="111"/>
      <c r="W47" s="114"/>
      <c r="X47" s="118"/>
      <c r="Y47" s="118"/>
      <c r="Z47" s="118"/>
      <c r="AH47" s="34" t="s">
        <v>273</v>
      </c>
      <c r="AI47" s="173">
        <v>4.0000000000000001E-3</v>
      </c>
      <c r="AK47" s="175"/>
      <c r="AN47" s="175"/>
      <c r="AR47" s="173"/>
    </row>
    <row r="48" spans="1:44" x14ac:dyDescent="0.2">
      <c r="A48" s="110" t="s">
        <v>22</v>
      </c>
      <c r="B48" s="109" t="s">
        <v>182</v>
      </c>
      <c r="C48" s="110"/>
      <c r="D48" s="167" t="s">
        <v>22</v>
      </c>
      <c r="E48" s="117" t="s">
        <v>183</v>
      </c>
      <c r="F48" s="113"/>
      <c r="G48" s="261" t="s">
        <v>36</v>
      </c>
      <c r="H48" s="262" t="s">
        <v>895</v>
      </c>
      <c r="I48" s="121"/>
      <c r="J48" s="200" t="s">
        <v>135</v>
      </c>
      <c r="K48" s="201" t="s">
        <v>189</v>
      </c>
      <c r="L48" s="121"/>
      <c r="M48" s="222" t="s">
        <v>135</v>
      </c>
      <c r="N48" s="223" t="s">
        <v>229</v>
      </c>
      <c r="O48" s="121"/>
      <c r="P48" s="322"/>
      <c r="Q48" s="316"/>
      <c r="R48" s="308"/>
      <c r="S48" s="116"/>
      <c r="T48" s="117">
        <f>SUM(T45:T47)</f>
        <v>5.9408617966336667E-2</v>
      </c>
      <c r="U48" s="110"/>
      <c r="V48" s="116"/>
      <c r="W48" s="117"/>
      <c r="X48" s="110"/>
      <c r="Y48" s="121"/>
      <c r="Z48" s="121"/>
      <c r="AH48" s="34" t="s">
        <v>274</v>
      </c>
      <c r="AI48" s="173">
        <v>2E-3</v>
      </c>
      <c r="AK48" s="176"/>
      <c r="AL48" s="173"/>
      <c r="AN48" s="176"/>
      <c r="AO48" s="173"/>
      <c r="AR48" s="173"/>
    </row>
    <row r="49" spans="1:44" x14ac:dyDescent="0.2">
      <c r="A49" s="119" t="s">
        <v>146</v>
      </c>
      <c r="B49" s="112">
        <v>5.4999999999999997E-3</v>
      </c>
      <c r="C49" s="113"/>
      <c r="D49" s="111" t="s">
        <v>146</v>
      </c>
      <c r="E49" s="122">
        <v>7.9200000000000007E-2</v>
      </c>
      <c r="F49" s="113"/>
      <c r="G49" s="258" t="s">
        <v>146</v>
      </c>
      <c r="H49" s="203">
        <v>2.86E-2</v>
      </c>
      <c r="I49" s="113"/>
      <c r="J49" s="202" t="s">
        <v>146</v>
      </c>
      <c r="K49" s="203">
        <v>1.95E-2</v>
      </c>
      <c r="L49" s="113"/>
      <c r="M49" s="224" t="s">
        <v>146</v>
      </c>
      <c r="N49" s="225">
        <v>0.41839999999999999</v>
      </c>
      <c r="O49" s="113"/>
      <c r="P49" s="322"/>
      <c r="Q49" s="316"/>
      <c r="R49" s="311"/>
      <c r="S49" s="116"/>
      <c r="T49" s="117"/>
      <c r="U49" s="113"/>
      <c r="V49" s="116"/>
      <c r="W49" s="117"/>
      <c r="X49" s="113"/>
      <c r="Y49" s="113"/>
      <c r="Z49" s="113"/>
      <c r="AL49" s="173"/>
      <c r="AO49" s="173"/>
      <c r="AR49" s="173"/>
    </row>
    <row r="50" spans="1:44" x14ac:dyDescent="0.2">
      <c r="A50" s="111" t="s">
        <v>60</v>
      </c>
      <c r="B50" s="112">
        <v>2.2000000000000001E-3</v>
      </c>
      <c r="C50" s="113"/>
      <c r="D50" s="111" t="s">
        <v>60</v>
      </c>
      <c r="E50" s="122">
        <f>0.0072+0.0022+0.0097</f>
        <v>1.9099999999999999E-2</v>
      </c>
      <c r="F50" s="115"/>
      <c r="G50" s="258" t="s">
        <v>60</v>
      </c>
      <c r="H50" s="203">
        <f>0.0022+0.0072+0.0225</f>
        <v>3.1899999999999998E-2</v>
      </c>
      <c r="I50" s="113"/>
      <c r="J50" s="202" t="s">
        <v>60</v>
      </c>
      <c r="K50" s="203">
        <f>0.0022+0.0072</f>
        <v>9.4000000000000004E-3</v>
      </c>
      <c r="L50" s="113"/>
      <c r="M50" s="224" t="s">
        <v>60</v>
      </c>
      <c r="N50" s="225">
        <f>0.0022+0.0072</f>
        <v>9.4000000000000004E-3</v>
      </c>
      <c r="O50" s="113"/>
      <c r="P50" s="319"/>
      <c r="Q50" s="308"/>
      <c r="R50" s="311"/>
      <c r="S50" s="119" t="s">
        <v>137</v>
      </c>
      <c r="T50" s="168" t="s">
        <v>193</v>
      </c>
      <c r="U50" s="113"/>
      <c r="V50" s="119"/>
      <c r="W50" s="168"/>
      <c r="X50" s="113"/>
      <c r="Y50" s="113"/>
      <c r="Z50" s="113"/>
      <c r="AH50" s="175">
        <v>36708</v>
      </c>
      <c r="AL50" s="173"/>
      <c r="AO50" s="173"/>
      <c r="AQ50" s="175"/>
    </row>
    <row r="51" spans="1:44" x14ac:dyDescent="0.2">
      <c r="A51" s="111" t="s">
        <v>784</v>
      </c>
      <c r="B51" s="114">
        <f>B5/(1-0.0091)-B5</f>
        <v>4.1142395801796461E-2</v>
      </c>
      <c r="C51" s="115"/>
      <c r="D51" s="111" t="s">
        <v>427</v>
      </c>
      <c r="E51" s="114">
        <f>(E4)/(1-0.0045)-E4</f>
        <v>2.1381215469612691E-2</v>
      </c>
      <c r="F51" s="118"/>
      <c r="G51" s="258" t="s">
        <v>370</v>
      </c>
      <c r="H51" s="264">
        <f>(H4)/(1-0.0095)-H4</f>
        <v>4.2248864209994963E-2</v>
      </c>
      <c r="I51" s="115"/>
      <c r="J51" s="202" t="s">
        <v>592</v>
      </c>
      <c r="K51" s="204">
        <f>(K4)/(1-0.0268)-K4</f>
        <v>0.12199342375667932</v>
      </c>
      <c r="L51" s="115"/>
      <c r="M51" s="224" t="s">
        <v>758</v>
      </c>
      <c r="N51" s="226">
        <f>(N6)/(1-0.0465)-(N6)</f>
        <v>0.2216491872050339</v>
      </c>
      <c r="O51" s="115"/>
      <c r="P51" s="320"/>
      <c r="Q51" s="311"/>
      <c r="R51" s="313"/>
      <c r="S51" s="111" t="s">
        <v>146</v>
      </c>
      <c r="T51" s="112">
        <v>0.03</v>
      </c>
      <c r="U51" s="115"/>
      <c r="V51" s="111"/>
      <c r="W51" s="112"/>
      <c r="X51" s="115"/>
      <c r="Y51" s="115"/>
      <c r="Z51" s="115"/>
      <c r="AH51" s="176" t="s">
        <v>272</v>
      </c>
      <c r="AI51" s="173">
        <v>2E-3</v>
      </c>
      <c r="AQ51" s="176"/>
      <c r="AR51" s="173"/>
    </row>
    <row r="52" spans="1:44" x14ac:dyDescent="0.2">
      <c r="A52" s="111"/>
      <c r="B52" s="117">
        <f>SUM(B49:B51)</f>
        <v>4.8842395801796459E-2</v>
      </c>
      <c r="C52" s="118"/>
      <c r="D52" s="111"/>
      <c r="E52" s="117">
        <f>SUM(E49:E51)</f>
        <v>0.11968121546961269</v>
      </c>
      <c r="F52" s="121"/>
      <c r="G52" s="260"/>
      <c r="H52" s="205">
        <f>SUM(H49:H51)</f>
        <v>0.10274886420999496</v>
      </c>
      <c r="I52" s="118"/>
      <c r="J52" s="202"/>
      <c r="K52" s="205">
        <f>SUM(K49:K51)</f>
        <v>0.15089342375667933</v>
      </c>
      <c r="L52" s="118"/>
      <c r="M52" s="224"/>
      <c r="N52" s="227">
        <f>SUM(N49:N51)</f>
        <v>0.64944918720503386</v>
      </c>
      <c r="O52" s="118"/>
      <c r="P52" s="320"/>
      <c r="Q52" s="311"/>
      <c r="R52" s="316"/>
      <c r="S52" s="111" t="s">
        <v>60</v>
      </c>
      <c r="T52" s="112">
        <v>2.2000000000000001E-3</v>
      </c>
      <c r="U52" s="118"/>
      <c r="V52" s="111"/>
      <c r="W52" s="112"/>
      <c r="X52" s="118"/>
      <c r="Y52" s="118"/>
      <c r="Z52" s="118"/>
      <c r="AH52" s="34" t="s">
        <v>273</v>
      </c>
      <c r="AI52" s="173">
        <v>4.0000000000000001E-3</v>
      </c>
      <c r="AR52" s="173"/>
    </row>
    <row r="53" spans="1:44" x14ac:dyDescent="0.2">
      <c r="A53" s="116" t="s">
        <v>22</v>
      </c>
      <c r="B53" s="109" t="s">
        <v>727</v>
      </c>
      <c r="C53" s="121"/>
      <c r="D53" s="34" t="s">
        <v>22</v>
      </c>
      <c r="E53" s="34" t="s">
        <v>187</v>
      </c>
      <c r="F53" s="113"/>
      <c r="G53" s="261" t="s">
        <v>36</v>
      </c>
      <c r="H53" s="262" t="s">
        <v>896</v>
      </c>
      <c r="I53" s="121"/>
      <c r="J53" s="200" t="s">
        <v>135</v>
      </c>
      <c r="K53" s="201" t="s">
        <v>192</v>
      </c>
      <c r="L53" s="121"/>
      <c r="M53" s="222" t="s">
        <v>135</v>
      </c>
      <c r="N53" s="227" t="s">
        <v>233</v>
      </c>
      <c r="O53" s="121"/>
      <c r="P53" s="320"/>
      <c r="Q53" s="313"/>
      <c r="R53" s="324"/>
      <c r="S53" s="111" t="s">
        <v>983</v>
      </c>
      <c r="T53" s="114">
        <f>T4/(1-0.0282)-T4</f>
        <v>0.13188824861082526</v>
      </c>
      <c r="U53" s="121"/>
      <c r="V53" s="111"/>
      <c r="W53" s="114"/>
      <c r="X53" s="121"/>
      <c r="Y53" s="110"/>
      <c r="Z53" s="110"/>
      <c r="AH53" s="34" t="s">
        <v>274</v>
      </c>
      <c r="AI53" s="173">
        <v>2E-3</v>
      </c>
      <c r="AR53" s="173"/>
    </row>
    <row r="54" spans="1:44" x14ac:dyDescent="0.2">
      <c r="A54" s="116" t="s">
        <v>146</v>
      </c>
      <c r="B54" s="112">
        <v>1.66E-2</v>
      </c>
      <c r="C54" s="113"/>
      <c r="D54" s="111" t="s">
        <v>146</v>
      </c>
      <c r="E54" s="122">
        <v>0.20599999999999999</v>
      </c>
      <c r="F54" s="113"/>
      <c r="G54" s="258" t="s">
        <v>146</v>
      </c>
      <c r="H54" s="203">
        <v>5.7200000000000001E-2</v>
      </c>
      <c r="I54" s="113"/>
      <c r="J54" s="202" t="s">
        <v>146</v>
      </c>
      <c r="K54" s="203">
        <v>6.6699999999999995E-2</v>
      </c>
      <c r="L54" s="113"/>
      <c r="M54" s="224" t="s">
        <v>146</v>
      </c>
      <c r="N54" s="230">
        <v>0.34389999999999998</v>
      </c>
      <c r="O54" s="113"/>
      <c r="P54" s="322"/>
      <c r="Q54" s="316"/>
      <c r="R54" s="311"/>
      <c r="S54" s="116"/>
      <c r="T54" s="117">
        <f>SUM(T51:T53)</f>
        <v>0.16408824861082527</v>
      </c>
      <c r="U54" s="113"/>
      <c r="V54" s="116"/>
      <c r="W54" s="117"/>
      <c r="X54" s="113"/>
      <c r="Y54" s="113"/>
      <c r="Z54" s="113"/>
      <c r="AR54" s="173"/>
    </row>
    <row r="55" spans="1:44" x14ac:dyDescent="0.2">
      <c r="A55" s="119" t="s">
        <v>60</v>
      </c>
      <c r="B55" s="112">
        <f>0.0022+0.0072+0.0097</f>
        <v>1.9099999999999999E-2</v>
      </c>
      <c r="C55" s="113"/>
      <c r="D55" s="111" t="s">
        <v>60</v>
      </c>
      <c r="E55" s="122">
        <f>0.0072+0.0022+0.0097</f>
        <v>1.9099999999999999E-2</v>
      </c>
      <c r="F55" s="115"/>
      <c r="G55" s="258" t="s">
        <v>60</v>
      </c>
      <c r="H55" s="203">
        <f>0.0022+0.0072+0.0225</f>
        <v>3.1899999999999998E-2</v>
      </c>
      <c r="I55" s="113"/>
      <c r="J55" s="202" t="s">
        <v>60</v>
      </c>
      <c r="K55" s="203">
        <f>0.0022+0.0072</f>
        <v>9.4000000000000004E-3</v>
      </c>
      <c r="L55" s="113"/>
      <c r="M55" s="224" t="s">
        <v>60</v>
      </c>
      <c r="N55" s="225">
        <f>0.0022+0.0072</f>
        <v>9.4000000000000004E-3</v>
      </c>
      <c r="O55" s="113"/>
      <c r="P55" s="308"/>
      <c r="Q55" s="316"/>
      <c r="R55" s="311"/>
      <c r="S55" s="110"/>
      <c r="T55" s="118">
        <f>+T54+T48</f>
        <v>0.22349686657716195</v>
      </c>
      <c r="U55" s="113"/>
      <c r="V55" s="110"/>
      <c r="W55" s="118"/>
      <c r="X55" s="113"/>
      <c r="Y55" s="113"/>
      <c r="Z55" s="113"/>
      <c r="AH55" s="175">
        <v>36678</v>
      </c>
      <c r="AQ55" s="175"/>
    </row>
    <row r="56" spans="1:44" x14ac:dyDescent="0.2">
      <c r="A56" s="111" t="s">
        <v>785</v>
      </c>
      <c r="B56" s="114">
        <f>B$5/(1-0.0281)-B$5</f>
        <v>0.12952772919024635</v>
      </c>
      <c r="C56" s="115"/>
      <c r="D56" s="111" t="s">
        <v>788</v>
      </c>
      <c r="E56" s="114">
        <f>(E4)/(1-0.0235)-E4</f>
        <v>0.11383000512032737</v>
      </c>
      <c r="F56" s="118"/>
      <c r="G56" s="258" t="s">
        <v>371</v>
      </c>
      <c r="H56" s="264">
        <f>(H4)/(1-0.017)-H4</f>
        <v>7.6180061037639746E-2</v>
      </c>
      <c r="I56" s="115"/>
      <c r="J56" s="202" t="s">
        <v>751</v>
      </c>
      <c r="K56" s="204">
        <f>(K4)/(1-0.05)-K4</f>
        <v>0.23315789473684223</v>
      </c>
      <c r="L56" s="115"/>
      <c r="M56" s="224" t="s">
        <v>760</v>
      </c>
      <c r="N56" s="226">
        <f>(N6)/(1-0.0399)-N6</f>
        <v>0.18888188730340616</v>
      </c>
      <c r="O56" s="115"/>
      <c r="P56" s="319"/>
      <c r="Q56" s="308"/>
      <c r="R56" s="313"/>
      <c r="S56" s="108" t="s">
        <v>47</v>
      </c>
      <c r="T56" s="166" t="s">
        <v>47</v>
      </c>
      <c r="U56" s="115"/>
      <c r="V56" s="108"/>
      <c r="W56" s="166"/>
      <c r="X56" s="115"/>
      <c r="Y56" s="115"/>
      <c r="Z56" s="115"/>
      <c r="AH56" s="176" t="s">
        <v>272</v>
      </c>
      <c r="AI56" s="173">
        <v>1E-4</v>
      </c>
      <c r="AQ56" s="176"/>
      <c r="AR56" s="173"/>
    </row>
    <row r="57" spans="1:44" x14ac:dyDescent="0.2">
      <c r="A57" s="111"/>
      <c r="B57" s="117">
        <f>SUM(B54:B56)</f>
        <v>0.16522772919024636</v>
      </c>
      <c r="C57" s="118"/>
      <c r="D57" s="111"/>
      <c r="E57" s="117">
        <f>SUM(E54:E56)</f>
        <v>0.33893000512032734</v>
      </c>
      <c r="F57" s="110"/>
      <c r="G57" s="260"/>
      <c r="H57" s="205">
        <f>SUM(H54:H56)</f>
        <v>0.16528006103763976</v>
      </c>
      <c r="I57" s="118"/>
      <c r="J57" s="202"/>
      <c r="K57" s="205">
        <f>SUM(K54:K56)</f>
        <v>0.30925789473684223</v>
      </c>
      <c r="L57" s="118"/>
      <c r="M57" s="224"/>
      <c r="N57" s="227">
        <f>SUM(N54:N56)</f>
        <v>0.54218188730340611</v>
      </c>
      <c r="O57" s="118"/>
      <c r="P57" s="320"/>
      <c r="Q57" s="311"/>
      <c r="R57" s="316"/>
      <c r="S57" s="111"/>
      <c r="T57" s="112" t="s">
        <v>47</v>
      </c>
      <c r="U57" s="118"/>
      <c r="V57" s="111"/>
      <c r="W57" s="112"/>
      <c r="X57" s="118"/>
      <c r="Y57" s="118"/>
      <c r="Z57" s="118"/>
      <c r="AH57" s="34" t="s">
        <v>273</v>
      </c>
      <c r="AI57" s="173">
        <v>2.0000000000000001E-4</v>
      </c>
      <c r="AR57" s="173"/>
    </row>
    <row r="58" spans="1:44" x14ac:dyDescent="0.2">
      <c r="A58" s="116" t="s">
        <v>22</v>
      </c>
      <c r="B58" s="109" t="s">
        <v>186</v>
      </c>
      <c r="C58" s="121"/>
      <c r="D58" s="34" t="s">
        <v>22</v>
      </c>
      <c r="E58" s="34" t="s">
        <v>335</v>
      </c>
      <c r="F58" s="113"/>
      <c r="G58" s="261" t="s">
        <v>36</v>
      </c>
      <c r="H58" s="262" t="s">
        <v>897</v>
      </c>
      <c r="I58" s="110"/>
      <c r="J58" s="200" t="s">
        <v>135</v>
      </c>
      <c r="K58" s="201" t="s">
        <v>196</v>
      </c>
      <c r="L58" s="110"/>
      <c r="M58" s="222" t="s">
        <v>135</v>
      </c>
      <c r="N58" s="227" t="s">
        <v>234</v>
      </c>
      <c r="O58" s="110"/>
      <c r="P58" s="320"/>
      <c r="Q58" s="311"/>
      <c r="R58" s="324"/>
      <c r="S58" s="111"/>
      <c r="T58" s="112"/>
      <c r="U58" s="121"/>
      <c r="V58" s="111"/>
      <c r="W58" s="112"/>
      <c r="X58" s="121"/>
      <c r="Y58" s="110"/>
      <c r="Z58" s="110"/>
      <c r="AH58" s="34" t="s">
        <v>274</v>
      </c>
      <c r="AI58" s="173">
        <v>1E-4</v>
      </c>
      <c r="AR58" s="173"/>
    </row>
    <row r="59" spans="1:44" x14ac:dyDescent="0.2">
      <c r="A59" s="116" t="s">
        <v>146</v>
      </c>
      <c r="B59" s="112">
        <v>2.5399999999999999E-2</v>
      </c>
      <c r="C59" s="113"/>
      <c r="D59" s="111" t="s">
        <v>146</v>
      </c>
      <c r="E59" s="122">
        <v>0.3528</v>
      </c>
      <c r="F59" s="113"/>
      <c r="G59" s="258" t="s">
        <v>146</v>
      </c>
      <c r="H59" s="203">
        <v>7.7600000000000002E-2</v>
      </c>
      <c r="I59" s="113"/>
      <c r="J59" s="202" t="s">
        <v>146</v>
      </c>
      <c r="K59" s="203">
        <v>8.8099999999999998E-2</v>
      </c>
      <c r="L59" s="113"/>
      <c r="M59" s="224" t="s">
        <v>146</v>
      </c>
      <c r="N59" s="230">
        <v>0.1908</v>
      </c>
      <c r="O59" s="113"/>
      <c r="P59" s="320"/>
      <c r="Q59" s="313"/>
      <c r="R59" s="311"/>
      <c r="S59" s="111"/>
      <c r="T59" s="114"/>
      <c r="U59" s="113"/>
      <c r="V59" s="111"/>
      <c r="W59" s="114"/>
      <c r="X59" s="113"/>
      <c r="Y59" s="113"/>
      <c r="Z59" s="113"/>
      <c r="AR59" s="173"/>
    </row>
    <row r="60" spans="1:44" x14ac:dyDescent="0.2">
      <c r="A60" s="119" t="s">
        <v>60</v>
      </c>
      <c r="B60" s="112">
        <f>0.0022+0.0072+0.0097</f>
        <v>1.9099999999999999E-2</v>
      </c>
      <c r="C60" s="113"/>
      <c r="D60" s="111" t="s">
        <v>60</v>
      </c>
      <c r="E60" s="122">
        <f>0.0097+0.0072+0.0022</f>
        <v>1.9099999999999999E-2</v>
      </c>
      <c r="F60" s="115"/>
      <c r="G60" s="258" t="s">
        <v>60</v>
      </c>
      <c r="H60" s="203">
        <f>0.0022+0.0072</f>
        <v>9.4000000000000004E-3</v>
      </c>
      <c r="I60" s="113"/>
      <c r="J60" s="202" t="s">
        <v>60</v>
      </c>
      <c r="K60" s="203">
        <f>0.0022+0.0072</f>
        <v>9.4000000000000004E-3</v>
      </c>
      <c r="L60" s="113"/>
      <c r="M60" s="224" t="s">
        <v>60</v>
      </c>
      <c r="N60" s="225">
        <f>0.0022+0.0072</f>
        <v>9.4000000000000004E-3</v>
      </c>
      <c r="O60" s="113"/>
      <c r="P60" s="322"/>
      <c r="Q60" s="316"/>
      <c r="R60" s="311"/>
      <c r="S60" s="116" t="s">
        <v>47</v>
      </c>
      <c r="T60" s="117" t="s">
        <v>47</v>
      </c>
      <c r="U60" s="113"/>
      <c r="V60" s="116"/>
      <c r="W60" s="117"/>
      <c r="X60" s="113"/>
      <c r="Y60" s="113"/>
      <c r="Z60" s="113"/>
      <c r="AH60" s="175">
        <v>36647</v>
      </c>
      <c r="AQ60" s="175"/>
    </row>
    <row r="61" spans="1:44" x14ac:dyDescent="0.2">
      <c r="A61" s="111" t="s">
        <v>786</v>
      </c>
      <c r="B61" s="114">
        <f>B5/(1-0.0434)-B5</f>
        <v>0.20325318837549666</v>
      </c>
      <c r="C61" s="115"/>
      <c r="D61" s="111" t="s">
        <v>388</v>
      </c>
      <c r="E61" s="114">
        <f>(E4)/(1-0.0472)-E4</f>
        <v>0.23431570109151956</v>
      </c>
      <c r="F61" s="118"/>
      <c r="G61" s="258" t="s">
        <v>372</v>
      </c>
      <c r="H61" s="259">
        <f>(H4)/(1-0.0369)-H4</f>
        <v>0.16877219395701371</v>
      </c>
      <c r="I61" s="115"/>
      <c r="J61" s="202" t="s">
        <v>752</v>
      </c>
      <c r="K61" s="204">
        <f>(K4)/(1-0.064)-K4</f>
        <v>0.30290598290598325</v>
      </c>
      <c r="L61" s="115"/>
      <c r="M61" s="224" t="s">
        <v>656</v>
      </c>
      <c r="N61" s="226">
        <f>(N7)/(1-0.026)-N7</f>
        <v>0.12746406570841895</v>
      </c>
      <c r="O61" s="115"/>
      <c r="P61" s="319"/>
      <c r="Q61" s="308"/>
      <c r="R61" s="313"/>
      <c r="S61" s="119" t="s">
        <v>47</v>
      </c>
      <c r="T61" s="168" t="s">
        <v>47</v>
      </c>
      <c r="U61" s="115"/>
      <c r="V61" s="119"/>
      <c r="W61" s="168"/>
      <c r="X61" s="115"/>
      <c r="Y61" s="115"/>
      <c r="Z61" s="115"/>
      <c r="AH61" s="176" t="s">
        <v>272</v>
      </c>
      <c r="AI61" s="173">
        <v>0</v>
      </c>
      <c r="AQ61" s="176"/>
      <c r="AR61" s="173"/>
    </row>
    <row r="62" spans="1:44" x14ac:dyDescent="0.2">
      <c r="A62" s="111"/>
      <c r="B62" s="117">
        <f>SUM(B59:B61)</f>
        <v>0.24775318837549665</v>
      </c>
      <c r="C62" s="118"/>
      <c r="D62" s="111"/>
      <c r="E62" s="117">
        <f>SUM(E59:E61)</f>
        <v>0.60621570109151957</v>
      </c>
      <c r="F62" s="110"/>
      <c r="G62" s="260"/>
      <c r="H62" s="205">
        <f>SUM(H59:H61)</f>
        <v>0.25577219395701373</v>
      </c>
      <c r="I62" s="118"/>
      <c r="J62" s="202"/>
      <c r="K62" s="205">
        <f>SUM(K59:K61)</f>
        <v>0.40040598290598328</v>
      </c>
      <c r="L62" s="118"/>
      <c r="M62" s="224"/>
      <c r="N62" s="227">
        <f>SUM(N59:N61)</f>
        <v>0.32766406570841894</v>
      </c>
      <c r="O62" s="118"/>
      <c r="P62" s="320"/>
      <c r="Q62" s="311"/>
      <c r="R62" s="316"/>
      <c r="S62" s="111" t="s">
        <v>47</v>
      </c>
      <c r="T62" s="112" t="s">
        <v>47</v>
      </c>
      <c r="U62" s="118"/>
      <c r="V62" s="111"/>
      <c r="W62" s="112"/>
      <c r="X62" s="118"/>
      <c r="Y62" s="118"/>
      <c r="Z62" s="118"/>
      <c r="AH62" s="34" t="s">
        <v>273</v>
      </c>
      <c r="AI62" s="173">
        <v>0</v>
      </c>
      <c r="AR62" s="173"/>
    </row>
    <row r="63" spans="1:44" x14ac:dyDescent="0.2">
      <c r="A63" s="111" t="s">
        <v>22</v>
      </c>
      <c r="B63" s="109" t="s">
        <v>191</v>
      </c>
      <c r="C63" s="110"/>
      <c r="D63" s="34" t="s">
        <v>22</v>
      </c>
      <c r="E63" s="34" t="s">
        <v>195</v>
      </c>
      <c r="F63" s="113"/>
      <c r="G63" s="261" t="s">
        <v>36</v>
      </c>
      <c r="H63" s="262" t="s">
        <v>898</v>
      </c>
      <c r="I63" s="110"/>
      <c r="J63" s="200" t="s">
        <v>135</v>
      </c>
      <c r="K63" s="201" t="s">
        <v>200</v>
      </c>
      <c r="L63" s="110"/>
      <c r="M63" s="284"/>
      <c r="N63" s="235"/>
      <c r="O63" s="110"/>
      <c r="P63" s="320"/>
      <c r="Q63" s="311"/>
      <c r="R63" s="308"/>
      <c r="S63" s="111" t="s">
        <v>47</v>
      </c>
      <c r="T63" s="112" t="s">
        <v>47</v>
      </c>
      <c r="U63" s="110"/>
      <c r="V63" s="111"/>
      <c r="W63" s="112"/>
      <c r="X63" s="110"/>
      <c r="Y63" s="123"/>
      <c r="Z63" s="123"/>
      <c r="AH63" s="34" t="s">
        <v>274</v>
      </c>
      <c r="AI63" s="173">
        <v>0</v>
      </c>
      <c r="AR63" s="173"/>
    </row>
    <row r="64" spans="1:44" x14ac:dyDescent="0.2">
      <c r="A64" s="116" t="s">
        <v>146</v>
      </c>
      <c r="B64" s="112">
        <v>0.03</v>
      </c>
      <c r="C64" s="113"/>
      <c r="D64" s="111" t="s">
        <v>146</v>
      </c>
      <c r="E64" s="122">
        <v>0.1716</v>
      </c>
      <c r="F64" s="113"/>
      <c r="G64" s="258" t="s">
        <v>146</v>
      </c>
      <c r="H64" s="203">
        <v>8.7400000000000005E-2</v>
      </c>
      <c r="I64" s="113"/>
      <c r="J64" s="202" t="s">
        <v>146</v>
      </c>
      <c r="K64" s="203">
        <v>0.10299999999999999</v>
      </c>
      <c r="L64" s="113"/>
      <c r="M64" s="233"/>
      <c r="N64" s="237"/>
      <c r="O64" s="113"/>
      <c r="P64" s="320"/>
      <c r="Q64" s="313"/>
      <c r="R64" s="311"/>
      <c r="S64" s="111" t="s">
        <v>47</v>
      </c>
      <c r="T64" s="114" t="s">
        <v>47</v>
      </c>
      <c r="U64" s="113"/>
      <c r="V64" s="111"/>
      <c r="W64" s="114"/>
      <c r="X64" s="113"/>
      <c r="Y64" s="113"/>
      <c r="Z64" s="113"/>
      <c r="AR64" s="173"/>
    </row>
    <row r="65" spans="1:44" x14ac:dyDescent="0.2">
      <c r="A65" s="99" t="s">
        <v>60</v>
      </c>
      <c r="B65" s="112">
        <f>0.0022+0.0072+0.0097</f>
        <v>1.9099999999999999E-2</v>
      </c>
      <c r="C65" s="113"/>
      <c r="D65" s="111" t="s">
        <v>60</v>
      </c>
      <c r="E65" s="122">
        <v>0</v>
      </c>
      <c r="F65" s="115"/>
      <c r="G65" s="258" t="s">
        <v>60</v>
      </c>
      <c r="H65" s="203">
        <f>0.0022</f>
        <v>2.2000000000000001E-3</v>
      </c>
      <c r="I65" s="113"/>
      <c r="J65" s="202" t="s">
        <v>60</v>
      </c>
      <c r="K65" s="203">
        <f>0.0022+0.0072</f>
        <v>9.4000000000000004E-3</v>
      </c>
      <c r="L65" s="113"/>
      <c r="M65" s="233"/>
      <c r="N65" s="233"/>
      <c r="O65" s="113"/>
      <c r="P65" s="322"/>
      <c r="Q65" s="316"/>
      <c r="R65" s="311"/>
      <c r="S65" s="116"/>
      <c r="T65" s="117" t="s">
        <v>47</v>
      </c>
      <c r="U65" s="113"/>
      <c r="V65" s="116"/>
      <c r="W65" s="117"/>
      <c r="X65" s="113"/>
      <c r="Y65" s="113"/>
      <c r="Z65" s="113"/>
      <c r="AH65" s="175">
        <v>36617</v>
      </c>
      <c r="AQ65" s="175"/>
    </row>
    <row r="66" spans="1:44" x14ac:dyDescent="0.2">
      <c r="A66" s="374" t="s">
        <v>787</v>
      </c>
      <c r="B66" s="114">
        <f>B5/(1-0.0518)-B5</f>
        <v>0.24474161569289166</v>
      </c>
      <c r="C66" s="115"/>
      <c r="D66" s="111" t="s">
        <v>790</v>
      </c>
      <c r="E66" s="114">
        <f>(E3)/(1-0.019)-E3</f>
        <v>8.6865443425076627E-2</v>
      </c>
      <c r="F66" s="118"/>
      <c r="G66" s="258" t="s">
        <v>373</v>
      </c>
      <c r="H66" s="204">
        <f>(H4)/(1-0.0429)-H4</f>
        <v>0.19744488559189222</v>
      </c>
      <c r="I66" s="115"/>
      <c r="J66" s="202" t="s">
        <v>753</v>
      </c>
      <c r="K66" s="204">
        <f>(K4)/(1-0.0733)-K4</f>
        <v>0.35040358260494209</v>
      </c>
      <c r="L66" s="115"/>
      <c r="M66" s="233"/>
      <c r="N66" s="234"/>
      <c r="O66" s="115"/>
      <c r="P66" s="319"/>
      <c r="Q66" s="308"/>
      <c r="R66" s="313"/>
      <c r="S66" s="119" t="s">
        <v>47</v>
      </c>
      <c r="T66" s="168" t="s">
        <v>47</v>
      </c>
      <c r="U66" s="115"/>
      <c r="V66" s="119"/>
      <c r="W66" s="168"/>
      <c r="X66" s="115"/>
      <c r="Y66" s="115"/>
      <c r="Z66" s="115"/>
      <c r="AH66" s="176" t="s">
        <v>272</v>
      </c>
      <c r="AI66" s="173">
        <v>4.0000000000000001E-3</v>
      </c>
      <c r="AQ66" s="176"/>
      <c r="AR66" s="173"/>
    </row>
    <row r="67" spans="1:44" x14ac:dyDescent="0.2">
      <c r="A67" s="111"/>
      <c r="B67" s="117">
        <f>SUM(B64:B66)</f>
        <v>0.29384161569289163</v>
      </c>
      <c r="C67" s="118"/>
      <c r="D67" s="111"/>
      <c r="E67" s="117">
        <f>SUM(E64:E66)</f>
        <v>0.2584654434250766</v>
      </c>
      <c r="F67" s="123"/>
      <c r="G67" s="260"/>
      <c r="H67" s="205">
        <f>SUM(H64:H66)</f>
        <v>0.28704488559189223</v>
      </c>
      <c r="I67" s="118"/>
      <c r="J67" s="202"/>
      <c r="K67" s="205">
        <f>SUM(K64:K66)</f>
        <v>0.46280358260494209</v>
      </c>
      <c r="L67" s="118"/>
      <c r="M67" s="233"/>
      <c r="N67" s="235"/>
      <c r="O67" s="118"/>
      <c r="P67" s="320"/>
      <c r="Q67" s="311"/>
      <c r="R67" s="316"/>
      <c r="S67" s="111"/>
      <c r="T67" s="112"/>
      <c r="U67" s="118"/>
      <c r="V67" s="111"/>
      <c r="W67" s="112"/>
      <c r="X67" s="118"/>
      <c r="Y67" s="118"/>
      <c r="Z67" s="118"/>
      <c r="AH67" s="34" t="s">
        <v>273</v>
      </c>
      <c r="AI67" s="173">
        <v>8.0000000000000002E-3</v>
      </c>
      <c r="AR67" s="173"/>
    </row>
    <row r="68" spans="1:44" x14ac:dyDescent="0.2">
      <c r="A68" s="111" t="s">
        <v>22</v>
      </c>
      <c r="B68" s="109" t="s">
        <v>194</v>
      </c>
      <c r="C68" s="110"/>
      <c r="D68" s="34" t="s">
        <v>198</v>
      </c>
      <c r="E68" s="34" t="s">
        <v>199</v>
      </c>
      <c r="F68" s="113"/>
      <c r="G68" s="261" t="s">
        <v>36</v>
      </c>
      <c r="H68" s="262" t="s">
        <v>899</v>
      </c>
      <c r="I68" s="123"/>
      <c r="J68" s="200" t="s">
        <v>135</v>
      </c>
      <c r="K68" s="201" t="s">
        <v>254</v>
      </c>
      <c r="L68" s="123"/>
      <c r="M68" s="233"/>
      <c r="N68" s="233"/>
      <c r="O68" s="123"/>
      <c r="P68" s="320"/>
      <c r="Q68" s="311"/>
      <c r="R68" s="308"/>
      <c r="S68" s="111"/>
      <c r="T68" s="112"/>
      <c r="U68" s="110"/>
      <c r="V68" s="111"/>
      <c r="W68" s="112"/>
      <c r="X68" s="110"/>
      <c r="Y68" s="123"/>
      <c r="Z68" s="123"/>
      <c r="AH68" s="34" t="s">
        <v>274</v>
      </c>
      <c r="AI68" s="173">
        <v>4.0000000000000001E-3</v>
      </c>
      <c r="AR68" s="173"/>
    </row>
    <row r="69" spans="1:44" x14ac:dyDescent="0.2">
      <c r="A69" s="111" t="s">
        <v>146</v>
      </c>
      <c r="B69" s="112">
        <v>2.8999999999999998E-3</v>
      </c>
      <c r="C69" s="113"/>
      <c r="D69" s="111" t="s">
        <v>146</v>
      </c>
      <c r="E69" s="122">
        <v>7.5999999999999998E-2</v>
      </c>
      <c r="F69" s="113"/>
      <c r="G69" s="258" t="s">
        <v>146</v>
      </c>
      <c r="H69" s="203">
        <v>0.1014</v>
      </c>
      <c r="I69" s="113"/>
      <c r="J69" s="202" t="s">
        <v>146</v>
      </c>
      <c r="K69" s="203">
        <v>2.3599999999999999E-2</v>
      </c>
      <c r="L69" s="113"/>
      <c r="M69" s="233"/>
      <c r="N69" s="233"/>
      <c r="O69" s="113"/>
      <c r="P69" s="320"/>
      <c r="Q69" s="313"/>
      <c r="R69" s="311"/>
      <c r="S69" s="111"/>
      <c r="T69" s="114"/>
      <c r="U69" s="113"/>
      <c r="V69" s="111"/>
      <c r="W69" s="114"/>
      <c r="X69" s="113"/>
      <c r="Y69" s="113"/>
      <c r="Z69" s="113"/>
      <c r="AI69" s="173"/>
      <c r="AR69" s="173"/>
    </row>
    <row r="70" spans="1:44" x14ac:dyDescent="0.2">
      <c r="A70" s="116" t="s">
        <v>60</v>
      </c>
      <c r="B70" s="112">
        <f>0.0022+0.0072+0.0097</f>
        <v>1.9099999999999999E-2</v>
      </c>
      <c r="C70" s="113"/>
      <c r="D70" s="111" t="s">
        <v>60</v>
      </c>
      <c r="E70" s="122">
        <v>0</v>
      </c>
      <c r="F70" s="115"/>
      <c r="G70" s="258" t="s">
        <v>60</v>
      </c>
      <c r="H70" s="203">
        <f>0.0022+0.0072</f>
        <v>9.4000000000000004E-3</v>
      </c>
      <c r="I70" s="113"/>
      <c r="J70" s="202" t="s">
        <v>60</v>
      </c>
      <c r="K70" s="203">
        <f>0.0022+0.0072</f>
        <v>9.4000000000000004E-3</v>
      </c>
      <c r="L70" s="113"/>
      <c r="M70" s="234"/>
      <c r="N70" s="234"/>
      <c r="O70" s="113"/>
      <c r="P70" s="314"/>
      <c r="Q70" s="315"/>
      <c r="R70" s="311"/>
      <c r="S70" s="116"/>
      <c r="T70" s="117"/>
      <c r="U70" s="113"/>
      <c r="V70" s="116"/>
      <c r="W70" s="117"/>
      <c r="X70" s="113"/>
      <c r="Y70" s="113"/>
      <c r="Z70" s="113"/>
      <c r="AH70" s="175">
        <v>36586</v>
      </c>
      <c r="AQ70" s="175"/>
    </row>
    <row r="71" spans="1:44" x14ac:dyDescent="0.2">
      <c r="A71" s="119" t="s">
        <v>389</v>
      </c>
      <c r="B71" s="114">
        <f>(B4)/(1-0.0045)-B4</f>
        <v>2.1381215469612691E-2</v>
      </c>
      <c r="C71" s="115"/>
      <c r="D71" s="111" t="s">
        <v>793</v>
      </c>
      <c r="E71" s="114">
        <f>(+E3)/(1-0.0059)-E3</f>
        <v>2.6618549441706385E-2</v>
      </c>
      <c r="F71" s="118"/>
      <c r="G71" s="258" t="s">
        <v>374</v>
      </c>
      <c r="H71" s="264">
        <f>(H4)/(1-0.0506)-H4</f>
        <v>0.23477248788708671</v>
      </c>
      <c r="I71" s="115"/>
      <c r="J71" s="202" t="s">
        <v>746</v>
      </c>
      <c r="K71" s="204">
        <f>(K3)/(1-0.0242)-K3</f>
        <v>0.11011272801803607</v>
      </c>
      <c r="L71" s="115"/>
      <c r="M71" s="235"/>
      <c r="N71" s="235"/>
      <c r="O71" s="115"/>
      <c r="P71" s="308"/>
      <c r="Q71" s="308"/>
      <c r="R71" s="313"/>
      <c r="S71" s="110"/>
      <c r="T71" s="110"/>
      <c r="U71" s="115"/>
      <c r="V71" s="110"/>
      <c r="W71" s="110"/>
      <c r="X71" s="115"/>
      <c r="Y71" s="115"/>
      <c r="Z71" s="115"/>
      <c r="AH71" s="176" t="s">
        <v>272</v>
      </c>
      <c r="AI71" s="173">
        <v>5.0000000000000001E-3</v>
      </c>
      <c r="AQ71" s="176"/>
      <c r="AR71" s="173"/>
    </row>
    <row r="72" spans="1:44" x14ac:dyDescent="0.2">
      <c r="A72" s="111"/>
      <c r="B72" s="117">
        <f>SUM(B69:B71)</f>
        <v>4.338121546961269E-2</v>
      </c>
      <c r="C72" s="118"/>
      <c r="D72" s="111"/>
      <c r="E72" s="117">
        <f>SUM(E69:E71)</f>
        <v>0.10261854944170638</v>
      </c>
      <c r="F72" s="123"/>
      <c r="G72" s="260"/>
      <c r="H72" s="205">
        <f>SUM(H69:H71)</f>
        <v>0.34557248788708672</v>
      </c>
      <c r="I72" s="118"/>
      <c r="J72" s="202"/>
      <c r="K72" s="205">
        <f>SUM(K69:K71)</f>
        <v>0.14311272801803607</v>
      </c>
      <c r="L72" s="118"/>
      <c r="M72" s="236"/>
      <c r="N72" s="236"/>
      <c r="O72" s="118"/>
      <c r="P72" s="311"/>
      <c r="Q72" s="311"/>
      <c r="R72" s="316"/>
      <c r="S72" s="113"/>
      <c r="T72" s="113"/>
      <c r="U72" s="118"/>
      <c r="V72" s="113"/>
      <c r="W72" s="113"/>
      <c r="X72" s="118"/>
      <c r="Y72" s="118"/>
      <c r="Z72" s="118"/>
      <c r="AH72" s="34" t="s">
        <v>273</v>
      </c>
      <c r="AI72" s="173">
        <v>0.01</v>
      </c>
      <c r="AR72" s="173"/>
    </row>
    <row r="73" spans="1:44" x14ac:dyDescent="0.2">
      <c r="A73" s="111" t="s">
        <v>22</v>
      </c>
      <c r="B73" s="117" t="s">
        <v>197</v>
      </c>
      <c r="C73" s="123"/>
      <c r="F73" s="113"/>
      <c r="G73" s="261" t="s">
        <v>36</v>
      </c>
      <c r="H73" s="262" t="s">
        <v>900</v>
      </c>
      <c r="I73" s="123"/>
      <c r="J73" s="200" t="s">
        <v>135</v>
      </c>
      <c r="K73" s="201" t="s">
        <v>253</v>
      </c>
      <c r="L73" s="123"/>
      <c r="M73" s="233"/>
      <c r="N73" s="233"/>
      <c r="O73" s="123"/>
      <c r="P73" s="313"/>
      <c r="Q73" s="313"/>
      <c r="R73" s="325"/>
      <c r="S73" s="115"/>
      <c r="T73" s="115"/>
      <c r="U73" s="123"/>
      <c r="V73" s="115"/>
      <c r="W73" s="115"/>
      <c r="X73" s="123"/>
      <c r="Y73" s="123"/>
      <c r="Z73" s="123"/>
      <c r="AH73" s="34" t="s">
        <v>274</v>
      </c>
      <c r="AI73" s="173">
        <v>5.0000000000000001E-3</v>
      </c>
      <c r="AR73" s="173"/>
    </row>
    <row r="74" spans="1:44" x14ac:dyDescent="0.2">
      <c r="A74" s="111" t="s">
        <v>146</v>
      </c>
      <c r="B74" s="122">
        <v>1.4E-2</v>
      </c>
      <c r="C74" s="113"/>
      <c r="D74" s="167" t="s">
        <v>204</v>
      </c>
      <c r="E74" s="117" t="s">
        <v>205</v>
      </c>
      <c r="F74" s="113"/>
      <c r="G74" s="258" t="s">
        <v>146</v>
      </c>
      <c r="H74" s="203">
        <v>0.11260000000000001</v>
      </c>
      <c r="I74" s="113"/>
      <c r="J74" s="202" t="s">
        <v>146</v>
      </c>
      <c r="K74" s="203">
        <v>1.95E-2</v>
      </c>
      <c r="L74" s="113"/>
      <c r="M74" s="233"/>
      <c r="N74" s="233"/>
      <c r="O74" s="113"/>
      <c r="P74" s="316"/>
      <c r="Q74" s="316"/>
      <c r="R74" s="311"/>
      <c r="S74" s="118"/>
      <c r="T74" s="118"/>
      <c r="U74" s="113"/>
      <c r="V74" s="118"/>
      <c r="W74" s="118"/>
      <c r="X74" s="113"/>
      <c r="Y74" s="113"/>
      <c r="Z74" s="113"/>
      <c r="AI74" s="173"/>
      <c r="AR74" s="173"/>
    </row>
    <row r="75" spans="1:44" x14ac:dyDescent="0.2">
      <c r="A75" s="116" t="s">
        <v>60</v>
      </c>
      <c r="B75" s="122">
        <f>0.0022+0.0072+0.0097</f>
        <v>1.9099999999999999E-2</v>
      </c>
      <c r="C75" s="113"/>
      <c r="D75" s="111" t="s">
        <v>146</v>
      </c>
      <c r="E75" s="122">
        <v>9.7199999999999995E-2</v>
      </c>
      <c r="F75" s="115"/>
      <c r="G75" s="258" t="s">
        <v>60</v>
      </c>
      <c r="H75" s="203">
        <f>0.0022+0.0072</f>
        <v>9.4000000000000004E-3</v>
      </c>
      <c r="I75" s="113"/>
      <c r="J75" s="202" t="s">
        <v>60</v>
      </c>
      <c r="K75" s="203">
        <f>0.0022</f>
        <v>2.2000000000000001E-3</v>
      </c>
      <c r="L75" s="113"/>
      <c r="M75" s="234"/>
      <c r="N75" s="234"/>
      <c r="O75" s="113"/>
      <c r="P75" s="308"/>
      <c r="Q75" s="308"/>
      <c r="R75" s="311"/>
      <c r="S75" s="110"/>
      <c r="T75" s="110"/>
      <c r="U75" s="113"/>
      <c r="V75" s="110"/>
      <c r="W75" s="110"/>
      <c r="X75" s="113"/>
      <c r="Y75" s="113"/>
      <c r="Z75" s="113"/>
      <c r="AH75" s="175">
        <v>36465</v>
      </c>
      <c r="AQ75" s="175"/>
    </row>
    <row r="76" spans="1:44" x14ac:dyDescent="0.2">
      <c r="A76" s="119" t="s">
        <v>788</v>
      </c>
      <c r="B76" s="114">
        <f>(+B4)/(1-0.0235)-B4</f>
        <v>0.11383000512032737</v>
      </c>
      <c r="C76" s="115"/>
      <c r="D76" s="111" t="s">
        <v>60</v>
      </c>
      <c r="E76" s="122">
        <f>0.0072+0.0022+0.0097</f>
        <v>1.9099999999999999E-2</v>
      </c>
      <c r="F76" s="118"/>
      <c r="G76" s="258" t="s">
        <v>375</v>
      </c>
      <c r="H76" s="264">
        <f>(H4)/(1-0.0597)-H4</f>
        <v>0.27967510369031157</v>
      </c>
      <c r="I76" s="115"/>
      <c r="J76" s="202" t="s">
        <v>754</v>
      </c>
      <c r="K76" s="204">
        <f>(K3)/(1-0.024)-K3</f>
        <v>0.10918032786885234</v>
      </c>
      <c r="L76" s="115"/>
      <c r="M76" s="235"/>
      <c r="N76" s="235"/>
      <c r="O76" s="115"/>
      <c r="P76" s="311"/>
      <c r="Q76" s="311"/>
      <c r="R76" s="313"/>
      <c r="S76" s="113"/>
      <c r="T76" s="113"/>
      <c r="U76" s="115"/>
      <c r="V76" s="113"/>
      <c r="W76" s="113"/>
      <c r="X76" s="115"/>
      <c r="Y76" s="115"/>
      <c r="Z76" s="115"/>
      <c r="AH76" s="176" t="s">
        <v>272</v>
      </c>
      <c r="AI76" s="173">
        <v>0</v>
      </c>
      <c r="AQ76" s="176"/>
      <c r="AR76" s="173"/>
    </row>
    <row r="77" spans="1:44" x14ac:dyDescent="0.2">
      <c r="A77" s="111"/>
      <c r="B77" s="117">
        <f>SUM(B74:B76)</f>
        <v>0.14693000512032736</v>
      </c>
      <c r="C77" s="118"/>
      <c r="D77" s="111" t="s">
        <v>363</v>
      </c>
      <c r="E77" s="114">
        <f>(2.25)/(1-0.0084)-2.25</f>
        <v>1.9060104881000406E-2</v>
      </c>
      <c r="F77" s="123"/>
      <c r="G77" s="260"/>
      <c r="H77" s="205">
        <f>SUM(H74:H76)</f>
        <v>0.40167510369031156</v>
      </c>
      <c r="I77" s="118"/>
      <c r="J77" s="202"/>
      <c r="K77" s="205">
        <f>SUM(K74:K76)</f>
        <v>0.13088032786885234</v>
      </c>
      <c r="L77" s="118"/>
      <c r="M77" s="235"/>
      <c r="N77" s="235"/>
      <c r="O77" s="118"/>
      <c r="P77" s="311"/>
      <c r="Q77" s="311"/>
      <c r="R77" s="316"/>
      <c r="S77" s="113"/>
      <c r="T77" s="113"/>
      <c r="U77" s="118"/>
      <c r="V77" s="113"/>
      <c r="W77" s="113"/>
      <c r="X77" s="118"/>
      <c r="Y77" s="118"/>
      <c r="Z77" s="118"/>
      <c r="AH77" s="34" t="s">
        <v>273</v>
      </c>
      <c r="AI77" s="173">
        <v>7.0000000000000001E-3</v>
      </c>
      <c r="AR77" s="173"/>
    </row>
    <row r="78" spans="1:44" x14ac:dyDescent="0.2">
      <c r="A78" s="111" t="s">
        <v>22</v>
      </c>
      <c r="B78" s="109" t="s">
        <v>201</v>
      </c>
      <c r="C78" s="123"/>
      <c r="D78" s="111"/>
      <c r="E78" s="117">
        <f>SUM(E75:E77)</f>
        <v>0.13536010488100039</v>
      </c>
      <c r="F78" s="113"/>
      <c r="G78" s="261" t="s">
        <v>36</v>
      </c>
      <c r="H78" s="262" t="s">
        <v>901</v>
      </c>
      <c r="I78" s="123"/>
      <c r="J78" s="200" t="s">
        <v>135</v>
      </c>
      <c r="K78" s="201" t="s">
        <v>203</v>
      </c>
      <c r="L78" s="123"/>
      <c r="M78" s="237"/>
      <c r="N78" s="237"/>
      <c r="O78" s="123"/>
      <c r="P78" s="313"/>
      <c r="Q78" s="313"/>
      <c r="R78" s="325"/>
      <c r="S78" s="115"/>
      <c r="T78" s="115"/>
      <c r="U78" s="123"/>
      <c r="V78" s="115"/>
      <c r="W78" s="115"/>
      <c r="X78" s="123"/>
      <c r="Y78" s="123"/>
      <c r="Z78" s="123"/>
      <c r="AH78" s="34" t="s">
        <v>274</v>
      </c>
      <c r="AI78" s="173">
        <v>0</v>
      </c>
      <c r="AR78" s="173"/>
    </row>
    <row r="79" spans="1:44" x14ac:dyDescent="0.2">
      <c r="A79" s="111" t="s">
        <v>146</v>
      </c>
      <c r="B79" s="112">
        <v>2.2800000000000001E-2</v>
      </c>
      <c r="C79" s="113"/>
      <c r="F79" s="113"/>
      <c r="G79" s="258" t="s">
        <v>146</v>
      </c>
      <c r="H79" s="203">
        <v>0.15029999999999999</v>
      </c>
      <c r="I79" s="113"/>
      <c r="J79" s="202" t="s">
        <v>146</v>
      </c>
      <c r="K79" s="203">
        <v>1.77E-2</v>
      </c>
      <c r="L79" s="113"/>
      <c r="M79" s="237"/>
      <c r="N79" s="237"/>
      <c r="O79" s="113"/>
      <c r="P79" s="316"/>
      <c r="Q79" s="316"/>
      <c r="R79" s="311"/>
      <c r="S79" s="118"/>
      <c r="T79" s="118"/>
      <c r="U79" s="113"/>
      <c r="V79" s="118"/>
      <c r="W79" s="118"/>
      <c r="X79" s="113"/>
      <c r="Y79" s="113"/>
      <c r="Z79" s="113"/>
      <c r="AI79" s="173"/>
      <c r="AR79" s="173"/>
    </row>
    <row r="80" spans="1:44" x14ac:dyDescent="0.2">
      <c r="A80" s="116" t="s">
        <v>60</v>
      </c>
      <c r="B80" s="122">
        <f>0.0022+0.0072+0.0097</f>
        <v>1.9099999999999999E-2</v>
      </c>
      <c r="C80" s="113"/>
      <c r="D80" s="167" t="s">
        <v>208</v>
      </c>
      <c r="E80" s="117"/>
      <c r="F80" s="115"/>
      <c r="G80" s="258" t="s">
        <v>60</v>
      </c>
      <c r="H80" s="203">
        <f>0.0022+0.0072</f>
        <v>9.4000000000000004E-3</v>
      </c>
      <c r="I80" s="113"/>
      <c r="J80" s="202" t="s">
        <v>60</v>
      </c>
      <c r="K80" s="203">
        <f>0.0022+0.0072</f>
        <v>9.4000000000000004E-3</v>
      </c>
      <c r="L80" s="113"/>
      <c r="M80" s="237"/>
      <c r="N80" s="237"/>
      <c r="O80" s="113"/>
      <c r="P80" s="325"/>
      <c r="Q80" s="325"/>
      <c r="R80" s="311"/>
      <c r="S80" s="123"/>
      <c r="T80" s="123"/>
      <c r="U80" s="113"/>
      <c r="V80" s="123"/>
      <c r="W80" s="123"/>
      <c r="X80" s="113"/>
      <c r="Y80" s="113"/>
      <c r="Z80" s="113"/>
      <c r="AH80" s="175">
        <v>36434</v>
      </c>
      <c r="AQ80" s="175"/>
    </row>
    <row r="81" spans="1:44" x14ac:dyDescent="0.2">
      <c r="A81" s="110" t="s">
        <v>789</v>
      </c>
      <c r="B81" s="114">
        <f>B4/(1-0.0388)-B4</f>
        <v>0.19093216812317948</v>
      </c>
      <c r="C81" s="115"/>
      <c r="D81" s="111" t="s">
        <v>146</v>
      </c>
      <c r="E81" s="122">
        <v>4.48E-2</v>
      </c>
      <c r="F81" s="118"/>
      <c r="G81" s="258" t="s">
        <v>376</v>
      </c>
      <c r="H81" s="259">
        <f>(H4)/(1-0.0667)-H4</f>
        <v>0.31481142183649435</v>
      </c>
      <c r="I81" s="115"/>
      <c r="J81" s="202" t="s">
        <v>754</v>
      </c>
      <c r="K81" s="204">
        <f>(K3)/(1-0.024)-K3</f>
        <v>0.10918032786885234</v>
      </c>
      <c r="L81" s="115"/>
      <c r="M81" s="234"/>
      <c r="N81" s="234"/>
      <c r="O81" s="115"/>
      <c r="P81" s="311"/>
      <c r="Q81" s="311"/>
      <c r="R81" s="313"/>
      <c r="S81" s="113"/>
      <c r="T81" s="113"/>
      <c r="U81" s="115"/>
      <c r="V81" s="113"/>
      <c r="W81" s="113"/>
      <c r="X81" s="115"/>
      <c r="Y81" s="115"/>
      <c r="Z81" s="115"/>
      <c r="AH81" s="176" t="s">
        <v>272</v>
      </c>
      <c r="AI81" s="173">
        <v>0</v>
      </c>
      <c r="AQ81" s="176"/>
      <c r="AR81" s="173"/>
    </row>
    <row r="82" spans="1:44" x14ac:dyDescent="0.2">
      <c r="A82" s="113"/>
      <c r="B82" s="117">
        <f>SUM(B79:B81)</f>
        <v>0.23283216812317947</v>
      </c>
      <c r="C82" s="118"/>
      <c r="D82" s="111" t="s">
        <v>60</v>
      </c>
      <c r="E82" s="122">
        <f>0.0072+0.0022+0.0097</f>
        <v>1.9099999999999999E-2</v>
      </c>
      <c r="F82" s="123"/>
      <c r="G82" s="260"/>
      <c r="H82" s="205">
        <f>SUM(H79:H81)</f>
        <v>0.47451142183649431</v>
      </c>
      <c r="I82" s="118"/>
      <c r="J82" s="202"/>
      <c r="K82" s="205">
        <f>SUM(K79:K81)</f>
        <v>0.13628032786885236</v>
      </c>
      <c r="L82" s="118"/>
      <c r="M82" s="235"/>
      <c r="N82" s="235"/>
      <c r="O82" s="118"/>
      <c r="P82" s="311"/>
      <c r="Q82" s="311"/>
      <c r="R82" s="316"/>
      <c r="S82" s="113"/>
      <c r="T82" s="113"/>
      <c r="U82" s="118"/>
      <c r="V82" s="113"/>
      <c r="W82" s="113"/>
      <c r="X82" s="118"/>
      <c r="Y82" s="118"/>
      <c r="Z82" s="118"/>
      <c r="AH82" s="34" t="s">
        <v>273</v>
      </c>
      <c r="AI82" s="173">
        <v>7.0000000000000001E-3</v>
      </c>
      <c r="AR82" s="173"/>
    </row>
    <row r="83" spans="1:44" ht="14.1" customHeight="1" x14ac:dyDescent="0.2">
      <c r="A83" s="115" t="s">
        <v>22</v>
      </c>
      <c r="B83" s="109" t="s">
        <v>206</v>
      </c>
      <c r="C83" s="123"/>
      <c r="D83" s="111" t="s">
        <v>210</v>
      </c>
      <c r="E83" s="114">
        <v>0</v>
      </c>
      <c r="F83" s="113"/>
      <c r="G83" s="261" t="s">
        <v>36</v>
      </c>
      <c r="H83" s="262" t="s">
        <v>902</v>
      </c>
      <c r="I83" s="123"/>
      <c r="J83" s="200" t="s">
        <v>135</v>
      </c>
      <c r="K83" s="201" t="s">
        <v>207</v>
      </c>
      <c r="L83" s="123"/>
      <c r="M83" s="236"/>
      <c r="N83" s="236"/>
      <c r="O83" s="123"/>
      <c r="P83" s="313"/>
      <c r="Q83" s="313"/>
      <c r="R83" s="325"/>
      <c r="S83" s="115"/>
      <c r="T83" s="115"/>
      <c r="U83" s="123"/>
      <c r="V83" s="115"/>
      <c r="W83" s="115"/>
      <c r="X83" s="123"/>
      <c r="Y83" s="123"/>
      <c r="Z83" s="123"/>
      <c r="AH83" s="34" t="s">
        <v>274</v>
      </c>
      <c r="AI83" s="173">
        <v>0</v>
      </c>
      <c r="AR83" s="173"/>
    </row>
    <row r="84" spans="1:44" x14ac:dyDescent="0.2">
      <c r="A84" s="118" t="s">
        <v>146</v>
      </c>
      <c r="B84" s="112">
        <v>2.7400000000000001E-2</v>
      </c>
      <c r="C84" s="113"/>
      <c r="D84" s="111"/>
      <c r="E84" s="117">
        <f>SUM(E81:E83)</f>
        <v>6.3899999999999998E-2</v>
      </c>
      <c r="F84" s="113"/>
      <c r="G84" s="258" t="s">
        <v>146</v>
      </c>
      <c r="H84" s="203">
        <v>7.8299999999999995E-2</v>
      </c>
      <c r="I84" s="113"/>
      <c r="J84" s="202" t="s">
        <v>146</v>
      </c>
      <c r="K84" s="203">
        <v>1.77E-2</v>
      </c>
      <c r="L84" s="113"/>
      <c r="M84" s="233"/>
      <c r="N84" s="233"/>
      <c r="O84" s="113"/>
      <c r="P84" s="326"/>
      <c r="Q84" s="327"/>
      <c r="R84" s="311"/>
      <c r="S84" s="124"/>
      <c r="T84" s="179"/>
      <c r="U84" s="113"/>
      <c r="V84" s="124"/>
      <c r="W84" s="179"/>
      <c r="X84" s="113"/>
      <c r="Y84" s="113"/>
      <c r="Z84" s="113"/>
      <c r="AI84" s="173"/>
      <c r="AR84" s="173"/>
    </row>
    <row r="85" spans="1:44" x14ac:dyDescent="0.2">
      <c r="A85" s="110" t="s">
        <v>60</v>
      </c>
      <c r="B85" s="122">
        <f>0.0022+0.0072+0.0097</f>
        <v>1.9099999999999999E-2</v>
      </c>
      <c r="C85" s="113"/>
      <c r="F85" s="115"/>
      <c r="G85" s="258" t="s">
        <v>60</v>
      </c>
      <c r="H85" s="203">
        <f>0.0022+0.0072</f>
        <v>9.4000000000000004E-3</v>
      </c>
      <c r="I85" s="113"/>
      <c r="J85" s="202" t="s">
        <v>60</v>
      </c>
      <c r="K85" s="203">
        <f>0.0022+0.0072</f>
        <v>9.4000000000000004E-3</v>
      </c>
      <c r="L85" s="113"/>
      <c r="M85" s="233"/>
      <c r="N85" s="233"/>
      <c r="O85" s="113"/>
      <c r="P85" s="325"/>
      <c r="Q85" s="325"/>
      <c r="R85" s="311"/>
      <c r="S85" s="123"/>
      <c r="T85" s="123"/>
      <c r="U85" s="113"/>
      <c r="V85" s="123"/>
      <c r="W85" s="123"/>
      <c r="X85" s="113"/>
      <c r="Y85" s="113"/>
      <c r="Z85" s="113"/>
      <c r="AH85" s="175">
        <v>36404</v>
      </c>
      <c r="AQ85" s="175"/>
    </row>
    <row r="86" spans="1:44" x14ac:dyDescent="0.2">
      <c r="A86" s="113" t="s">
        <v>388</v>
      </c>
      <c r="B86" s="114">
        <f>B4/(1-0.0472)-B4</f>
        <v>0.23431570109151956</v>
      </c>
      <c r="C86" s="115"/>
      <c r="F86" s="118"/>
      <c r="G86" s="258" t="s">
        <v>386</v>
      </c>
      <c r="H86" s="259">
        <f>(H4)/(1-0.0358)-H4</f>
        <v>0.1635542418585354</v>
      </c>
      <c r="I86" s="115"/>
      <c r="J86" s="202" t="s">
        <v>754</v>
      </c>
      <c r="K86" s="204">
        <f>(K4)/(1-0.024)-K4</f>
        <v>0.10893442622950822</v>
      </c>
      <c r="L86" s="115"/>
      <c r="M86" s="234"/>
      <c r="N86" s="234"/>
      <c r="O86" s="115"/>
      <c r="P86" s="311"/>
      <c r="Q86" s="311"/>
      <c r="R86" s="313"/>
      <c r="S86" s="113"/>
      <c r="T86" s="113"/>
      <c r="U86" s="115"/>
      <c r="V86" s="113"/>
      <c r="W86" s="113"/>
      <c r="X86" s="115"/>
      <c r="Y86" s="115"/>
      <c r="Z86" s="115"/>
      <c r="AH86" s="176" t="s">
        <v>272</v>
      </c>
      <c r="AI86" s="173">
        <v>0</v>
      </c>
      <c r="AQ86" s="176"/>
      <c r="AR86" s="173"/>
    </row>
    <row r="87" spans="1:44" x14ac:dyDescent="0.2">
      <c r="A87" s="113"/>
      <c r="B87" s="117">
        <f>SUM(B84:B86)</f>
        <v>0.28081570109151954</v>
      </c>
      <c r="C87" s="118"/>
      <c r="F87" s="123"/>
      <c r="G87" s="260"/>
      <c r="H87" s="205">
        <f>SUM(H84:H86)</f>
        <v>0.2512542418585354</v>
      </c>
      <c r="I87" s="118"/>
      <c r="J87" s="202"/>
      <c r="K87" s="205">
        <f>SUM(K84:K86)</f>
        <v>0.13603442622950823</v>
      </c>
      <c r="L87" s="118"/>
      <c r="M87" s="235"/>
      <c r="N87" s="235"/>
      <c r="O87" s="118"/>
      <c r="P87" s="311"/>
      <c r="Q87" s="311"/>
      <c r="R87" s="316"/>
      <c r="S87" s="113"/>
      <c r="T87" s="113"/>
      <c r="U87" s="118"/>
      <c r="V87" s="113"/>
      <c r="W87" s="113"/>
      <c r="X87" s="118"/>
      <c r="Y87" s="118"/>
      <c r="Z87" s="118"/>
      <c r="AH87" s="34" t="s">
        <v>273</v>
      </c>
      <c r="AI87" s="173">
        <v>4.0000000000000001E-3</v>
      </c>
      <c r="AR87" s="173"/>
    </row>
    <row r="88" spans="1:44" x14ac:dyDescent="0.2">
      <c r="A88" s="115" t="s">
        <v>22</v>
      </c>
      <c r="B88" s="117" t="s">
        <v>209</v>
      </c>
      <c r="C88" s="123"/>
      <c r="F88" s="113"/>
      <c r="G88" s="261" t="s">
        <v>36</v>
      </c>
      <c r="H88" s="262" t="s">
        <v>903</v>
      </c>
      <c r="I88" s="123"/>
      <c r="J88" s="200" t="s">
        <v>135</v>
      </c>
      <c r="K88" s="201" t="s">
        <v>999</v>
      </c>
      <c r="L88" s="123"/>
      <c r="O88" s="123"/>
      <c r="P88" s="313"/>
      <c r="Q88" s="313"/>
      <c r="R88" s="325"/>
      <c r="S88" s="115"/>
      <c r="T88" s="115"/>
      <c r="U88" s="123"/>
      <c r="V88" s="115"/>
      <c r="W88" s="115"/>
      <c r="X88" s="123"/>
      <c r="Y88" s="118"/>
      <c r="Z88" s="118"/>
      <c r="AH88" s="34" t="s">
        <v>274</v>
      </c>
      <c r="AI88" s="173">
        <v>0</v>
      </c>
      <c r="AR88" s="173"/>
    </row>
    <row r="89" spans="1:44" x14ac:dyDescent="0.2">
      <c r="A89" s="118" t="s">
        <v>146</v>
      </c>
      <c r="B89" s="122">
        <v>1.15E-2</v>
      </c>
      <c r="C89" s="113"/>
      <c r="F89" s="113"/>
      <c r="G89" s="258" t="s">
        <v>146</v>
      </c>
      <c r="H89" s="203">
        <f>0.0511-0.0022-0.0088</f>
        <v>4.0099999999999997E-2</v>
      </c>
      <c r="I89" s="113"/>
      <c r="J89" s="202" t="s">
        <v>146</v>
      </c>
      <c r="K89" s="203">
        <v>6.4899999999999999E-2</v>
      </c>
      <c r="L89" s="113"/>
      <c r="M89" s="236"/>
      <c r="N89" s="236"/>
      <c r="O89" s="113"/>
      <c r="P89" s="316"/>
      <c r="Q89" s="316"/>
      <c r="R89" s="311"/>
      <c r="S89" s="118"/>
      <c r="T89" s="118"/>
      <c r="U89" s="113"/>
      <c r="V89" s="118"/>
      <c r="W89" s="118"/>
      <c r="X89" s="113"/>
      <c r="Y89" s="120"/>
      <c r="Z89" s="120"/>
      <c r="AI89" s="173"/>
      <c r="AR89" s="173"/>
    </row>
    <row r="90" spans="1:44" x14ac:dyDescent="0.2">
      <c r="A90" s="123" t="s">
        <v>60</v>
      </c>
      <c r="B90" s="122">
        <f>0.0022+0.0072+0.0097</f>
        <v>1.9099999999999999E-2</v>
      </c>
      <c r="C90" s="113"/>
      <c r="F90" s="115"/>
      <c r="G90" s="258" t="s">
        <v>60</v>
      </c>
      <c r="H90" s="203">
        <f>0.0022+0.0072</f>
        <v>9.4000000000000004E-3</v>
      </c>
      <c r="I90" s="113"/>
      <c r="J90" s="202" t="s">
        <v>60</v>
      </c>
      <c r="K90" s="203">
        <f>0.0022+0.0072</f>
        <v>9.4000000000000004E-3</v>
      </c>
      <c r="L90" s="113"/>
      <c r="M90" s="233"/>
      <c r="N90" s="233"/>
      <c r="O90" s="113"/>
      <c r="P90" s="325"/>
      <c r="Q90" s="325"/>
      <c r="R90" s="311"/>
      <c r="S90" s="123"/>
      <c r="T90" s="123"/>
      <c r="U90" s="113"/>
      <c r="V90" s="123"/>
      <c r="W90" s="123"/>
      <c r="X90" s="113"/>
      <c r="Y90" s="120"/>
      <c r="Z90" s="120"/>
      <c r="AH90" s="175">
        <v>36312</v>
      </c>
      <c r="AQ90" s="175"/>
    </row>
    <row r="91" spans="1:44" x14ac:dyDescent="0.2">
      <c r="A91" s="113" t="s">
        <v>790</v>
      </c>
      <c r="B91" s="114">
        <f>(B3)/(1-0.019)-B3</f>
        <v>8.6865443425076627E-2</v>
      </c>
      <c r="C91" s="115"/>
      <c r="F91" s="118"/>
      <c r="G91" s="258" t="s">
        <v>215</v>
      </c>
      <c r="H91" s="204">
        <f>(H5)/(1-0.0101)-H5</f>
        <v>4.7342155773310246E-2</v>
      </c>
      <c r="I91" s="115"/>
      <c r="J91" s="202" t="s">
        <v>388</v>
      </c>
      <c r="K91" s="204">
        <f>(K2)/(1-0.0472)-K2</f>
        <v>0.21895885810243509</v>
      </c>
      <c r="L91" s="115"/>
      <c r="M91" s="233"/>
      <c r="N91" s="233"/>
      <c r="O91" s="115"/>
      <c r="P91" s="311"/>
      <c r="Q91" s="311"/>
      <c r="R91" s="313"/>
      <c r="S91" s="113"/>
      <c r="T91" s="113"/>
      <c r="U91" s="115"/>
      <c r="V91" s="113"/>
      <c r="W91" s="113"/>
      <c r="X91" s="115"/>
      <c r="Y91" s="120"/>
      <c r="Z91" s="120"/>
      <c r="AH91" s="176" t="s">
        <v>272</v>
      </c>
      <c r="AI91" s="173">
        <v>2E-3</v>
      </c>
      <c r="AQ91" s="176"/>
      <c r="AR91" s="173"/>
    </row>
    <row r="92" spans="1:44" x14ac:dyDescent="0.2">
      <c r="A92" s="113"/>
      <c r="B92" s="117">
        <f>SUM(B89:B91)</f>
        <v>0.11746544342507663</v>
      </c>
      <c r="C92" s="118"/>
      <c r="F92" s="118"/>
      <c r="G92" s="260"/>
      <c r="H92" s="205">
        <f>SUM(H89:H91)</f>
        <v>9.6842155773310235E-2</v>
      </c>
      <c r="I92" s="118"/>
      <c r="J92" s="202"/>
      <c r="K92" s="205">
        <f>SUM(K89:K91)</f>
        <v>0.29325885810243513</v>
      </c>
      <c r="L92" s="118"/>
      <c r="M92" s="234"/>
      <c r="N92" s="234"/>
      <c r="O92" s="118"/>
      <c r="P92" s="311"/>
      <c r="Q92" s="311"/>
      <c r="R92" s="316"/>
      <c r="S92" s="113"/>
      <c r="T92" s="113"/>
      <c r="U92" s="118"/>
      <c r="V92" s="113"/>
      <c r="W92" s="113"/>
      <c r="X92" s="118"/>
      <c r="Y92" s="115"/>
      <c r="Z92" s="115"/>
      <c r="AH92" s="34" t="s">
        <v>273</v>
      </c>
      <c r="AI92" s="173">
        <v>5.0000000000000001E-3</v>
      </c>
      <c r="AR92" s="173"/>
    </row>
    <row r="93" spans="1:44" x14ac:dyDescent="0.2">
      <c r="A93" s="115" t="s">
        <v>22</v>
      </c>
      <c r="B93" s="117" t="s">
        <v>662</v>
      </c>
      <c r="C93" s="123"/>
      <c r="F93" s="120"/>
      <c r="G93" s="261" t="s">
        <v>36</v>
      </c>
      <c r="H93" s="262" t="s">
        <v>904</v>
      </c>
      <c r="I93" s="118"/>
      <c r="J93" s="200" t="s">
        <v>135</v>
      </c>
      <c r="K93" s="201" t="s">
        <v>1000</v>
      </c>
      <c r="L93" s="118"/>
      <c r="M93" s="235"/>
      <c r="N93" s="235"/>
      <c r="O93" s="118"/>
      <c r="P93" s="313"/>
      <c r="Q93" s="313"/>
      <c r="R93" s="325"/>
      <c r="S93" s="115"/>
      <c r="T93" s="115"/>
      <c r="U93" s="123"/>
      <c r="V93" s="115"/>
      <c r="W93" s="115"/>
      <c r="X93" s="123"/>
      <c r="Y93" s="118"/>
      <c r="Z93" s="118"/>
      <c r="AH93" s="34" t="s">
        <v>274</v>
      </c>
      <c r="AI93" s="173">
        <v>2E-3</v>
      </c>
      <c r="AR93" s="173"/>
    </row>
    <row r="94" spans="1:44" x14ac:dyDescent="0.2">
      <c r="A94" s="124" t="s">
        <v>146</v>
      </c>
      <c r="B94" s="122">
        <v>2.0299999999999999E-2</v>
      </c>
      <c r="C94" s="113"/>
      <c r="F94" s="120"/>
      <c r="G94" s="258" t="s">
        <v>146</v>
      </c>
      <c r="H94" s="203">
        <f>0.0945-0.0022-0.0088</f>
        <v>8.3500000000000005E-2</v>
      </c>
      <c r="I94" s="120"/>
      <c r="J94" s="202" t="s">
        <v>146</v>
      </c>
      <c r="K94" s="203">
        <v>8.6300000000000002E-2</v>
      </c>
      <c r="L94" s="120"/>
      <c r="M94" s="236"/>
      <c r="N94" s="236"/>
      <c r="O94" s="120"/>
      <c r="P94" s="326"/>
      <c r="Q94" s="327"/>
      <c r="R94" s="311"/>
      <c r="S94" s="124"/>
      <c r="T94" s="179"/>
      <c r="U94" s="113"/>
      <c r="V94" s="124"/>
      <c r="W94" s="179"/>
      <c r="X94" s="113"/>
      <c r="Y94" s="123"/>
      <c r="Z94" s="123"/>
      <c r="AI94" s="173"/>
      <c r="AR94" s="173"/>
    </row>
    <row r="95" spans="1:44" x14ac:dyDescent="0.2">
      <c r="A95" s="123" t="s">
        <v>60</v>
      </c>
      <c r="B95" s="122">
        <f>0.0022+0.0072+0.0097</f>
        <v>1.9099999999999999E-2</v>
      </c>
      <c r="C95" s="113"/>
      <c r="F95" s="115"/>
      <c r="G95" s="258" t="s">
        <v>60</v>
      </c>
      <c r="H95" s="203">
        <f>0.0022+0.0072</f>
        <v>9.4000000000000004E-3</v>
      </c>
      <c r="I95" s="120" t="s">
        <v>47</v>
      </c>
      <c r="J95" s="202" t="s">
        <v>60</v>
      </c>
      <c r="K95" s="203">
        <f>0.0022+0.0072</f>
        <v>9.4000000000000004E-3</v>
      </c>
      <c r="L95" s="120"/>
      <c r="M95" s="233"/>
      <c r="N95" s="233"/>
      <c r="O95" s="120"/>
      <c r="P95" s="325"/>
      <c r="Q95" s="325"/>
      <c r="R95" s="311"/>
      <c r="S95" s="123"/>
      <c r="T95" s="123"/>
      <c r="U95" s="113"/>
      <c r="V95" s="123"/>
      <c r="W95" s="123"/>
      <c r="X95" s="113"/>
      <c r="Y95" s="113"/>
      <c r="Z95" s="113"/>
      <c r="AH95" s="175">
        <v>36281</v>
      </c>
      <c r="AQ95" s="175"/>
    </row>
    <row r="96" spans="1:44" x14ac:dyDescent="0.2">
      <c r="A96" s="113" t="s">
        <v>791</v>
      </c>
      <c r="B96" s="114">
        <f>(B3)/(1-0.0343)-B3</f>
        <v>0.15929947188567883</v>
      </c>
      <c r="C96" s="115"/>
      <c r="F96" s="118"/>
      <c r="G96" s="258" t="s">
        <v>219</v>
      </c>
      <c r="H96" s="204">
        <f>(H5)/(1-0.0192)-H5</f>
        <v>9.0831973898858109E-2</v>
      </c>
      <c r="I96" s="115"/>
      <c r="J96" s="202" t="s">
        <v>755</v>
      </c>
      <c r="K96" s="204">
        <f>(K2)/(1-0.0612)-K2</f>
        <v>0.28813804857264635</v>
      </c>
      <c r="L96" s="115"/>
      <c r="M96" s="233"/>
      <c r="N96" s="233"/>
      <c r="O96" s="115"/>
      <c r="P96" s="311"/>
      <c r="Q96" s="311"/>
      <c r="R96" s="313"/>
      <c r="S96" s="113"/>
      <c r="T96" s="113"/>
      <c r="U96" s="115"/>
      <c r="V96" s="113"/>
      <c r="W96" s="113"/>
      <c r="X96" s="115"/>
      <c r="Y96" s="113"/>
      <c r="Z96" s="113"/>
      <c r="AH96" s="176" t="s">
        <v>272</v>
      </c>
      <c r="AI96" s="173">
        <v>2E-3</v>
      </c>
      <c r="AQ96" s="176"/>
      <c r="AR96" s="173"/>
    </row>
    <row r="97" spans="1:44" x14ac:dyDescent="0.2">
      <c r="A97" s="113"/>
      <c r="B97" s="117">
        <f>SUM(B94:B96)</f>
        <v>0.19869947188567882</v>
      </c>
      <c r="C97" s="118"/>
      <c r="F97" s="123"/>
      <c r="G97" s="260"/>
      <c r="H97" s="205">
        <f>SUM(H94:H96)</f>
        <v>0.18373197389885812</v>
      </c>
      <c r="I97" s="118"/>
      <c r="J97" s="202"/>
      <c r="K97" s="205">
        <f>SUM(K94:K96)</f>
        <v>0.38383804857264636</v>
      </c>
      <c r="L97" s="118"/>
      <c r="M97" s="234"/>
      <c r="N97" s="234"/>
      <c r="O97" s="118"/>
      <c r="P97" s="311"/>
      <c r="Q97" s="311"/>
      <c r="R97" s="316"/>
      <c r="S97" s="113"/>
      <c r="T97" s="113"/>
      <c r="U97" s="118"/>
      <c r="V97" s="113"/>
      <c r="W97" s="113"/>
      <c r="X97" s="118"/>
      <c r="Y97" s="115"/>
      <c r="Z97" s="115"/>
      <c r="AH97" s="34" t="s">
        <v>273</v>
      </c>
      <c r="AI97" s="173">
        <v>5.0000000000000001E-3</v>
      </c>
      <c r="AR97" s="173"/>
    </row>
    <row r="98" spans="1:44" x14ac:dyDescent="0.2">
      <c r="A98" s="115" t="s">
        <v>22</v>
      </c>
      <c r="B98" s="117" t="s">
        <v>212</v>
      </c>
      <c r="C98" s="118"/>
      <c r="F98" s="113"/>
      <c r="G98" s="261" t="s">
        <v>36</v>
      </c>
      <c r="H98" s="263" t="s">
        <v>905</v>
      </c>
      <c r="I98" s="123"/>
      <c r="J98" s="200" t="s">
        <v>135</v>
      </c>
      <c r="K98" s="201" t="s">
        <v>1001</v>
      </c>
      <c r="L98" s="123"/>
      <c r="M98" s="235"/>
      <c r="N98" s="235"/>
      <c r="O98" s="123"/>
      <c r="P98" s="313"/>
      <c r="Q98" s="313"/>
      <c r="R98" s="316"/>
      <c r="S98" s="115"/>
      <c r="T98" s="115"/>
      <c r="U98" s="118"/>
      <c r="V98" s="115"/>
      <c r="W98" s="115"/>
      <c r="X98" s="118"/>
      <c r="Y98" s="118"/>
      <c r="Z98" s="118"/>
      <c r="AH98" s="34" t="s">
        <v>274</v>
      </c>
      <c r="AI98" s="173">
        <v>2E-3</v>
      </c>
      <c r="AR98" s="173"/>
    </row>
    <row r="99" spans="1:44" x14ac:dyDescent="0.2">
      <c r="A99" s="124" t="s">
        <v>146</v>
      </c>
      <c r="B99" s="122">
        <v>2.4899999999999999E-2</v>
      </c>
      <c r="C99" s="120"/>
      <c r="F99" s="113"/>
      <c r="G99" s="260" t="s">
        <v>146</v>
      </c>
      <c r="H99" s="203">
        <v>4.2700000000000002E-2</v>
      </c>
      <c r="I99" s="113"/>
      <c r="J99" s="202" t="s">
        <v>146</v>
      </c>
      <c r="K99" s="203">
        <v>0.1012</v>
      </c>
      <c r="L99" s="113"/>
      <c r="O99" s="113"/>
      <c r="P99" s="316"/>
      <c r="Q99" s="316"/>
      <c r="R99" s="321"/>
      <c r="S99" s="118"/>
      <c r="T99" s="118"/>
      <c r="U99" s="120"/>
      <c r="V99" s="118"/>
      <c r="W99" s="118"/>
      <c r="X99" s="120"/>
      <c r="AI99" s="173"/>
      <c r="AR99" s="173"/>
    </row>
    <row r="100" spans="1:44" x14ac:dyDescent="0.2">
      <c r="A100" s="123" t="s">
        <v>60</v>
      </c>
      <c r="B100" s="122">
        <f>0.0022+0.0072+0.0097</f>
        <v>1.9099999999999999E-2</v>
      </c>
      <c r="C100" s="120"/>
      <c r="F100" s="113"/>
      <c r="G100" s="260" t="s">
        <v>60</v>
      </c>
      <c r="H100" s="203">
        <f>0.0022+0.0072</f>
        <v>9.4000000000000004E-3</v>
      </c>
      <c r="I100" s="113"/>
      <c r="J100" s="202" t="s">
        <v>60</v>
      </c>
      <c r="K100" s="203">
        <f>0.0022+0.0072</f>
        <v>9.4000000000000004E-3</v>
      </c>
      <c r="L100" s="113"/>
      <c r="O100" s="113"/>
      <c r="P100" s="325"/>
      <c r="Q100" s="325"/>
      <c r="R100" s="321"/>
      <c r="S100" s="123"/>
      <c r="T100" s="123"/>
      <c r="U100" s="120"/>
      <c r="V100" s="123"/>
      <c r="W100" s="123"/>
      <c r="X100" s="120"/>
      <c r="Y100" s="123"/>
      <c r="Z100" s="123"/>
      <c r="AH100" s="175">
        <v>36251</v>
      </c>
      <c r="AQ100" s="175"/>
    </row>
    <row r="101" spans="1:44" x14ac:dyDescent="0.2">
      <c r="A101" s="113" t="s">
        <v>792</v>
      </c>
      <c r="B101" s="114">
        <f>(B3)/(1-0.0427)-B3</f>
        <v>0.20005170792854887</v>
      </c>
      <c r="C101" s="120"/>
      <c r="F101" s="115"/>
      <c r="G101" s="260" t="s">
        <v>377</v>
      </c>
      <c r="H101" s="204">
        <f>(+H5)/(1-0.0117)-H5</f>
        <v>5.4930689062025806E-2</v>
      </c>
      <c r="I101" s="113"/>
      <c r="J101" s="202" t="s">
        <v>756</v>
      </c>
      <c r="K101" s="204">
        <f>(K2)/(1-0.0705)-K2</f>
        <v>0.33524475524475505</v>
      </c>
      <c r="L101" s="113"/>
      <c r="O101" s="113"/>
      <c r="P101" s="311"/>
      <c r="Q101" s="311"/>
      <c r="R101" s="321"/>
      <c r="S101" s="113"/>
      <c r="T101" s="113"/>
      <c r="U101" s="120"/>
      <c r="V101" s="113"/>
      <c r="W101" s="113"/>
      <c r="X101" s="120"/>
      <c r="Y101" s="113"/>
      <c r="Z101" s="113"/>
      <c r="AH101" s="176" t="s">
        <v>272</v>
      </c>
      <c r="AI101" s="173">
        <v>2E-3</v>
      </c>
      <c r="AQ101" s="176"/>
      <c r="AR101" s="173"/>
    </row>
    <row r="102" spans="1:44" x14ac:dyDescent="0.2">
      <c r="A102" s="113"/>
      <c r="B102" s="117">
        <f>SUM(B99:B101)</f>
        <v>0.24405170792854886</v>
      </c>
      <c r="C102" s="115"/>
      <c r="F102" s="118"/>
      <c r="G102" s="260"/>
      <c r="H102" s="205">
        <f>SUM(H99:H101)</f>
        <v>0.10703068906202581</v>
      </c>
      <c r="I102" s="115"/>
      <c r="J102" s="202"/>
      <c r="K102" s="205">
        <f>SUM(K99:K101)</f>
        <v>0.44584475524475509</v>
      </c>
      <c r="L102" s="115"/>
      <c r="O102" s="115"/>
      <c r="P102" s="311">
        <f>+'Offseason Rate'!B102+'Offseason Rate'!B3</f>
        <v>4.4922620745542954</v>
      </c>
      <c r="Q102" s="311">
        <f>+P102*0.6</f>
        <v>2.6953572447325773</v>
      </c>
      <c r="R102" s="313"/>
      <c r="S102" s="113">
        <f>+'Offseason Rate'!E102+'Offseason Rate'!E3</f>
        <v>2.8016205541725294</v>
      </c>
      <c r="T102" s="113">
        <f>+S102*0.6</f>
        <v>1.6809723325035175</v>
      </c>
      <c r="U102" s="115"/>
      <c r="V102" s="113"/>
      <c r="W102" s="113"/>
      <c r="X102" s="115"/>
      <c r="Y102" s="113"/>
      <c r="Z102" s="113"/>
      <c r="AH102" s="34" t="s">
        <v>273</v>
      </c>
      <c r="AI102" s="173">
        <v>7.0000000000000001E-3</v>
      </c>
      <c r="AR102" s="173"/>
    </row>
    <row r="103" spans="1:44" x14ac:dyDescent="0.2">
      <c r="A103" s="115" t="s">
        <v>22</v>
      </c>
      <c r="B103" s="117" t="s">
        <v>216</v>
      </c>
      <c r="C103" s="118"/>
      <c r="G103" s="460" t="s">
        <v>970</v>
      </c>
      <c r="H103" s="263" t="s">
        <v>969</v>
      </c>
      <c r="I103" s="118"/>
      <c r="J103" s="200" t="s">
        <v>135</v>
      </c>
      <c r="K103" s="201" t="s">
        <v>211</v>
      </c>
      <c r="L103" s="118"/>
      <c r="O103" s="118"/>
      <c r="P103" s="313"/>
      <c r="Q103" s="313"/>
      <c r="R103" s="316"/>
      <c r="S103" s="115"/>
      <c r="T103" s="115"/>
      <c r="U103" s="118"/>
      <c r="V103" s="115"/>
      <c r="W103" s="115"/>
      <c r="X103" s="118"/>
      <c r="Y103" s="115"/>
      <c r="Z103" s="115"/>
      <c r="AH103" s="34" t="s">
        <v>274</v>
      </c>
      <c r="AI103" s="173">
        <v>2E-3</v>
      </c>
      <c r="AR103" s="173"/>
    </row>
    <row r="104" spans="1:44" x14ac:dyDescent="0.2">
      <c r="A104" s="118" t="s">
        <v>146</v>
      </c>
      <c r="B104" s="122">
        <v>3.3999999999999998E-3</v>
      </c>
      <c r="C104" s="123"/>
      <c r="F104" s="123"/>
      <c r="G104" s="260" t="s">
        <v>146</v>
      </c>
      <c r="H104" s="203">
        <v>4.2700000000000002E-2</v>
      </c>
      <c r="J104" s="202" t="s">
        <v>146</v>
      </c>
      <c r="K104" s="203">
        <v>1.77E-2</v>
      </c>
      <c r="P104" s="316"/>
      <c r="Q104" s="316"/>
      <c r="R104" s="325"/>
      <c r="S104" s="118"/>
      <c r="T104" s="118"/>
      <c r="U104" s="123"/>
      <c r="V104" s="118"/>
      <c r="W104" s="118"/>
      <c r="X104" s="123"/>
      <c r="Y104" s="118"/>
      <c r="Z104" s="118"/>
      <c r="AI104" s="173"/>
      <c r="AR104" s="173"/>
    </row>
    <row r="105" spans="1:44" x14ac:dyDescent="0.2">
      <c r="A105" s="123" t="s">
        <v>60</v>
      </c>
      <c r="B105" s="122">
        <v>0</v>
      </c>
      <c r="C105" s="113"/>
      <c r="F105" s="113"/>
      <c r="G105" s="260" t="s">
        <v>60</v>
      </c>
      <c r="H105" s="203">
        <f>0.0022+0.0072</f>
        <v>9.4000000000000004E-3</v>
      </c>
      <c r="I105" s="123"/>
      <c r="J105" s="202" t="s">
        <v>60</v>
      </c>
      <c r="K105" s="203">
        <f>0.0022+0.0072</f>
        <v>9.4000000000000004E-3</v>
      </c>
      <c r="L105" s="123"/>
      <c r="O105" s="123"/>
      <c r="P105" s="316"/>
      <c r="Q105" s="316"/>
      <c r="R105" s="311"/>
      <c r="S105" s="118"/>
      <c r="T105" s="118"/>
      <c r="U105" s="113"/>
      <c r="V105" s="118"/>
      <c r="W105" s="118"/>
      <c r="X105" s="113"/>
      <c r="Y105" s="123"/>
      <c r="Z105" s="123"/>
      <c r="AH105" s="175">
        <v>36220</v>
      </c>
      <c r="AQ105" s="175"/>
    </row>
    <row r="106" spans="1:44" x14ac:dyDescent="0.2">
      <c r="A106" s="113" t="s">
        <v>793</v>
      </c>
      <c r="B106" s="114">
        <f>(B3-0.09)/(1-0.0059)-(B3-0.09)</f>
        <v>2.6084397947892413E-2</v>
      </c>
      <c r="C106" s="113"/>
      <c r="F106" s="113"/>
      <c r="G106" s="260" t="s">
        <v>971</v>
      </c>
      <c r="H106" s="204">
        <f>(+H5)/(1-0.005)-H5</f>
        <v>2.3316582914572948E-2</v>
      </c>
      <c r="I106" s="113"/>
      <c r="J106" s="202" t="s">
        <v>754</v>
      </c>
      <c r="K106" s="204">
        <f>(K3)/(1-0.024)-K3</f>
        <v>0.10918032786885234</v>
      </c>
      <c r="L106" s="113"/>
      <c r="O106" s="113"/>
      <c r="P106" s="321"/>
      <c r="Q106" s="321"/>
      <c r="R106" s="311"/>
      <c r="S106" s="120"/>
      <c r="T106" s="120"/>
      <c r="U106" s="113"/>
      <c r="V106" s="120"/>
      <c r="W106" s="120"/>
      <c r="X106" s="113"/>
      <c r="Y106" s="113"/>
      <c r="Z106" s="113"/>
      <c r="AH106" s="176" t="s">
        <v>272</v>
      </c>
      <c r="AI106" s="173">
        <v>1E-3</v>
      </c>
      <c r="AQ106" s="176"/>
      <c r="AR106" s="173"/>
    </row>
    <row r="107" spans="1:44" x14ac:dyDescent="0.2">
      <c r="A107" s="113"/>
      <c r="B107" s="117">
        <f>SUM(B104:B106)</f>
        <v>2.9484397947892413E-2</v>
      </c>
      <c r="C107" s="115"/>
      <c r="F107" s="115"/>
      <c r="G107" s="260"/>
      <c r="H107" s="205">
        <f>SUM(H104:H106)</f>
        <v>7.5416582914572955E-2</v>
      </c>
      <c r="I107" s="113"/>
      <c r="J107" s="202"/>
      <c r="K107" s="205">
        <f>SUM(K104:K106)</f>
        <v>0.13628032786885236</v>
      </c>
      <c r="L107" s="113"/>
      <c r="O107" s="113"/>
      <c r="P107" s="321">
        <f>+'Offseason Rate'!B107+'Offseason Rate'!B3</f>
        <v>4.5650460627106533</v>
      </c>
      <c r="Q107" s="321">
        <f>+P107*0.4</f>
        <v>1.8260184250842615</v>
      </c>
      <c r="R107" s="313"/>
      <c r="S107" s="120">
        <f>+'Offseason Rate'!E107+'Offseason Rate'!E3</f>
        <v>2.8651174085500219</v>
      </c>
      <c r="T107" s="120">
        <f>+S107*0.4</f>
        <v>1.1460469634200088</v>
      </c>
      <c r="U107" s="115"/>
      <c r="V107" s="120"/>
      <c r="W107" s="120"/>
      <c r="X107" s="115"/>
      <c r="Y107" s="113"/>
      <c r="Z107" s="113"/>
      <c r="AH107" s="34" t="s">
        <v>273</v>
      </c>
      <c r="AI107" s="173">
        <v>3.0000000000000001E-3</v>
      </c>
      <c r="AR107" s="173"/>
    </row>
    <row r="108" spans="1:44" x14ac:dyDescent="0.2">
      <c r="A108" s="115" t="s">
        <v>22</v>
      </c>
      <c r="B108" s="117" t="s">
        <v>220</v>
      </c>
      <c r="C108" s="118"/>
      <c r="F108" s="118"/>
      <c r="G108" s="261" t="s">
        <v>36</v>
      </c>
      <c r="H108" s="263" t="s">
        <v>906</v>
      </c>
      <c r="I108" s="115"/>
      <c r="J108" s="200" t="s">
        <v>135</v>
      </c>
      <c r="K108" s="201" t="s">
        <v>214</v>
      </c>
      <c r="L108" s="115"/>
      <c r="O108" s="115"/>
      <c r="P108" s="321"/>
      <c r="Q108" s="321">
        <f>SUM(Q102:Q107)</f>
        <v>4.5213756698168392</v>
      </c>
      <c r="R108" s="316"/>
      <c r="S108" s="120"/>
      <c r="T108" s="120">
        <f>SUM(T102:T107)</f>
        <v>2.8270192959235265</v>
      </c>
      <c r="U108" s="118"/>
      <c r="V108" s="120"/>
      <c r="W108" s="120"/>
      <c r="X108" s="118"/>
      <c r="Y108" s="115"/>
      <c r="Z108" s="115"/>
      <c r="AH108" s="34" t="s">
        <v>274</v>
      </c>
      <c r="AI108" s="173">
        <v>1E-3</v>
      </c>
      <c r="AR108" s="173"/>
    </row>
    <row r="109" spans="1:44" x14ac:dyDescent="0.2">
      <c r="A109" s="124" t="s">
        <v>146</v>
      </c>
      <c r="B109" s="122">
        <v>9.1999999999999998E-3</v>
      </c>
      <c r="F109" s="123"/>
      <c r="G109" s="260" t="s">
        <v>146</v>
      </c>
      <c r="H109" s="203">
        <v>7.6499999999999999E-2</v>
      </c>
      <c r="I109" s="118"/>
      <c r="J109" s="202" t="s">
        <v>146</v>
      </c>
      <c r="K109" s="203">
        <v>6.4899999999999999E-2</v>
      </c>
      <c r="L109" s="118"/>
      <c r="O109" s="118"/>
      <c r="P109" s="313"/>
      <c r="Q109" s="313"/>
      <c r="S109" s="115"/>
      <c r="T109" s="115"/>
      <c r="V109" s="115"/>
      <c r="W109" s="115"/>
      <c r="Y109" s="118"/>
      <c r="Z109" s="118"/>
      <c r="AI109" s="173"/>
      <c r="AR109" s="173"/>
    </row>
    <row r="110" spans="1:44" x14ac:dyDescent="0.2">
      <c r="A110" s="123" t="s">
        <v>60</v>
      </c>
      <c r="B110" s="122">
        <f>0.0022+0.0072+0.0097</f>
        <v>1.9099999999999999E-2</v>
      </c>
      <c r="C110" s="123"/>
      <c r="F110" s="113"/>
      <c r="G110" s="260" t="s">
        <v>60</v>
      </c>
      <c r="H110" s="203">
        <f>0.0022+0.0072</f>
        <v>9.4000000000000004E-3</v>
      </c>
      <c r="I110" s="123"/>
      <c r="J110" s="202" t="s">
        <v>60</v>
      </c>
      <c r="K110" s="203">
        <f>0.0022+0.0072</f>
        <v>9.4000000000000004E-3</v>
      </c>
      <c r="L110" s="123"/>
      <c r="O110" s="123"/>
      <c r="P110" s="316"/>
      <c r="Q110" s="316"/>
      <c r="R110" s="325"/>
      <c r="S110" s="118"/>
      <c r="T110" s="118"/>
      <c r="U110" s="123"/>
      <c r="V110" s="118"/>
      <c r="W110" s="118"/>
      <c r="X110" s="123"/>
      <c r="AH110" s="175">
        <v>36192</v>
      </c>
      <c r="AQ110" s="175"/>
    </row>
    <row r="111" spans="1:44" x14ac:dyDescent="0.2">
      <c r="A111" s="113" t="s">
        <v>794</v>
      </c>
      <c r="B111" s="114">
        <f>4.7/(1-0.0153)-4.7</f>
        <v>7.3027317964862171E-2</v>
      </c>
      <c r="C111" s="113"/>
      <c r="F111" s="113"/>
      <c r="G111" s="260" t="s">
        <v>378</v>
      </c>
      <c r="H111" s="204">
        <f>(+H5)/(1-0.0186)-H5</f>
        <v>8.7939678011004219E-2</v>
      </c>
      <c r="I111" s="113"/>
      <c r="J111" s="202" t="s">
        <v>388</v>
      </c>
      <c r="K111" s="204">
        <f>(K3)/(1-0.0472)-K3</f>
        <v>0.21994962216624714</v>
      </c>
      <c r="L111" s="113"/>
      <c r="O111" s="113"/>
      <c r="P111" s="325"/>
      <c r="Q111" s="325"/>
      <c r="R111" s="311"/>
      <c r="S111" s="123"/>
      <c r="T111" s="123"/>
      <c r="U111" s="113"/>
      <c r="V111" s="123"/>
      <c r="W111" s="123"/>
      <c r="X111" s="113"/>
      <c r="AH111" s="176" t="s">
        <v>272</v>
      </c>
      <c r="AI111" s="173">
        <v>4.0000000000000001E-3</v>
      </c>
      <c r="AQ111" s="176"/>
      <c r="AR111" s="173"/>
    </row>
    <row r="112" spans="1:44" x14ac:dyDescent="0.2">
      <c r="A112" s="113"/>
      <c r="B112" s="117">
        <f>SUM(B109:B111)</f>
        <v>0.10132731796486216</v>
      </c>
      <c r="C112" s="113"/>
      <c r="F112" s="115"/>
      <c r="G112" s="260"/>
      <c r="H112" s="205">
        <f>SUM(H109:H111)</f>
        <v>0.17383967801100422</v>
      </c>
      <c r="I112" s="113"/>
      <c r="J112" s="202"/>
      <c r="K112" s="205">
        <f>SUM(K109:K111)</f>
        <v>0.29424962216624717</v>
      </c>
      <c r="L112" s="113"/>
      <c r="O112" s="113"/>
      <c r="P112" s="311"/>
      <c r="Q112" s="311"/>
      <c r="R112" s="311"/>
      <c r="S112" s="113"/>
      <c r="T112" s="113"/>
      <c r="U112" s="113"/>
      <c r="V112" s="113"/>
      <c r="W112" s="113"/>
      <c r="X112" s="113"/>
      <c r="AH112" s="34" t="s">
        <v>273</v>
      </c>
      <c r="AI112" s="173">
        <v>0.01</v>
      </c>
      <c r="AR112" s="173"/>
    </row>
    <row r="113" spans="1:44" x14ac:dyDescent="0.2">
      <c r="A113" s="115" t="s">
        <v>22</v>
      </c>
      <c r="B113" s="117" t="s">
        <v>426</v>
      </c>
      <c r="C113" s="115"/>
      <c r="F113" s="118"/>
      <c r="G113" s="261" t="s">
        <v>36</v>
      </c>
      <c r="H113" s="263" t="s">
        <v>1030</v>
      </c>
      <c r="I113" s="115"/>
      <c r="J113" s="200" t="s">
        <v>135</v>
      </c>
      <c r="K113" s="201" t="s">
        <v>218</v>
      </c>
      <c r="L113" s="115"/>
      <c r="O113" s="115"/>
      <c r="P113" s="311"/>
      <c r="Q113" s="311"/>
      <c r="R113" s="313"/>
      <c r="S113" s="113"/>
      <c r="T113" s="113"/>
      <c r="U113" s="115"/>
      <c r="V113" s="113"/>
      <c r="W113" s="113"/>
      <c r="X113" s="115"/>
      <c r="AH113" s="34" t="s">
        <v>274</v>
      </c>
      <c r="AI113" s="173">
        <v>4.0000000000000001E-3</v>
      </c>
      <c r="AR113" s="173"/>
    </row>
    <row r="114" spans="1:44" x14ac:dyDescent="0.2">
      <c r="A114" s="124" t="s">
        <v>146</v>
      </c>
      <c r="B114" s="122">
        <v>1.38E-2</v>
      </c>
      <c r="C114" s="118"/>
      <c r="G114" s="260" t="s">
        <v>146</v>
      </c>
      <c r="H114" s="203">
        <v>7.6499999999999999E-2</v>
      </c>
      <c r="I114" s="118"/>
      <c r="J114" s="202" t="s">
        <v>146</v>
      </c>
      <c r="K114" s="203">
        <v>8.6300000000000002E-2</v>
      </c>
      <c r="L114" s="118"/>
      <c r="O114" s="118"/>
      <c r="P114" s="313"/>
      <c r="Q114" s="313"/>
      <c r="R114" s="316"/>
      <c r="S114" s="115"/>
      <c r="T114" s="115"/>
      <c r="U114" s="118"/>
      <c r="V114" s="115"/>
      <c r="W114" s="115"/>
      <c r="X114" s="118"/>
      <c r="AI114" s="173"/>
    </row>
    <row r="115" spans="1:44" x14ac:dyDescent="0.2">
      <c r="A115" s="123" t="s">
        <v>60</v>
      </c>
      <c r="B115" s="122">
        <f>0.0022+0.0072+0.0097</f>
        <v>1.9099999999999999E-2</v>
      </c>
      <c r="C115" s="123"/>
      <c r="G115" s="260" t="s">
        <v>60</v>
      </c>
      <c r="H115" s="203">
        <f>0.0022+0.0072</f>
        <v>9.4000000000000004E-3</v>
      </c>
      <c r="J115" s="202" t="s">
        <v>60</v>
      </c>
      <c r="K115" s="203">
        <f>0.0022+0.0072</f>
        <v>9.4000000000000004E-3</v>
      </c>
      <c r="P115" s="316"/>
      <c r="Q115" s="316"/>
      <c r="R115" s="325"/>
      <c r="S115" s="118"/>
      <c r="T115" s="118"/>
      <c r="U115" s="123"/>
      <c r="V115" s="118"/>
      <c r="W115" s="118"/>
      <c r="X115" s="123"/>
      <c r="AH115" s="175">
        <v>36161</v>
      </c>
      <c r="AQ115" s="175"/>
    </row>
    <row r="116" spans="1:44" x14ac:dyDescent="0.2">
      <c r="A116" s="113" t="s">
        <v>795</v>
      </c>
      <c r="B116" s="114">
        <f>2.3/(1-0.0237)-2.3</f>
        <v>5.5833247977056466E-2</v>
      </c>
      <c r="C116" s="113"/>
      <c r="D116" s="147"/>
      <c r="G116" s="260" t="s">
        <v>1031</v>
      </c>
      <c r="H116" s="204">
        <f>(+H$5)/(1-0.0127)-H$5</f>
        <v>5.9686012356933382E-2</v>
      </c>
      <c r="J116" s="202" t="s">
        <v>755</v>
      </c>
      <c r="K116" s="204">
        <f>(K3)/(1-0.0612)-K3</f>
        <v>0.28944184064763512</v>
      </c>
      <c r="R116" s="311"/>
      <c r="U116" s="113"/>
      <c r="X116" s="113"/>
      <c r="AH116" s="176" t="s">
        <v>272</v>
      </c>
      <c r="AI116" s="173">
        <v>3.0000000000000001E-3</v>
      </c>
      <c r="AQ116" s="176"/>
      <c r="AR116" s="173"/>
    </row>
    <row r="117" spans="1:44" x14ac:dyDescent="0.2">
      <c r="A117" s="113"/>
      <c r="B117" s="117">
        <f>SUM(B114:B116)</f>
        <v>8.8733247977056465E-2</v>
      </c>
      <c r="C117" s="113"/>
      <c r="D117" s="147"/>
      <c r="G117" s="260"/>
      <c r="H117" s="205">
        <f>SUM(H114:H116)</f>
        <v>0.14558601235693339</v>
      </c>
      <c r="J117" s="202"/>
      <c r="K117" s="205">
        <f>SUM(K114:K116)</f>
        <v>0.38514184064763513</v>
      </c>
      <c r="P117" s="325"/>
      <c r="Q117" s="325"/>
      <c r="R117" s="311"/>
      <c r="S117" s="123"/>
      <c r="T117" s="123"/>
      <c r="U117" s="113"/>
      <c r="V117" s="123"/>
      <c r="W117" s="123"/>
      <c r="X117" s="113"/>
      <c r="AH117" s="34" t="s">
        <v>273</v>
      </c>
      <c r="AI117" s="173">
        <v>8.0000000000000002E-3</v>
      </c>
      <c r="AR117" s="173"/>
    </row>
    <row r="118" spans="1:44" x14ac:dyDescent="0.2">
      <c r="A118" s="115" t="s">
        <v>22</v>
      </c>
      <c r="B118" s="117" t="s">
        <v>222</v>
      </c>
      <c r="C118" s="115"/>
      <c r="G118" s="261" t="s">
        <v>36</v>
      </c>
      <c r="H118" s="263" t="s">
        <v>952</v>
      </c>
      <c r="J118" s="200" t="s">
        <v>135</v>
      </c>
      <c r="K118" s="201" t="s">
        <v>221</v>
      </c>
      <c r="P118" s="311"/>
      <c r="Q118" s="311"/>
      <c r="R118" s="313"/>
      <c r="S118" s="113"/>
      <c r="T118" s="113"/>
      <c r="U118" s="115"/>
      <c r="V118" s="113"/>
      <c r="W118" s="113"/>
      <c r="X118" s="115"/>
      <c r="AH118" s="34" t="s">
        <v>274</v>
      </c>
      <c r="AI118" s="173">
        <v>3.0000000000000001E-3</v>
      </c>
      <c r="AR118" s="173"/>
    </row>
    <row r="119" spans="1:44" x14ac:dyDescent="0.2">
      <c r="A119" s="118" t="s">
        <v>146</v>
      </c>
      <c r="B119" s="122">
        <v>5.0000000000000001E-3</v>
      </c>
      <c r="C119" s="118"/>
      <c r="G119" s="260" t="s">
        <v>146</v>
      </c>
      <c r="H119" s="203">
        <v>6.4199999999999993E-2</v>
      </c>
      <c r="J119" s="202" t="s">
        <v>146</v>
      </c>
      <c r="K119" s="203">
        <v>0.1012</v>
      </c>
      <c r="P119" s="311"/>
      <c r="Q119" s="311"/>
      <c r="R119" s="316"/>
      <c r="S119" s="113"/>
      <c r="T119" s="113"/>
      <c r="U119" s="118"/>
      <c r="V119" s="113"/>
      <c r="W119" s="113"/>
      <c r="X119" s="118"/>
      <c r="AI119" s="173"/>
    </row>
    <row r="120" spans="1:44" x14ac:dyDescent="0.2">
      <c r="A120" s="123" t="s">
        <v>60</v>
      </c>
      <c r="B120" s="122">
        <f>0.0022+0.0072+0.0097</f>
        <v>1.9099999999999999E-2</v>
      </c>
      <c r="G120" s="260" t="s">
        <v>60</v>
      </c>
      <c r="H120" s="203">
        <f>0.0022+0.0072</f>
        <v>9.4000000000000004E-3</v>
      </c>
      <c r="J120" s="202" t="s">
        <v>60</v>
      </c>
      <c r="K120" s="203">
        <f>0.0022+0.0072</f>
        <v>9.4000000000000004E-3</v>
      </c>
      <c r="P120" s="313"/>
      <c r="Q120" s="313"/>
      <c r="S120" s="115"/>
      <c r="T120" s="115"/>
      <c r="V120" s="115"/>
      <c r="W120" s="115"/>
      <c r="AH120" s="175">
        <v>36130</v>
      </c>
      <c r="AQ120" s="175"/>
    </row>
    <row r="121" spans="1:44" x14ac:dyDescent="0.2">
      <c r="A121" s="113" t="s">
        <v>363</v>
      </c>
      <c r="B121" s="114">
        <f>B7/(1-0.0084)-B7</f>
        <v>4.0365066559096441E-2</v>
      </c>
      <c r="G121" s="260" t="s">
        <v>953</v>
      </c>
      <c r="H121" s="204">
        <f>(+H4)/(1-0.0186)-H4</f>
        <v>8.3485836560016402E-2</v>
      </c>
      <c r="J121" s="202" t="s">
        <v>756</v>
      </c>
      <c r="K121" s="204">
        <f>(K3)/(1-0.0705)-K3</f>
        <v>0.3367616998386227</v>
      </c>
      <c r="P121" s="316"/>
      <c r="Q121" s="316"/>
      <c r="S121" s="118"/>
      <c r="T121" s="118"/>
      <c r="V121" s="118"/>
      <c r="W121" s="118"/>
      <c r="AH121" s="176" t="s">
        <v>272</v>
      </c>
      <c r="AI121" s="173">
        <v>2E-3</v>
      </c>
      <c r="AQ121" s="176"/>
      <c r="AR121" s="173"/>
    </row>
    <row r="122" spans="1:44" x14ac:dyDescent="0.2">
      <c r="A122" s="113" t="s">
        <v>225</v>
      </c>
      <c r="B122" s="117">
        <f>SUM(B119:B121)</f>
        <v>6.4465066559096437E-2</v>
      </c>
      <c r="G122" s="260"/>
      <c r="H122" s="205">
        <f>SUM(H119:H121)</f>
        <v>0.1570858365600164</v>
      </c>
      <c r="J122" s="202"/>
      <c r="K122" s="205">
        <f>SUM(K119:K121)</f>
        <v>0.44736169983862273</v>
      </c>
      <c r="P122" s="325"/>
      <c r="Q122" s="325"/>
      <c r="S122" s="123"/>
      <c r="T122" s="123"/>
      <c r="V122" s="123"/>
      <c r="W122" s="123"/>
      <c r="AH122" s="34" t="s">
        <v>273</v>
      </c>
      <c r="AI122" s="173">
        <v>8.0000000000000002E-3</v>
      </c>
      <c r="AR122" s="173"/>
    </row>
    <row r="123" spans="1:44" x14ac:dyDescent="0.2">
      <c r="A123" s="313" t="s">
        <v>798</v>
      </c>
      <c r="B123" s="295"/>
      <c r="G123" s="261" t="s">
        <v>871</v>
      </c>
      <c r="H123" s="262"/>
      <c r="J123" s="200" t="s">
        <v>135</v>
      </c>
      <c r="K123" s="201" t="s">
        <v>224</v>
      </c>
      <c r="P123" s="311"/>
      <c r="Q123" s="311"/>
      <c r="S123" s="113"/>
      <c r="T123" s="113"/>
      <c r="V123" s="113"/>
      <c r="W123" s="113"/>
      <c r="AH123" s="34" t="s">
        <v>274</v>
      </c>
      <c r="AI123" s="173">
        <v>2E-3</v>
      </c>
      <c r="AR123" s="173"/>
    </row>
    <row r="124" spans="1:44" x14ac:dyDescent="0.2">
      <c r="A124" s="316" t="s">
        <v>22</v>
      </c>
      <c r="B124" s="295"/>
      <c r="G124" s="258" t="s">
        <v>146</v>
      </c>
      <c r="H124" s="203">
        <v>9.4000000000000004E-3</v>
      </c>
      <c r="J124" s="202" t="s">
        <v>146</v>
      </c>
      <c r="K124" s="203">
        <v>4.7199999999999999E-2</v>
      </c>
      <c r="P124" s="311"/>
      <c r="Q124" s="311"/>
      <c r="S124" s="113"/>
      <c r="T124" s="113"/>
      <c r="V124" s="113"/>
      <c r="W124" s="113"/>
      <c r="AI124" s="173"/>
    </row>
    <row r="125" spans="1:44" x14ac:dyDescent="0.2">
      <c r="A125" s="316" t="s">
        <v>275</v>
      </c>
      <c r="B125" s="295"/>
      <c r="G125" s="258" t="s">
        <v>60</v>
      </c>
      <c r="H125" s="203">
        <v>2.2000000000000001E-3</v>
      </c>
      <c r="J125" s="202" t="s">
        <v>60</v>
      </c>
      <c r="K125" s="203">
        <f>0.0022+0.0072</f>
        <v>9.4000000000000004E-3</v>
      </c>
      <c r="P125" s="313"/>
      <c r="Q125" s="313"/>
      <c r="S125" s="115"/>
      <c r="T125" s="115"/>
      <c r="V125" s="115"/>
      <c r="W125" s="115"/>
      <c r="AH125" s="175">
        <v>36100</v>
      </c>
      <c r="AQ125" s="175"/>
    </row>
    <row r="126" spans="1:44" x14ac:dyDescent="0.2">
      <c r="A126" s="321" t="s">
        <v>276</v>
      </c>
      <c r="B126" s="295"/>
      <c r="G126" s="258" t="s">
        <v>741</v>
      </c>
      <c r="H126" s="204">
        <f>(+AI3+AI17)/(1-0.0131)-(+AI3+AI17)</f>
        <v>6.1489141805751935E-2</v>
      </c>
      <c r="J126" s="202" t="s">
        <v>334</v>
      </c>
      <c r="K126" s="204">
        <f>(K6)/(1-0.0232)-(K6)</f>
        <v>0.10794840294840302</v>
      </c>
      <c r="P126" s="316"/>
      <c r="Q126" s="316"/>
      <c r="S126" s="118"/>
      <c r="T126" s="118"/>
      <c r="V126" s="118"/>
      <c r="W126" s="118"/>
      <c r="AH126" s="176" t="s">
        <v>272</v>
      </c>
      <c r="AI126" s="173">
        <v>3.0000000000000001E-3</v>
      </c>
      <c r="AQ126" s="176"/>
      <c r="AR126" s="173"/>
    </row>
    <row r="127" spans="1:44" x14ac:dyDescent="0.2">
      <c r="A127" s="321" t="s">
        <v>22</v>
      </c>
      <c r="B127" s="315" t="s">
        <v>213</v>
      </c>
      <c r="G127" s="260"/>
      <c r="H127" s="205">
        <f>SUM(H124:H126)</f>
        <v>7.3089141805751934E-2</v>
      </c>
      <c r="J127" s="202"/>
      <c r="K127" s="205">
        <f>SUM(K124:K126)</f>
        <v>0.16454840294840301</v>
      </c>
      <c r="AH127" s="34" t="s">
        <v>273</v>
      </c>
      <c r="AI127" s="173">
        <v>6.0000000000000001E-3</v>
      </c>
      <c r="AR127" s="173"/>
    </row>
    <row r="128" spans="1:44" x14ac:dyDescent="0.2">
      <c r="A128" s="321" t="s">
        <v>146</v>
      </c>
      <c r="B128" s="371">
        <v>1.6000000000000001E-3</v>
      </c>
      <c r="G128" s="261" t="s">
        <v>36</v>
      </c>
      <c r="H128" s="262" t="s">
        <v>226</v>
      </c>
      <c r="J128" s="200" t="s">
        <v>135</v>
      </c>
      <c r="K128" s="201" t="s">
        <v>227</v>
      </c>
      <c r="AH128" s="34" t="s">
        <v>274</v>
      </c>
      <c r="AI128" s="173">
        <v>3.0000000000000001E-3</v>
      </c>
      <c r="AR128" s="173"/>
    </row>
    <row r="129" spans="1:35" x14ac:dyDescent="0.2">
      <c r="A129" s="313" t="s">
        <v>60</v>
      </c>
      <c r="B129" s="371">
        <f>0.0022+0.0072+0.0097</f>
        <v>1.9099999999999999E-2</v>
      </c>
      <c r="G129" s="258" t="s">
        <v>146</v>
      </c>
      <c r="H129" s="203">
        <v>4.5900000000000003E-2</v>
      </c>
      <c r="J129" s="202" t="s">
        <v>146</v>
      </c>
      <c r="K129" s="203">
        <v>6.8599999999999994E-2</v>
      </c>
      <c r="AI129" s="173"/>
    </row>
    <row r="130" spans="1:35" x14ac:dyDescent="0.2">
      <c r="A130" s="316" t="s">
        <v>790</v>
      </c>
      <c r="B130" s="312">
        <f>B3/(1-0.019)-B3</f>
        <v>8.6865443425076627E-2</v>
      </c>
      <c r="G130" s="258" t="s">
        <v>60</v>
      </c>
      <c r="H130" s="203">
        <f>0.0022+0.0072</f>
        <v>9.4000000000000004E-3</v>
      </c>
      <c r="J130" s="202" t="s">
        <v>60</v>
      </c>
      <c r="K130" s="203">
        <f>0.0022+0.0072</f>
        <v>9.4000000000000004E-3</v>
      </c>
      <c r="AH130" s="175">
        <v>36069</v>
      </c>
    </row>
    <row r="131" spans="1:35" x14ac:dyDescent="0.2">
      <c r="A131" s="325" t="s">
        <v>225</v>
      </c>
      <c r="B131" s="315">
        <f>SUM(B128:B130)</f>
        <v>0.10756544342507662</v>
      </c>
      <c r="G131" s="258" t="s">
        <v>379</v>
      </c>
      <c r="H131" s="204">
        <f>(+H5)/(1-0.0107)-H5</f>
        <v>5.0184979278277808E-2</v>
      </c>
      <c r="J131" s="202" t="s">
        <v>757</v>
      </c>
      <c r="K131" s="204">
        <f>(K6)/(1-0.0372)-(K6)</f>
        <v>0.17560656418778553</v>
      </c>
      <c r="AH131" s="176" t="s">
        <v>272</v>
      </c>
      <c r="AI131" s="173">
        <v>0</v>
      </c>
    </row>
    <row r="132" spans="1:35" x14ac:dyDescent="0.2">
      <c r="A132" s="311"/>
      <c r="B132" s="295"/>
      <c r="G132" s="260"/>
      <c r="H132" s="205">
        <f>SUM(H129:H131)</f>
        <v>0.10548497927827781</v>
      </c>
      <c r="J132" s="202"/>
      <c r="K132" s="205">
        <f>SUM(K129:K131)</f>
        <v>0.25360656418778554</v>
      </c>
      <c r="AH132" s="34" t="s">
        <v>273</v>
      </c>
      <c r="AI132" s="173">
        <v>0</v>
      </c>
    </row>
    <row r="133" spans="1:35" x14ac:dyDescent="0.2">
      <c r="A133" s="316" t="s">
        <v>22</v>
      </c>
      <c r="B133" s="295"/>
      <c r="G133" s="261" t="s">
        <v>36</v>
      </c>
      <c r="H133" s="262" t="s">
        <v>228</v>
      </c>
      <c r="J133" s="200" t="s">
        <v>135</v>
      </c>
      <c r="K133" s="201" t="s">
        <v>229</v>
      </c>
      <c r="AH133" s="34" t="s">
        <v>274</v>
      </c>
      <c r="AI133" s="173">
        <v>0</v>
      </c>
    </row>
    <row r="134" spans="1:35" x14ac:dyDescent="0.2">
      <c r="A134" s="316" t="s">
        <v>524</v>
      </c>
      <c r="B134" s="295"/>
      <c r="G134" s="258" t="s">
        <v>146</v>
      </c>
      <c r="H134" s="439">
        <v>0.15770000000000001</v>
      </c>
      <c r="J134" s="202" t="s">
        <v>146</v>
      </c>
      <c r="K134" s="203">
        <v>8.3500000000000005E-2</v>
      </c>
    </row>
    <row r="135" spans="1:35" x14ac:dyDescent="0.2">
      <c r="A135" s="321" t="s">
        <v>523</v>
      </c>
      <c r="B135" s="295"/>
      <c r="G135" s="258" t="s">
        <v>60</v>
      </c>
      <c r="H135" s="203">
        <f>0.0022+0+0.0225+0.0072</f>
        <v>3.1899999999999998E-2</v>
      </c>
      <c r="J135" s="202" t="s">
        <v>60</v>
      </c>
      <c r="K135" s="203">
        <f>0.0022+0.0072</f>
        <v>9.4000000000000004E-3</v>
      </c>
      <c r="AH135" s="175">
        <v>36039</v>
      </c>
    </row>
    <row r="136" spans="1:35" x14ac:dyDescent="0.2">
      <c r="A136" s="321" t="s">
        <v>22</v>
      </c>
      <c r="B136" s="315" t="s">
        <v>222</v>
      </c>
      <c r="G136" s="258" t="s">
        <v>370</v>
      </c>
      <c r="H136" s="259">
        <f>(H4)/(1-0.095)-H4</f>
        <v>0.46240331491712716</v>
      </c>
      <c r="J136" s="202" t="s">
        <v>758</v>
      </c>
      <c r="K136" s="204">
        <f>(K6)/(1-0.0465)-(K6)</f>
        <v>0.2216491872050339</v>
      </c>
      <c r="AH136" s="176" t="s">
        <v>272</v>
      </c>
      <c r="AI136" s="173">
        <v>0</v>
      </c>
    </row>
    <row r="137" spans="1:35" x14ac:dyDescent="0.2">
      <c r="A137" s="321" t="s">
        <v>146</v>
      </c>
      <c r="B137" s="371">
        <v>5.7000000000000002E-3</v>
      </c>
      <c r="G137" s="260"/>
      <c r="H137" s="205">
        <f>SUM(H134:H136)</f>
        <v>0.65200331491712715</v>
      </c>
      <c r="J137" s="202"/>
      <c r="K137" s="205">
        <f>SUM(K134:K136)</f>
        <v>0.31454918720503389</v>
      </c>
      <c r="AH137" s="34" t="s">
        <v>273</v>
      </c>
      <c r="AI137" s="173">
        <v>0</v>
      </c>
    </row>
    <row r="138" spans="1:35" x14ac:dyDescent="0.2">
      <c r="A138" s="313" t="s">
        <v>60</v>
      </c>
      <c r="B138" s="371">
        <f>0.0072+0.0022</f>
        <v>9.4000000000000004E-3</v>
      </c>
      <c r="E138" s="69"/>
      <c r="F138" s="69"/>
      <c r="G138" s="261" t="s">
        <v>36</v>
      </c>
      <c r="H138" s="262" t="s">
        <v>230</v>
      </c>
      <c r="I138" s="69"/>
      <c r="J138" s="200" t="s">
        <v>135</v>
      </c>
      <c r="K138" s="205" t="s">
        <v>231</v>
      </c>
      <c r="L138" s="69"/>
      <c r="AH138" s="34" t="s">
        <v>274</v>
      </c>
      <c r="AI138" s="173">
        <v>0</v>
      </c>
    </row>
    <row r="139" spans="1:35" x14ac:dyDescent="0.2">
      <c r="A139" s="316" t="s">
        <v>579</v>
      </c>
      <c r="B139" s="312">
        <f>B7/(1-0.0084)-B7</f>
        <v>4.0365066559096441E-2</v>
      </c>
      <c r="E139" s="69"/>
      <c r="F139" s="69"/>
      <c r="G139" s="258" t="s">
        <v>146</v>
      </c>
      <c r="H139" s="439">
        <v>0.31900000000000001</v>
      </c>
      <c r="I139" s="69"/>
      <c r="J139" s="202" t="s">
        <v>146</v>
      </c>
      <c r="K139" s="208">
        <v>5.8299999999999998E-2</v>
      </c>
      <c r="L139" s="69"/>
    </row>
    <row r="140" spans="1:35" x14ac:dyDescent="0.2">
      <c r="A140" s="325" t="s">
        <v>225</v>
      </c>
      <c r="B140" s="315">
        <f>SUM(B137:B139)</f>
        <v>5.5465066559096443E-2</v>
      </c>
      <c r="E140" s="69"/>
      <c r="F140" s="69"/>
      <c r="G140" s="258" t="s">
        <v>60</v>
      </c>
      <c r="H140" s="203">
        <f>0.0022+0+0.0225+0.0072</f>
        <v>3.1899999999999998E-2</v>
      </c>
      <c r="I140" s="69"/>
      <c r="J140" s="202" t="s">
        <v>60</v>
      </c>
      <c r="K140" s="203">
        <f>0.0022</f>
        <v>2.2000000000000001E-3</v>
      </c>
      <c r="L140" s="69"/>
      <c r="AH140" s="175">
        <v>36008</v>
      </c>
    </row>
    <row r="141" spans="1:35" x14ac:dyDescent="0.2">
      <c r="A141" s="316"/>
      <c r="B141" s="295"/>
      <c r="E141" s="69"/>
      <c r="F141" s="69"/>
      <c r="G141" s="258" t="s">
        <v>364</v>
      </c>
      <c r="H141" s="259">
        <f>(H3)/(1-0.0244)-H3</f>
        <v>0.10954489544895463</v>
      </c>
      <c r="I141" s="69"/>
      <c r="J141" s="202" t="s">
        <v>759</v>
      </c>
      <c r="K141" s="204">
        <f>(K6)/(1-0.0304)-K6</f>
        <v>0.14250000000000007</v>
      </c>
      <c r="L141" s="69"/>
      <c r="AH141" s="176" t="s">
        <v>272</v>
      </c>
      <c r="AI141" s="173">
        <v>0</v>
      </c>
    </row>
    <row r="142" spans="1:35" x14ac:dyDescent="0.2">
      <c r="A142" s="325" t="s">
        <v>568</v>
      </c>
      <c r="B142" s="295"/>
      <c r="E142" s="69"/>
      <c r="F142" s="69"/>
      <c r="G142" s="260"/>
      <c r="H142" s="205">
        <f>SUM(H139:H141)</f>
        <v>0.46044489544895462</v>
      </c>
      <c r="I142" s="69"/>
      <c r="J142" s="202"/>
      <c r="K142" s="205">
        <f>SUM(K139:K141)</f>
        <v>0.20300000000000007</v>
      </c>
      <c r="L142" s="69"/>
      <c r="AH142" s="34" t="s">
        <v>273</v>
      </c>
      <c r="AI142" s="173">
        <v>0</v>
      </c>
    </row>
    <row r="143" spans="1:35" x14ac:dyDescent="0.2">
      <c r="A143" s="311" t="s">
        <v>569</v>
      </c>
      <c r="B143" s="295"/>
      <c r="E143" s="69"/>
      <c r="F143" s="69"/>
      <c r="G143" s="261" t="s">
        <v>36</v>
      </c>
      <c r="H143" s="262" t="s">
        <v>232</v>
      </c>
      <c r="I143" s="69"/>
      <c r="J143" s="200" t="s">
        <v>135</v>
      </c>
      <c r="K143" s="205" t="s">
        <v>233</v>
      </c>
      <c r="L143" s="69"/>
      <c r="AH143" s="34" t="s">
        <v>274</v>
      </c>
      <c r="AI143" s="173">
        <v>0</v>
      </c>
    </row>
    <row r="144" spans="1:35" x14ac:dyDescent="0.2">
      <c r="A144" s="311" t="s">
        <v>336</v>
      </c>
      <c r="B144" s="295">
        <v>4.4999999999999998E-2</v>
      </c>
      <c r="E144" s="69"/>
      <c r="F144" s="69"/>
      <c r="G144" s="258" t="s">
        <v>146</v>
      </c>
      <c r="H144" s="439">
        <v>0.36809999999999998</v>
      </c>
      <c r="I144" s="69"/>
      <c r="J144" s="202" t="s">
        <v>146</v>
      </c>
      <c r="K144" s="208">
        <v>7.3099999999999998E-2</v>
      </c>
      <c r="L144" s="69"/>
    </row>
    <row r="145" spans="1:35" x14ac:dyDescent="0.2">
      <c r="A145" s="313" t="s">
        <v>60</v>
      </c>
      <c r="B145" s="295">
        <f>0.0022+0.0072</f>
        <v>9.4000000000000004E-3</v>
      </c>
      <c r="E145" s="69"/>
      <c r="F145" s="69"/>
      <c r="G145" s="258" t="s">
        <v>60</v>
      </c>
      <c r="H145" s="203">
        <f>0.0022+0+0.0225+0.0072</f>
        <v>3.1899999999999998E-2</v>
      </c>
      <c r="I145" s="69"/>
      <c r="J145" s="202" t="s">
        <v>60</v>
      </c>
      <c r="K145" s="203">
        <f>0.0022+0.0072</f>
        <v>9.4000000000000004E-3</v>
      </c>
      <c r="L145" s="69"/>
      <c r="AH145" s="175">
        <v>35977</v>
      </c>
    </row>
    <row r="146" spans="1:35" x14ac:dyDescent="0.2">
      <c r="A146" s="316" t="s">
        <v>797</v>
      </c>
      <c r="B146" s="295">
        <f>ROUND(+B4/(1-0.0706)-B4,4)</f>
        <v>0.35930000000000001</v>
      </c>
      <c r="G146" s="258" t="s">
        <v>372</v>
      </c>
      <c r="H146" s="259">
        <f>(H4)/(1-0.0369)-H4</f>
        <v>0.16877219395701371</v>
      </c>
      <c r="J146" s="202" t="s">
        <v>760</v>
      </c>
      <c r="K146" s="204">
        <f>(K6)/(1-0.0399)-K6</f>
        <v>0.18888188730340616</v>
      </c>
      <c r="AH146" s="176" t="s">
        <v>272</v>
      </c>
      <c r="AI146" s="173">
        <v>0</v>
      </c>
    </row>
    <row r="147" spans="1:35" ht="13.5" thickBot="1" x14ac:dyDescent="0.25">
      <c r="A147" s="295"/>
      <c r="B147" s="372">
        <f>SUM(B144:B146)</f>
        <v>0.41370000000000001</v>
      </c>
      <c r="G147" s="260"/>
      <c r="H147" s="205">
        <f>SUM(H144:H146)</f>
        <v>0.56877219395701362</v>
      </c>
      <c r="J147" s="202"/>
      <c r="K147" s="205">
        <f>SUM(K144:K146)</f>
        <v>0.27138188730340618</v>
      </c>
      <c r="AH147" s="34" t="s">
        <v>273</v>
      </c>
      <c r="AI147" s="173">
        <v>0</v>
      </c>
    </row>
    <row r="148" spans="1:35" ht="13.5" thickTop="1" x14ac:dyDescent="0.2">
      <c r="A148" s="295"/>
      <c r="B148" s="295"/>
      <c r="G148" s="258" t="s">
        <v>47</v>
      </c>
      <c r="H148" s="203" t="s">
        <v>47</v>
      </c>
      <c r="J148" s="200" t="s">
        <v>135</v>
      </c>
      <c r="K148" s="205" t="s">
        <v>234</v>
      </c>
      <c r="AH148" s="34" t="s">
        <v>274</v>
      </c>
      <c r="AI148" s="173">
        <v>0</v>
      </c>
    </row>
    <row r="149" spans="1:35" x14ac:dyDescent="0.2">
      <c r="A149" s="295" t="s">
        <v>571</v>
      </c>
      <c r="B149" s="373"/>
      <c r="G149" s="261" t="s">
        <v>36</v>
      </c>
      <c r="H149" s="263" t="s">
        <v>236</v>
      </c>
      <c r="J149" s="202" t="s">
        <v>146</v>
      </c>
      <c r="K149" s="208">
        <v>5.1499999999999997E-2</v>
      </c>
    </row>
    <row r="150" spans="1:35" x14ac:dyDescent="0.2">
      <c r="A150" s="321" t="s">
        <v>572</v>
      </c>
      <c r="B150" s="295"/>
      <c r="G150" s="260" t="s">
        <v>146</v>
      </c>
      <c r="H150" s="439">
        <v>0.1764</v>
      </c>
      <c r="J150" s="202" t="s">
        <v>60</v>
      </c>
      <c r="K150" s="203">
        <f>0.0022+0.0072</f>
        <v>9.4000000000000004E-3</v>
      </c>
    </row>
    <row r="151" spans="1:35" x14ac:dyDescent="0.2">
      <c r="A151" s="321" t="s">
        <v>22</v>
      </c>
      <c r="B151" s="315" t="s">
        <v>222</v>
      </c>
      <c r="G151" s="260" t="s">
        <v>60</v>
      </c>
      <c r="H151" s="203">
        <f>0.0022+0.0072</f>
        <v>9.4000000000000004E-3</v>
      </c>
      <c r="J151" s="202" t="s">
        <v>656</v>
      </c>
      <c r="K151" s="204">
        <f>(K$7)/(1-0.026)-K$7</f>
        <v>0.12746406570841895</v>
      </c>
    </row>
    <row r="152" spans="1:35" x14ac:dyDescent="0.2">
      <c r="A152" s="321" t="s">
        <v>146</v>
      </c>
      <c r="B152" s="371">
        <v>5.4999999999999997E-3</v>
      </c>
      <c r="G152" s="260" t="s">
        <v>377</v>
      </c>
      <c r="H152" s="204">
        <f>(H5)/(1-0.0117)-H5</f>
        <v>5.4930689062025806E-2</v>
      </c>
      <c r="J152" s="202"/>
      <c r="K152" s="205">
        <f>SUM(K149:K151)</f>
        <v>0.18836406570841896</v>
      </c>
    </row>
    <row r="153" spans="1:35" x14ac:dyDescent="0.2">
      <c r="A153" s="313" t="s">
        <v>60</v>
      </c>
      <c r="B153" s="371">
        <v>1.67E-2</v>
      </c>
      <c r="G153" s="260"/>
      <c r="H153" s="205">
        <f>SUM(H150:H152)</f>
        <v>0.2407306890620258</v>
      </c>
      <c r="J153" s="209"/>
      <c r="K153" s="209"/>
    </row>
    <row r="154" spans="1:35" x14ac:dyDescent="0.2">
      <c r="A154" s="316" t="s">
        <v>579</v>
      </c>
      <c r="B154" s="312">
        <f>B7/(1-0.0084)-B7</f>
        <v>4.0365066559096441E-2</v>
      </c>
      <c r="G154" s="189"/>
      <c r="H154" s="189"/>
      <c r="J154" s="233"/>
      <c r="K154" s="237"/>
    </row>
    <row r="155" spans="1:35" x14ac:dyDescent="0.2">
      <c r="A155" s="325" t="s">
        <v>225</v>
      </c>
      <c r="B155" s="315">
        <f>SUM(B152:B154)</f>
        <v>6.2565066559096438E-2</v>
      </c>
      <c r="G155" s="258" t="s">
        <v>47</v>
      </c>
      <c r="H155" s="203" t="s">
        <v>47</v>
      </c>
      <c r="J155" s="233"/>
      <c r="K155" s="233"/>
    </row>
    <row r="156" spans="1:35" x14ac:dyDescent="0.2">
      <c r="A156" s="316"/>
      <c r="B156" s="295"/>
      <c r="G156" s="258" t="s">
        <v>47</v>
      </c>
      <c r="H156" s="203" t="s">
        <v>47</v>
      </c>
      <c r="J156" s="233"/>
      <c r="K156" s="234"/>
    </row>
    <row r="157" spans="1:35" x14ac:dyDescent="0.2">
      <c r="G157" s="189"/>
      <c r="H157" s="189"/>
      <c r="J157" s="233"/>
      <c r="K157" s="235"/>
    </row>
    <row r="158" spans="1:35" x14ac:dyDescent="0.2">
      <c r="G158" s="378"/>
      <c r="H158" s="378"/>
      <c r="J158" s="233"/>
      <c r="K158" s="233"/>
    </row>
    <row r="159" spans="1:35" x14ac:dyDescent="0.2">
      <c r="G159" s="379"/>
      <c r="H159" s="379"/>
      <c r="J159" s="233"/>
      <c r="K159" s="233"/>
    </row>
    <row r="160" spans="1:35" x14ac:dyDescent="0.2">
      <c r="G160" s="380" t="s">
        <v>47</v>
      </c>
      <c r="H160" s="233" t="s">
        <v>47</v>
      </c>
      <c r="J160" s="234"/>
      <c r="K160" s="234"/>
    </row>
    <row r="161" spans="7:11" x14ac:dyDescent="0.2">
      <c r="G161" s="380" t="s">
        <v>47</v>
      </c>
      <c r="H161" s="233" t="s">
        <v>47</v>
      </c>
      <c r="J161" s="235"/>
      <c r="K161" s="235"/>
    </row>
    <row r="162" spans="7:11" x14ac:dyDescent="0.2">
      <c r="G162" s="379"/>
      <c r="H162" s="379"/>
      <c r="J162" s="236"/>
      <c r="K162" s="236"/>
    </row>
    <row r="163" spans="7:11" x14ac:dyDescent="0.2">
      <c r="G163" s="379"/>
      <c r="H163" s="379"/>
      <c r="J163" s="233"/>
      <c r="K163" s="233"/>
    </row>
    <row r="164" spans="7:11" x14ac:dyDescent="0.2">
      <c r="G164" s="379"/>
      <c r="H164" s="379"/>
      <c r="J164" s="233"/>
      <c r="K164" s="233"/>
    </row>
    <row r="165" spans="7:11" x14ac:dyDescent="0.2">
      <c r="G165" s="379"/>
      <c r="H165" s="379"/>
      <c r="J165" s="234"/>
      <c r="K165" s="234"/>
    </row>
    <row r="166" spans="7:11" x14ac:dyDescent="0.2">
      <c r="J166" s="235"/>
      <c r="K166" s="235"/>
    </row>
    <row r="167" spans="7:11" x14ac:dyDescent="0.2">
      <c r="J167" s="235"/>
      <c r="K167" s="235"/>
    </row>
    <row r="168" spans="7:11" x14ac:dyDescent="0.2">
      <c r="J168" s="237"/>
      <c r="K168" s="237"/>
    </row>
    <row r="169" spans="7:11" x14ac:dyDescent="0.2">
      <c r="J169" s="237"/>
      <c r="K169" s="237"/>
    </row>
    <row r="170" spans="7:11" x14ac:dyDescent="0.2">
      <c r="J170" s="237"/>
      <c r="K170" s="237"/>
    </row>
    <row r="171" spans="7:11" x14ac:dyDescent="0.2">
      <c r="J171" s="234"/>
      <c r="K171" s="234"/>
    </row>
    <row r="172" spans="7:11" x14ac:dyDescent="0.2">
      <c r="J172" s="235"/>
      <c r="K172" s="235"/>
    </row>
    <row r="173" spans="7:11" x14ac:dyDescent="0.2">
      <c r="J173" s="236"/>
      <c r="K173" s="236"/>
    </row>
    <row r="174" spans="7:11" x14ac:dyDescent="0.2">
      <c r="J174" s="233"/>
      <c r="K174" s="233"/>
    </row>
    <row r="175" spans="7:11" x14ac:dyDescent="0.2">
      <c r="J175" s="233"/>
      <c r="K175" s="233"/>
    </row>
    <row r="176" spans="7:11" x14ac:dyDescent="0.2">
      <c r="J176" s="234"/>
      <c r="K176" s="234"/>
    </row>
    <row r="177" spans="10:11" x14ac:dyDescent="0.2">
      <c r="J177" s="235"/>
      <c r="K177" s="235"/>
    </row>
    <row r="179" spans="10:11" x14ac:dyDescent="0.2">
      <c r="J179" s="236"/>
      <c r="K179" s="236"/>
    </row>
    <row r="180" spans="10:11" x14ac:dyDescent="0.2">
      <c r="J180" s="233"/>
      <c r="K180" s="233"/>
    </row>
    <row r="181" spans="10:11" x14ac:dyDescent="0.2">
      <c r="J181" s="233"/>
      <c r="K181" s="233"/>
    </row>
    <row r="182" spans="10:11" x14ac:dyDescent="0.2">
      <c r="J182" s="234"/>
      <c r="K182" s="234"/>
    </row>
    <row r="183" spans="10:11" x14ac:dyDescent="0.2">
      <c r="J183" s="235"/>
      <c r="K183" s="235"/>
    </row>
    <row r="184" spans="10:11" x14ac:dyDescent="0.2">
      <c r="J184" s="236"/>
      <c r="K184" s="236"/>
    </row>
    <row r="185" spans="10:11" x14ac:dyDescent="0.2">
      <c r="J185" s="233"/>
      <c r="K185" s="233"/>
    </row>
    <row r="186" spans="10:11" x14ac:dyDescent="0.2">
      <c r="J186" s="233"/>
      <c r="K186" s="233"/>
    </row>
    <row r="187" spans="10:11" x14ac:dyDescent="0.2">
      <c r="J187" s="234"/>
      <c r="K187" s="234"/>
    </row>
    <row r="188" spans="10:11" x14ac:dyDescent="0.2">
      <c r="J188" s="235"/>
      <c r="K188" s="235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2.75" x14ac:dyDescent="0.2"/>
  <cols>
    <col min="1" max="2" width="10.85546875" style="189" customWidth="1"/>
    <col min="3" max="3" width="2.85546875" style="34" customWidth="1"/>
    <col min="4" max="5" width="10.85546875" style="189" customWidth="1"/>
    <col min="6" max="6" width="2.85546875" style="34" customWidth="1"/>
    <col min="7" max="8" width="10.85546875" style="181" customWidth="1"/>
    <col min="9" max="9" width="2.85546875" style="34" customWidth="1"/>
    <col min="10" max="11" width="9.140625" style="189"/>
    <col min="12" max="12" width="3.42578125" style="34" customWidth="1"/>
    <col min="13" max="14" width="9.140625" style="189"/>
    <col min="15" max="15" width="3.42578125" style="34" customWidth="1"/>
  </cols>
  <sheetData>
    <row r="1" spans="1:15" ht="13.5" thickBot="1" x14ac:dyDescent="0.25"/>
    <row r="2" spans="1:15" ht="13.5" thickTop="1" x14ac:dyDescent="0.2">
      <c r="A2" s="190" t="s">
        <v>47</v>
      </c>
      <c r="B2" s="275"/>
      <c r="C2" s="106"/>
      <c r="D2" s="190" t="s">
        <v>47</v>
      </c>
      <c r="E2" s="191"/>
      <c r="F2" s="106"/>
      <c r="G2" s="214"/>
      <c r="H2" s="273" t="s">
        <v>114</v>
      </c>
      <c r="I2" s="106"/>
      <c r="K2" s="271" t="s">
        <v>596</v>
      </c>
    </row>
    <row r="3" spans="1:15" x14ac:dyDescent="0.2">
      <c r="A3" s="194" t="s">
        <v>116</v>
      </c>
      <c r="B3" s="276">
        <f>+Rates!H3</f>
        <v>4.38</v>
      </c>
      <c r="C3" s="106"/>
      <c r="D3" s="192" t="s">
        <v>77</v>
      </c>
      <c r="E3" s="193">
        <v>2.5</v>
      </c>
      <c r="F3" s="106"/>
      <c r="G3" s="215" t="s">
        <v>77</v>
      </c>
      <c r="H3" s="274">
        <f>+E3</f>
        <v>2.5</v>
      </c>
      <c r="I3" s="106"/>
      <c r="J3" s="267" t="s">
        <v>357</v>
      </c>
      <c r="K3" s="272">
        <f>+Rates!AF3</f>
        <v>4.4800000000000004</v>
      </c>
      <c r="M3" s="192" t="s">
        <v>119</v>
      </c>
      <c r="N3" s="193">
        <v>2.97</v>
      </c>
    </row>
    <row r="4" spans="1:15" x14ac:dyDescent="0.2">
      <c r="A4" s="194" t="s">
        <v>121</v>
      </c>
      <c r="B4" s="277">
        <f>+Rates!H4</f>
        <v>4.4050000000000002</v>
      </c>
      <c r="C4" s="106"/>
      <c r="D4" s="192" t="s">
        <v>78</v>
      </c>
      <c r="E4" s="193">
        <v>2.165</v>
      </c>
      <c r="F4" s="106"/>
      <c r="G4" s="215" t="s">
        <v>78</v>
      </c>
      <c r="H4" s="274">
        <f>+E4</f>
        <v>2.165</v>
      </c>
      <c r="I4" s="106"/>
      <c r="J4" s="267" t="s">
        <v>358</v>
      </c>
      <c r="M4" s="267" t="s">
        <v>358</v>
      </c>
    </row>
    <row r="5" spans="1:15" x14ac:dyDescent="0.2">
      <c r="A5" s="194" t="s">
        <v>76</v>
      </c>
      <c r="B5" s="278">
        <f>+Rates!H5</f>
        <v>4.6399999999999997</v>
      </c>
      <c r="C5" s="106"/>
      <c r="D5" s="192" t="s">
        <v>124</v>
      </c>
      <c r="E5" s="193">
        <f>2.815-0.0635</f>
        <v>2.7515000000000001</v>
      </c>
      <c r="F5" s="106"/>
      <c r="G5" s="215" t="s">
        <v>124</v>
      </c>
      <c r="H5" s="274">
        <f>+E5</f>
        <v>2.7515000000000001</v>
      </c>
      <c r="I5" s="106"/>
    </row>
    <row r="6" spans="1:15" x14ac:dyDescent="0.2">
      <c r="A6" s="253"/>
      <c r="B6" s="253"/>
      <c r="C6" s="141"/>
      <c r="D6" s="194" t="s">
        <v>126</v>
      </c>
      <c r="E6" s="195">
        <v>2.6</v>
      </c>
      <c r="F6" s="141"/>
      <c r="G6" s="217" t="s">
        <v>126</v>
      </c>
      <c r="H6" s="274">
        <f>+E6</f>
        <v>2.6</v>
      </c>
      <c r="I6" s="141"/>
      <c r="J6" s="253"/>
      <c r="K6" s="253"/>
      <c r="L6" s="99"/>
      <c r="M6" s="253"/>
      <c r="N6" s="253"/>
      <c r="O6" s="99"/>
    </row>
    <row r="7" spans="1:15" x14ac:dyDescent="0.2">
      <c r="A7" s="254"/>
      <c r="B7" s="254"/>
      <c r="C7" s="143"/>
      <c r="D7" s="196" t="s">
        <v>119</v>
      </c>
      <c r="E7" s="197">
        <v>3.0649999999999999</v>
      </c>
      <c r="F7" s="143"/>
      <c r="G7" s="219" t="s">
        <v>119</v>
      </c>
      <c r="H7" s="274">
        <f>+E7</f>
        <v>3.0649999999999999</v>
      </c>
      <c r="I7" s="143"/>
      <c r="J7" s="268"/>
      <c r="K7" s="268"/>
      <c r="L7" s="161"/>
      <c r="M7" s="268"/>
      <c r="N7" s="268"/>
      <c r="O7" s="161"/>
    </row>
    <row r="8" spans="1:15" x14ac:dyDescent="0.2">
      <c r="A8" s="266" t="s">
        <v>586</v>
      </c>
      <c r="B8" s="242"/>
      <c r="C8" s="162"/>
      <c r="D8" s="217" t="s">
        <v>584</v>
      </c>
      <c r="E8" s="218"/>
      <c r="F8" s="106"/>
      <c r="G8" s="217" t="s">
        <v>584</v>
      </c>
      <c r="H8" s="218"/>
      <c r="I8" s="106"/>
      <c r="J8" s="189" t="s">
        <v>356</v>
      </c>
      <c r="M8" s="189" t="s">
        <v>762</v>
      </c>
    </row>
    <row r="9" spans="1:15" x14ac:dyDescent="0.2">
      <c r="A9" s="242" t="s">
        <v>128</v>
      </c>
      <c r="B9" s="242"/>
      <c r="C9" s="163"/>
      <c r="D9" s="220" t="s">
        <v>332</v>
      </c>
      <c r="E9" s="218"/>
      <c r="F9" s="106"/>
      <c r="G9" s="220" t="s">
        <v>631</v>
      </c>
      <c r="H9" s="218"/>
      <c r="I9" s="106"/>
      <c r="J9" s="189" t="s">
        <v>360</v>
      </c>
      <c r="M9" s="189" t="s">
        <v>595</v>
      </c>
    </row>
    <row r="10" spans="1:15" x14ac:dyDescent="0.2">
      <c r="A10" s="242" t="s">
        <v>362</v>
      </c>
      <c r="B10" s="242"/>
      <c r="C10" s="163"/>
      <c r="D10" s="221" t="s">
        <v>361</v>
      </c>
      <c r="E10" s="218"/>
      <c r="F10" s="106"/>
      <c r="G10" s="221" t="s">
        <v>361</v>
      </c>
      <c r="H10" s="218"/>
      <c r="I10" s="106"/>
      <c r="J10" s="189" t="s">
        <v>353</v>
      </c>
      <c r="M10" s="189" t="s">
        <v>594</v>
      </c>
    </row>
    <row r="11" spans="1:15" x14ac:dyDescent="0.2">
      <c r="A11" s="220" t="s">
        <v>587</v>
      </c>
      <c r="B11" s="242"/>
      <c r="C11" s="163"/>
      <c r="D11" s="221" t="s">
        <v>633</v>
      </c>
      <c r="E11" s="218"/>
      <c r="F11" s="106"/>
      <c r="G11" s="221" t="s">
        <v>739</v>
      </c>
      <c r="H11" s="218"/>
      <c r="I11" s="106"/>
      <c r="J11" s="189" t="s">
        <v>354</v>
      </c>
    </row>
    <row r="12" spans="1:15" x14ac:dyDescent="0.2">
      <c r="A12" s="215"/>
      <c r="B12" s="243"/>
      <c r="C12" s="106"/>
      <c r="D12" s="215" t="s">
        <v>632</v>
      </c>
      <c r="E12" s="216"/>
      <c r="F12" s="106"/>
      <c r="G12" s="215" t="s">
        <v>408</v>
      </c>
      <c r="H12" s="216"/>
      <c r="I12" s="106"/>
      <c r="J12" s="181" t="s">
        <v>773</v>
      </c>
      <c r="M12" s="189" t="s">
        <v>763</v>
      </c>
    </row>
    <row r="13" spans="1:15" x14ac:dyDescent="0.2">
      <c r="A13" s="244" t="s">
        <v>36</v>
      </c>
      <c r="B13" s="245" t="s">
        <v>134</v>
      </c>
      <c r="C13" s="123"/>
      <c r="D13" s="222" t="s">
        <v>135</v>
      </c>
      <c r="E13" s="223" t="s">
        <v>136</v>
      </c>
      <c r="F13" s="123"/>
      <c r="G13" s="222" t="s">
        <v>135</v>
      </c>
      <c r="H13" s="223" t="s">
        <v>175</v>
      </c>
      <c r="I13" s="123"/>
      <c r="J13" s="189" t="s">
        <v>141</v>
      </c>
      <c r="M13" s="256" t="s">
        <v>144</v>
      </c>
      <c r="N13" s="257" t="s">
        <v>145</v>
      </c>
    </row>
    <row r="14" spans="1:15" x14ac:dyDescent="0.2">
      <c r="A14" s="246" t="s">
        <v>146</v>
      </c>
      <c r="B14" s="225">
        <v>4.3900000000000002E-2</v>
      </c>
      <c r="C14" s="113"/>
      <c r="D14" s="224" t="s">
        <v>146</v>
      </c>
      <c r="E14" s="225">
        <v>1.78E-2</v>
      </c>
      <c r="F14" s="113"/>
      <c r="G14" s="224" t="s">
        <v>146</v>
      </c>
      <c r="H14" s="225">
        <v>0.56030000000000002</v>
      </c>
      <c r="I14" s="113"/>
      <c r="J14" s="258" t="s">
        <v>146</v>
      </c>
      <c r="K14" s="203">
        <f>0.005+0.002</f>
        <v>7.0000000000000001E-3</v>
      </c>
      <c r="M14" s="258" t="s">
        <v>146</v>
      </c>
      <c r="N14" s="203">
        <v>1.12E-2</v>
      </c>
    </row>
    <row r="15" spans="1:15" x14ac:dyDescent="0.2">
      <c r="A15" s="246" t="s">
        <v>60</v>
      </c>
      <c r="B15" s="225">
        <f>0.0022+0.0072+0.0225</f>
        <v>3.1899999999999998E-2</v>
      </c>
      <c r="C15" s="113"/>
      <c r="D15" s="224" t="s">
        <v>60</v>
      </c>
      <c r="E15" s="225">
        <f>0.0022+0.0072</f>
        <v>9.4000000000000004E-3</v>
      </c>
      <c r="F15" s="113"/>
      <c r="G15" s="224" t="s">
        <v>60</v>
      </c>
      <c r="H15" s="225">
        <f>0.0022+0.0072</f>
        <v>9.4000000000000004E-3</v>
      </c>
      <c r="I15" s="113"/>
      <c r="J15" s="258" t="s">
        <v>60</v>
      </c>
      <c r="K15" s="203">
        <f>0.0022+0.0072</f>
        <v>9.4000000000000004E-3</v>
      </c>
      <c r="M15" s="258" t="s">
        <v>60</v>
      </c>
      <c r="N15" s="203">
        <f>0.0022+0.0072</f>
        <v>9.4000000000000004E-3</v>
      </c>
    </row>
    <row r="16" spans="1:15" x14ac:dyDescent="0.2">
      <c r="A16" s="246" t="s">
        <v>256</v>
      </c>
      <c r="B16" s="247">
        <f>(B3)/(1-0.0089)-B3</f>
        <v>3.933205529209971E-2</v>
      </c>
      <c r="C16" s="115"/>
      <c r="D16" s="224" t="s">
        <v>592</v>
      </c>
      <c r="E16" s="226">
        <f>(E5)/(1-0.0268)-E5</f>
        <v>7.5770859021783821E-2</v>
      </c>
      <c r="F16" s="115"/>
      <c r="G16" s="224" t="s">
        <v>612</v>
      </c>
      <c r="H16" s="226">
        <f>(H5)/(1-0.0926)-H5</f>
        <v>0.2807900595106898</v>
      </c>
      <c r="I16" s="115"/>
      <c r="J16" s="258" t="s">
        <v>591</v>
      </c>
      <c r="K16" s="204">
        <f>+K3/(1-0.0022)-K3</f>
        <v>9.8777310082178715E-3</v>
      </c>
      <c r="M16" s="258" t="s">
        <v>764</v>
      </c>
      <c r="N16" s="204">
        <f>+N3/(1-0.0058)-N3</f>
        <v>1.73264936632469E-2</v>
      </c>
    </row>
    <row r="17" spans="1:14" x14ac:dyDescent="0.2">
      <c r="A17" s="248"/>
      <c r="B17" s="227">
        <f>SUM(B14:B16)</f>
        <v>0.11513205529209972</v>
      </c>
      <c r="C17" s="118"/>
      <c r="D17" s="224"/>
      <c r="E17" s="227">
        <f>SUM(E14:E16)</f>
        <v>0.10297085902178382</v>
      </c>
      <c r="F17" s="118"/>
      <c r="G17" s="224"/>
      <c r="H17" s="227">
        <f>SUM(H14:H16)</f>
        <v>0.85049005951068979</v>
      </c>
      <c r="I17" s="118"/>
      <c r="J17" s="260"/>
      <c r="K17" s="205">
        <f>SUM(K14:K16)</f>
        <v>2.6277731008217873E-2</v>
      </c>
      <c r="M17" s="260"/>
      <c r="N17" s="205">
        <f>SUM(N14:N16)</f>
        <v>3.79264936632469E-2</v>
      </c>
    </row>
    <row r="18" spans="1:14" x14ac:dyDescent="0.2">
      <c r="A18" s="249" t="s">
        <v>36</v>
      </c>
      <c r="B18" s="250" t="s">
        <v>150</v>
      </c>
      <c r="C18" s="123"/>
      <c r="D18" s="222" t="s">
        <v>135</v>
      </c>
      <c r="E18" s="223" t="s">
        <v>151</v>
      </c>
      <c r="F18" s="123"/>
      <c r="G18" s="222" t="s">
        <v>135</v>
      </c>
      <c r="H18" s="223" t="s">
        <v>181</v>
      </c>
      <c r="I18" s="123"/>
    </row>
    <row r="19" spans="1:14" x14ac:dyDescent="0.2">
      <c r="A19" s="246" t="s">
        <v>146</v>
      </c>
      <c r="B19" s="225">
        <v>6.6900000000000001E-2</v>
      </c>
      <c r="C19" s="113"/>
      <c r="D19" s="224" t="s">
        <v>146</v>
      </c>
      <c r="E19" s="225">
        <v>1.8700000000000001E-2</v>
      </c>
      <c r="F19" s="113"/>
      <c r="G19" s="224" t="s">
        <v>146</v>
      </c>
      <c r="H19" s="225">
        <v>0.66490000000000005</v>
      </c>
      <c r="I19" s="113"/>
      <c r="J19" s="189" t="s">
        <v>156</v>
      </c>
      <c r="M19" s="256" t="s">
        <v>144</v>
      </c>
      <c r="N19" s="257" t="s">
        <v>155</v>
      </c>
    </row>
    <row r="20" spans="1:14" x14ac:dyDescent="0.2">
      <c r="A20" s="246" t="s">
        <v>60</v>
      </c>
      <c r="B20" s="225">
        <f>0.0022+0.0072+0.0225</f>
        <v>3.1899999999999998E-2</v>
      </c>
      <c r="C20" s="113"/>
      <c r="D20" s="224" t="s">
        <v>60</v>
      </c>
      <c r="E20" s="225">
        <f>0.0022</f>
        <v>2.2000000000000001E-3</v>
      </c>
      <c r="F20" s="113"/>
      <c r="G20" s="224" t="s">
        <v>60</v>
      </c>
      <c r="H20" s="225">
        <f>0.0022+0.0072</f>
        <v>9.4000000000000004E-3</v>
      </c>
      <c r="I20" s="113"/>
      <c r="J20" s="258" t="s">
        <v>146</v>
      </c>
      <c r="K20" s="203">
        <f>0.0303+0.002</f>
        <v>3.2300000000000002E-2</v>
      </c>
      <c r="M20" s="258" t="s">
        <v>146</v>
      </c>
      <c r="N20" s="203">
        <v>0</v>
      </c>
    </row>
    <row r="21" spans="1:14" x14ac:dyDescent="0.2">
      <c r="A21" s="246" t="s">
        <v>162</v>
      </c>
      <c r="B21" s="247">
        <f>(B3)/(1-0.0279)-B3</f>
        <v>0.1257092891677809</v>
      </c>
      <c r="C21" s="115"/>
      <c r="D21" s="224" t="s">
        <v>610</v>
      </c>
      <c r="E21" s="226">
        <f>(E5)/(1-0.0293)-E5</f>
        <v>8.3052384876892926E-2</v>
      </c>
      <c r="F21" s="115"/>
      <c r="G21" s="224" t="s">
        <v>613</v>
      </c>
      <c r="H21" s="226">
        <f>(H5)/(1-0.1089)-H5</f>
        <v>0.3362567051958254</v>
      </c>
      <c r="I21" s="115"/>
      <c r="J21" s="258" t="s">
        <v>60</v>
      </c>
      <c r="K21" s="203">
        <f>0.0072+0.0022</f>
        <v>9.4000000000000004E-3</v>
      </c>
      <c r="M21" s="258" t="s">
        <v>60</v>
      </c>
      <c r="N21" s="203">
        <f>0.0022+0.0072</f>
        <v>9.4000000000000004E-3</v>
      </c>
    </row>
    <row r="22" spans="1:14" x14ac:dyDescent="0.2">
      <c r="A22" s="248"/>
      <c r="B22" s="227">
        <f>SUM(B19:B21)</f>
        <v>0.2245092891677809</v>
      </c>
      <c r="C22" s="118"/>
      <c r="D22" s="224"/>
      <c r="E22" s="227">
        <f>SUM(E19:E21)</f>
        <v>0.10395238487689293</v>
      </c>
      <c r="F22" s="118"/>
      <c r="G22" s="224"/>
      <c r="H22" s="227">
        <f>SUM(H19:H21)</f>
        <v>1.0105567051958255</v>
      </c>
      <c r="I22" s="118"/>
      <c r="J22" s="258" t="s">
        <v>592</v>
      </c>
      <c r="K22" s="204">
        <f>+K3/(1-0.0268)-K3</f>
        <v>0.12337032470201414</v>
      </c>
      <c r="M22" s="258" t="s">
        <v>764</v>
      </c>
      <c r="N22" s="204">
        <f>+N3/(1-0.0058)-N3</f>
        <v>1.73264936632469E-2</v>
      </c>
    </row>
    <row r="23" spans="1:14" x14ac:dyDescent="0.2">
      <c r="A23" s="249" t="s">
        <v>36</v>
      </c>
      <c r="B23" s="250" t="s">
        <v>159</v>
      </c>
      <c r="C23" s="118"/>
      <c r="D23" s="228" t="s">
        <v>135</v>
      </c>
      <c r="E23" s="229" t="s">
        <v>160</v>
      </c>
      <c r="F23" s="118"/>
      <c r="G23" s="222" t="s">
        <v>135</v>
      </c>
      <c r="H23" s="223" t="s">
        <v>196</v>
      </c>
      <c r="I23" s="118"/>
      <c r="J23" s="260"/>
      <c r="K23" s="205">
        <f>SUM(K20:K22)</f>
        <v>0.16507032470201416</v>
      </c>
      <c r="M23" s="260"/>
      <c r="N23" s="205">
        <f>SUM(N20:N22)</f>
        <v>2.6726493663246899E-2</v>
      </c>
    </row>
    <row r="24" spans="1:14" x14ac:dyDescent="0.2">
      <c r="A24" s="246" t="s">
        <v>146</v>
      </c>
      <c r="B24" s="225">
        <v>8.7999999999999995E-2</v>
      </c>
      <c r="C24" s="120"/>
      <c r="D24" s="224" t="s">
        <v>146</v>
      </c>
      <c r="E24" s="225">
        <v>2.3599999999999999E-2</v>
      </c>
      <c r="F24" s="120"/>
      <c r="G24" s="224" t="s">
        <v>146</v>
      </c>
      <c r="H24" s="225">
        <v>0.41639999999999999</v>
      </c>
      <c r="I24" s="120"/>
    </row>
    <row r="25" spans="1:14" x14ac:dyDescent="0.2">
      <c r="A25" s="246" t="s">
        <v>60</v>
      </c>
      <c r="B25" s="225">
        <f>0.0022+0.0072</f>
        <v>9.4000000000000004E-3</v>
      </c>
      <c r="C25" s="120"/>
      <c r="D25" s="224" t="s">
        <v>60</v>
      </c>
      <c r="E25" s="225">
        <f>0.0022+0.0072</f>
        <v>9.4000000000000004E-3</v>
      </c>
      <c r="F25" s="120"/>
      <c r="G25" s="224" t="s">
        <v>60</v>
      </c>
      <c r="H25" s="225">
        <f>0.0022+0.0072</f>
        <v>9.4000000000000004E-3</v>
      </c>
      <c r="I25" s="120"/>
      <c r="J25" s="189" t="s">
        <v>169</v>
      </c>
    </row>
    <row r="26" spans="1:14" x14ac:dyDescent="0.2">
      <c r="A26" s="246" t="s">
        <v>257</v>
      </c>
      <c r="B26" s="247">
        <f>(B3)/(1-0.0516)-B3</f>
        <v>0.23830451286377041</v>
      </c>
      <c r="C26" s="115"/>
      <c r="D26" s="224" t="s">
        <v>262</v>
      </c>
      <c r="E26" s="226">
        <f>(E5)/(1-0.0428)-E5</f>
        <v>0.12302987881320515</v>
      </c>
      <c r="F26" s="115"/>
      <c r="G26" s="224" t="s">
        <v>617</v>
      </c>
      <c r="H26" s="226">
        <f>(H4)/(1-0.0812)-H4</f>
        <v>0.19133434915106662</v>
      </c>
      <c r="I26" s="115"/>
      <c r="J26" s="258" t="s">
        <v>146</v>
      </c>
      <c r="K26" s="203">
        <f>0.0275+0.002</f>
        <v>2.9499999999999998E-2</v>
      </c>
    </row>
    <row r="27" spans="1:14" x14ac:dyDescent="0.2">
      <c r="A27" s="248"/>
      <c r="B27" s="227">
        <f>SUM(B24:B26)</f>
        <v>0.3357045128637704</v>
      </c>
      <c r="C27" s="118"/>
      <c r="D27" s="224"/>
      <c r="E27" s="227">
        <f>SUM(E24:E26)</f>
        <v>0.15602987881320515</v>
      </c>
      <c r="F27" s="118"/>
      <c r="G27" s="224"/>
      <c r="H27" s="227">
        <f>SUM(H24:H26)</f>
        <v>0.61713434915106657</v>
      </c>
      <c r="I27" s="118"/>
      <c r="J27" s="258" t="s">
        <v>60</v>
      </c>
      <c r="K27" s="203">
        <f>0.0072+0.0022</f>
        <v>9.4000000000000004E-3</v>
      </c>
    </row>
    <row r="28" spans="1:14" x14ac:dyDescent="0.2">
      <c r="A28" s="249" t="s">
        <v>36</v>
      </c>
      <c r="B28" s="251" t="s">
        <v>165</v>
      </c>
      <c r="C28" s="110"/>
      <c r="D28" s="222" t="s">
        <v>135</v>
      </c>
      <c r="E28" s="223" t="s">
        <v>166</v>
      </c>
      <c r="F28" s="110"/>
      <c r="G28" s="222" t="s">
        <v>135</v>
      </c>
      <c r="H28" s="223" t="s">
        <v>200</v>
      </c>
      <c r="I28" s="110"/>
      <c r="J28" s="258" t="s">
        <v>592</v>
      </c>
      <c r="K28" s="204">
        <f>+K3/(1-0.0268)-K3</f>
        <v>0.12337032470201414</v>
      </c>
    </row>
    <row r="29" spans="1:14" x14ac:dyDescent="0.2">
      <c r="A29" s="248" t="s">
        <v>146</v>
      </c>
      <c r="B29" s="225">
        <v>9.7799999999999998E-2</v>
      </c>
      <c r="C29" s="113"/>
      <c r="D29" s="224" t="s">
        <v>146</v>
      </c>
      <c r="E29" s="225">
        <v>7.0800000000000002E-2</v>
      </c>
      <c r="F29" s="113"/>
      <c r="G29" s="224" t="s">
        <v>146</v>
      </c>
      <c r="H29" s="225">
        <v>0.52100000000000002</v>
      </c>
      <c r="I29" s="113"/>
      <c r="J29" s="260"/>
      <c r="K29" s="205">
        <f>SUM(K26:K28)</f>
        <v>0.16227032470201413</v>
      </c>
    </row>
    <row r="30" spans="1:14" x14ac:dyDescent="0.2">
      <c r="A30" s="248" t="s">
        <v>60</v>
      </c>
      <c r="B30" s="225">
        <f>0.0022</f>
        <v>2.2000000000000001E-3</v>
      </c>
      <c r="C30" s="113"/>
      <c r="D30" s="224" t="s">
        <v>60</v>
      </c>
      <c r="E30" s="225">
        <f>0.0022+0.0072</f>
        <v>9.4000000000000004E-3</v>
      </c>
      <c r="F30" s="113"/>
      <c r="G30" s="224" t="s">
        <v>60</v>
      </c>
      <c r="H30" s="225">
        <f>0.0022+0.0072</f>
        <v>9.4000000000000004E-3</v>
      </c>
      <c r="I30" s="113"/>
    </row>
    <row r="31" spans="1:14" x14ac:dyDescent="0.2">
      <c r="A31" s="248" t="s">
        <v>258</v>
      </c>
      <c r="B31" s="247">
        <f>(B3)/(1-0.0588)-B3</f>
        <v>0.27363365915852089</v>
      </c>
      <c r="C31" s="115"/>
      <c r="D31" s="224" t="s">
        <v>611</v>
      </c>
      <c r="E31" s="226">
        <f>(E5)/(1-0.0677)-E5</f>
        <v>0.19980322857449329</v>
      </c>
      <c r="F31" s="115"/>
      <c r="G31" s="224" t="s">
        <v>618</v>
      </c>
      <c r="H31" s="226">
        <f>(H4)/(1-0.0975)-H4</f>
        <v>0.23389196675900292</v>
      </c>
      <c r="I31" s="115"/>
      <c r="J31" s="189" t="s">
        <v>177</v>
      </c>
    </row>
    <row r="32" spans="1:14" x14ac:dyDescent="0.2">
      <c r="A32" s="248"/>
      <c r="B32" s="227">
        <f>SUM(B29:B31)</f>
        <v>0.37363365915852087</v>
      </c>
      <c r="C32" s="118"/>
      <c r="D32" s="224"/>
      <c r="E32" s="227">
        <f>SUM(E29:E31)</f>
        <v>0.28000322857449328</v>
      </c>
      <c r="F32" s="118"/>
      <c r="G32" s="224"/>
      <c r="H32" s="227">
        <f>SUM(H29:H31)</f>
        <v>0.76429196675900291</v>
      </c>
      <c r="I32" s="118"/>
      <c r="J32" s="258" t="s">
        <v>146</v>
      </c>
      <c r="K32" s="203">
        <f>0.0152+0.002</f>
        <v>1.72E-2</v>
      </c>
    </row>
    <row r="33" spans="1:11" x14ac:dyDescent="0.2">
      <c r="A33" s="249" t="s">
        <v>36</v>
      </c>
      <c r="B33" s="251" t="s">
        <v>174</v>
      </c>
      <c r="C33" s="110"/>
      <c r="D33" s="222" t="s">
        <v>135</v>
      </c>
      <c r="E33" s="223" t="s">
        <v>175</v>
      </c>
      <c r="F33" s="110"/>
      <c r="G33" s="222" t="s">
        <v>135</v>
      </c>
      <c r="H33" s="223" t="s">
        <v>218</v>
      </c>
      <c r="I33" s="110"/>
      <c r="J33" s="258" t="s">
        <v>60</v>
      </c>
      <c r="K33" s="203">
        <f>0.002+0.0072+0.0022</f>
        <v>1.14E-2</v>
      </c>
    </row>
    <row r="34" spans="1:11" x14ac:dyDescent="0.2">
      <c r="A34" s="248" t="s">
        <v>146</v>
      </c>
      <c r="B34" s="225">
        <v>0.1118</v>
      </c>
      <c r="C34" s="113"/>
      <c r="D34" s="224" t="s">
        <v>146</v>
      </c>
      <c r="E34" s="225">
        <v>9.2200000000000004E-2</v>
      </c>
      <c r="F34" s="113"/>
      <c r="G34" s="224" t="s">
        <v>146</v>
      </c>
      <c r="H34" s="225">
        <v>0.39829999999999999</v>
      </c>
      <c r="I34" s="113"/>
      <c r="J34" s="258" t="s">
        <v>593</v>
      </c>
      <c r="K34" s="204">
        <f>+K3/(1-0.0169)-K3</f>
        <v>7.7013528633913531E-2</v>
      </c>
    </row>
    <row r="35" spans="1:11" x14ac:dyDescent="0.2">
      <c r="A35" s="248" t="s">
        <v>60</v>
      </c>
      <c r="B35" s="225">
        <f>0.0022+0.0072</f>
        <v>9.4000000000000004E-3</v>
      </c>
      <c r="C35" s="113"/>
      <c r="D35" s="224" t="s">
        <v>60</v>
      </c>
      <c r="E35" s="225">
        <f>0.0022+0.0072</f>
        <v>9.4000000000000004E-3</v>
      </c>
      <c r="F35" s="113"/>
      <c r="G35" s="224" t="s">
        <v>60</v>
      </c>
      <c r="H35" s="225">
        <f>0.0022+0.0072</f>
        <v>9.4000000000000004E-3</v>
      </c>
      <c r="I35" s="113"/>
      <c r="J35" s="260"/>
      <c r="K35" s="205">
        <f>SUM(K32:K34)</f>
        <v>0.10561352863391353</v>
      </c>
    </row>
    <row r="36" spans="1:11" x14ac:dyDescent="0.2">
      <c r="A36" s="248" t="s">
        <v>259</v>
      </c>
      <c r="B36" s="247">
        <f>(B3)/(1-0.0679)-B3</f>
        <v>0.31906662375281591</v>
      </c>
      <c r="C36" s="115"/>
      <c r="D36" s="224" t="s">
        <v>612</v>
      </c>
      <c r="E36" s="226">
        <f>(E5)/(1-0.0926)-E5</f>
        <v>0.2807900595106898</v>
      </c>
      <c r="F36" s="115"/>
      <c r="G36" s="224" t="s">
        <v>621</v>
      </c>
      <c r="H36" s="226">
        <f>(H3)/(1-0.0761)-H3</f>
        <v>0.20592055417252952</v>
      </c>
      <c r="I36" s="115"/>
    </row>
    <row r="37" spans="1:11" x14ac:dyDescent="0.2">
      <c r="A37" s="248"/>
      <c r="B37" s="227">
        <f>SUM(B34:B36)</f>
        <v>0.44026662375281589</v>
      </c>
      <c r="C37" s="118"/>
      <c r="D37" s="224"/>
      <c r="E37" s="227">
        <f>SUM(E34:E36)</f>
        <v>0.38239005951068983</v>
      </c>
      <c r="F37" s="118"/>
      <c r="G37" s="224"/>
      <c r="H37" s="227">
        <f>SUM(H34:H36)</f>
        <v>0.61362055417252948</v>
      </c>
      <c r="I37" s="118"/>
      <c r="J37" s="189" t="s">
        <v>447</v>
      </c>
    </row>
    <row r="38" spans="1:11" x14ac:dyDescent="0.2">
      <c r="A38" s="249" t="s">
        <v>36</v>
      </c>
      <c r="B38" s="251" t="s">
        <v>180</v>
      </c>
      <c r="C38" s="110"/>
      <c r="D38" s="222" t="s">
        <v>135</v>
      </c>
      <c r="E38" s="223" t="s">
        <v>181</v>
      </c>
      <c r="F38" s="110"/>
      <c r="G38" s="222" t="s">
        <v>135</v>
      </c>
      <c r="H38" s="223" t="s">
        <v>221</v>
      </c>
      <c r="I38" s="110"/>
      <c r="J38" s="258" t="s">
        <v>146</v>
      </c>
      <c r="K38" s="203">
        <f>0.0152+0.002</f>
        <v>1.72E-2</v>
      </c>
    </row>
    <row r="39" spans="1:11" x14ac:dyDescent="0.2">
      <c r="A39" s="248" t="s">
        <v>146</v>
      </c>
      <c r="B39" s="225">
        <v>0.1231</v>
      </c>
      <c r="C39" s="113"/>
      <c r="D39" s="224" t="s">
        <v>146</v>
      </c>
      <c r="E39" s="225">
        <v>0.1071</v>
      </c>
      <c r="F39" s="113"/>
      <c r="G39" s="224" t="s">
        <v>146</v>
      </c>
      <c r="H39" s="225">
        <v>0.50290000000000001</v>
      </c>
      <c r="I39" s="113"/>
      <c r="J39" s="258" t="s">
        <v>60</v>
      </c>
      <c r="K39" s="203">
        <f>0.0072+0.0022</f>
        <v>9.4000000000000004E-3</v>
      </c>
    </row>
    <row r="40" spans="1:11" x14ac:dyDescent="0.2">
      <c r="A40" s="248" t="s">
        <v>60</v>
      </c>
      <c r="B40" s="225">
        <f>0.0022+0.0072</f>
        <v>9.4000000000000004E-3</v>
      </c>
      <c r="C40" s="113"/>
      <c r="D40" s="224" t="s">
        <v>60</v>
      </c>
      <c r="E40" s="225">
        <f>0.0022+0.0072</f>
        <v>9.4000000000000004E-3</v>
      </c>
      <c r="F40" s="113"/>
      <c r="G40" s="224" t="s">
        <v>60</v>
      </c>
      <c r="H40" s="225">
        <f>0.0022+0.0072</f>
        <v>9.4000000000000004E-3</v>
      </c>
      <c r="I40" s="113"/>
      <c r="J40" s="258" t="s">
        <v>210</v>
      </c>
      <c r="K40" s="204">
        <v>0</v>
      </c>
    </row>
    <row r="41" spans="1:11" x14ac:dyDescent="0.2">
      <c r="A41" s="248" t="s">
        <v>260</v>
      </c>
      <c r="B41" s="247">
        <f>(B3)/(1-0.0788)-B3</f>
        <v>0.3746678245766395</v>
      </c>
      <c r="C41" s="115"/>
      <c r="D41" s="224" t="s">
        <v>613</v>
      </c>
      <c r="E41" s="226">
        <f>(E5)/(1-0.1089)-E5</f>
        <v>0.3362567051958254</v>
      </c>
      <c r="F41" s="115"/>
      <c r="G41" s="224" t="s">
        <v>622</v>
      </c>
      <c r="H41" s="226">
        <f>(H3)/(1-0.0924)-H3</f>
        <v>0.25451740855002214</v>
      </c>
      <c r="I41" s="115"/>
      <c r="J41" s="260"/>
      <c r="K41" s="205">
        <f>SUM(K38:K40)</f>
        <v>2.6599999999999999E-2</v>
      </c>
    </row>
    <row r="42" spans="1:11" x14ac:dyDescent="0.2">
      <c r="A42" s="248"/>
      <c r="B42" s="227">
        <f>SUM(B39:B41)</f>
        <v>0.50716782457663956</v>
      </c>
      <c r="C42" s="118"/>
      <c r="D42" s="224"/>
      <c r="E42" s="227">
        <f>SUM(E39:E41)</f>
        <v>0.45275670519582539</v>
      </c>
      <c r="F42" s="118"/>
      <c r="G42" s="224"/>
      <c r="H42" s="227">
        <f>SUM(H39:H41)</f>
        <v>0.76681740855002212</v>
      </c>
      <c r="I42" s="118"/>
    </row>
    <row r="43" spans="1:11" x14ac:dyDescent="0.2">
      <c r="A43" s="249" t="s">
        <v>36</v>
      </c>
      <c r="B43" s="251" t="s">
        <v>184</v>
      </c>
      <c r="C43" s="110"/>
      <c r="D43" s="222" t="s">
        <v>135</v>
      </c>
      <c r="E43" s="223" t="s">
        <v>185</v>
      </c>
      <c r="F43" s="110"/>
      <c r="G43" s="222" t="s">
        <v>135</v>
      </c>
      <c r="H43" s="223" t="s">
        <v>227</v>
      </c>
      <c r="I43" s="110"/>
    </row>
    <row r="44" spans="1:11" x14ac:dyDescent="0.2">
      <c r="A44" s="248" t="s">
        <v>146</v>
      </c>
      <c r="B44" s="225">
        <v>0.1608</v>
      </c>
      <c r="C44" s="113"/>
      <c r="D44" s="224" t="s">
        <v>146</v>
      </c>
      <c r="E44" s="225">
        <v>1.47E-2</v>
      </c>
      <c r="F44" s="113"/>
      <c r="G44" s="224" t="s">
        <v>146</v>
      </c>
      <c r="H44" s="225">
        <v>0.31380000000000002</v>
      </c>
      <c r="I44" s="113"/>
    </row>
    <row r="45" spans="1:11" x14ac:dyDescent="0.2">
      <c r="A45" s="248" t="s">
        <v>60</v>
      </c>
      <c r="B45" s="225">
        <f>0.0022+0.0072</f>
        <v>9.4000000000000004E-3</v>
      </c>
      <c r="C45" s="113"/>
      <c r="D45" s="224" t="s">
        <v>60</v>
      </c>
      <c r="E45" s="225">
        <f>0.0022</f>
        <v>2.2000000000000001E-3</v>
      </c>
      <c r="F45" s="113"/>
      <c r="G45" s="224" t="s">
        <v>60</v>
      </c>
      <c r="H45" s="225">
        <f>0.0022+0.0072</f>
        <v>9.4000000000000004E-3</v>
      </c>
      <c r="I45" s="113"/>
    </row>
    <row r="46" spans="1:11" x14ac:dyDescent="0.2">
      <c r="A46" s="248" t="s">
        <v>261</v>
      </c>
      <c r="B46" s="247">
        <f>(B3)/(1-0.0871)-B3</f>
        <v>0.41789681235622744</v>
      </c>
      <c r="C46" s="115"/>
      <c r="D46" s="224" t="s">
        <v>614</v>
      </c>
      <c r="E46" s="226">
        <f>(E4)/(1-0.0175)-E4</f>
        <v>3.8562340966921127E-2</v>
      </c>
      <c r="F46" s="115"/>
      <c r="G46" s="224" t="s">
        <v>624</v>
      </c>
      <c r="H46" s="226">
        <f>(H6)/(1-0.0498)-(H6)</f>
        <v>0.13626604925278896</v>
      </c>
      <c r="I46" s="115"/>
    </row>
    <row r="47" spans="1:11" x14ac:dyDescent="0.2">
      <c r="A47" s="248"/>
      <c r="B47" s="227">
        <f>SUM(B44:B46)</f>
        <v>0.58809681235622746</v>
      </c>
      <c r="C47" s="118"/>
      <c r="D47" s="224"/>
      <c r="E47" s="227">
        <f>SUM(E44:E46)</f>
        <v>5.5462340966921125E-2</v>
      </c>
      <c r="F47" s="118"/>
      <c r="G47" s="224"/>
      <c r="H47" s="227">
        <f>SUM(H44:H46)</f>
        <v>0.459466049252789</v>
      </c>
      <c r="I47" s="118"/>
    </row>
    <row r="48" spans="1:11" x14ac:dyDescent="0.2">
      <c r="A48" s="249" t="s">
        <v>36</v>
      </c>
      <c r="B48" s="250" t="s">
        <v>188</v>
      </c>
      <c r="C48" s="121"/>
      <c r="D48" s="222" t="s">
        <v>135</v>
      </c>
      <c r="E48" s="223" t="s">
        <v>189</v>
      </c>
      <c r="F48" s="121"/>
      <c r="G48" s="222" t="s">
        <v>135</v>
      </c>
      <c r="H48" s="223" t="s">
        <v>229</v>
      </c>
      <c r="I48" s="121"/>
    </row>
    <row r="49" spans="1:9" x14ac:dyDescent="0.2">
      <c r="A49" s="246" t="s">
        <v>146</v>
      </c>
      <c r="B49" s="225">
        <v>2.86E-2</v>
      </c>
      <c r="C49" s="113"/>
      <c r="D49" s="224" t="s">
        <v>146</v>
      </c>
      <c r="E49" s="225">
        <v>1.95E-2</v>
      </c>
      <c r="F49" s="113"/>
      <c r="G49" s="224" t="s">
        <v>146</v>
      </c>
      <c r="H49" s="225">
        <v>0.41839999999999999</v>
      </c>
      <c r="I49" s="113"/>
    </row>
    <row r="50" spans="1:9" x14ac:dyDescent="0.2">
      <c r="A50" s="246" t="s">
        <v>60</v>
      </c>
      <c r="B50" s="225">
        <f>0.0022+0.0072+0.0225</f>
        <v>3.1899999999999998E-2</v>
      </c>
      <c r="C50" s="113"/>
      <c r="D50" s="224" t="s">
        <v>60</v>
      </c>
      <c r="E50" s="225">
        <f>0.0022+0.0072</f>
        <v>9.4000000000000004E-3</v>
      </c>
      <c r="F50" s="113"/>
      <c r="G50" s="224" t="s">
        <v>60</v>
      </c>
      <c r="H50" s="225">
        <f>0.0022+0.0072</f>
        <v>9.4000000000000004E-3</v>
      </c>
      <c r="I50" s="113"/>
    </row>
    <row r="51" spans="1:9" x14ac:dyDescent="0.2">
      <c r="A51" s="246" t="s">
        <v>215</v>
      </c>
      <c r="B51" s="252">
        <f>(B4)/(1-0.0101)-B4</f>
        <v>4.4944438832205336E-2</v>
      </c>
      <c r="C51" s="115"/>
      <c r="D51" s="224" t="s">
        <v>615</v>
      </c>
      <c r="E51" s="226">
        <f>(E4)/(1-0.0314)-E4</f>
        <v>7.0184802808176627E-2</v>
      </c>
      <c r="F51" s="115"/>
      <c r="G51" s="224" t="s">
        <v>625</v>
      </c>
      <c r="H51" s="226">
        <f>(H6)/(1-0.0661)-(H6)</f>
        <v>0.18402398543741327</v>
      </c>
      <c r="I51" s="115"/>
    </row>
    <row r="52" spans="1:9" x14ac:dyDescent="0.2">
      <c r="A52" s="248"/>
      <c r="B52" s="227">
        <f>SUM(B49:B51)</f>
        <v>0.10544443883220533</v>
      </c>
      <c r="C52" s="118"/>
      <c r="D52" s="224"/>
      <c r="E52" s="227">
        <f>SUM(E49:E51)</f>
        <v>9.9084802808176636E-2</v>
      </c>
      <c r="F52" s="118"/>
      <c r="G52" s="224"/>
      <c r="H52" s="227">
        <f>SUM(H49:H51)</f>
        <v>0.61182398543741323</v>
      </c>
      <c r="I52" s="118"/>
    </row>
    <row r="53" spans="1:9" x14ac:dyDescent="0.2">
      <c r="A53" s="249" t="s">
        <v>36</v>
      </c>
      <c r="B53" s="250" t="s">
        <v>132</v>
      </c>
      <c r="C53" s="121"/>
      <c r="D53" s="222" t="s">
        <v>135</v>
      </c>
      <c r="E53" s="223" t="s">
        <v>192</v>
      </c>
      <c r="F53" s="121"/>
      <c r="G53" s="222" t="s">
        <v>135</v>
      </c>
      <c r="H53" s="227" t="s">
        <v>233</v>
      </c>
      <c r="I53" s="121"/>
    </row>
    <row r="54" spans="1:9" x14ac:dyDescent="0.2">
      <c r="A54" s="246" t="s">
        <v>146</v>
      </c>
      <c r="B54" s="225">
        <v>5.7200000000000001E-2</v>
      </c>
      <c r="C54" s="113"/>
      <c r="D54" s="224" t="s">
        <v>146</v>
      </c>
      <c r="E54" s="225">
        <v>6.6699999999999995E-2</v>
      </c>
      <c r="F54" s="113"/>
      <c r="G54" s="224" t="s">
        <v>146</v>
      </c>
      <c r="H54" s="230">
        <v>0.34389999999999998</v>
      </c>
      <c r="I54" s="113"/>
    </row>
    <row r="55" spans="1:9" x14ac:dyDescent="0.2">
      <c r="A55" s="246" t="s">
        <v>60</v>
      </c>
      <c r="B55" s="225">
        <f>0.0022+0.0072+0.0225</f>
        <v>3.1899999999999998E-2</v>
      </c>
      <c r="C55" s="113"/>
      <c r="D55" s="224" t="s">
        <v>60</v>
      </c>
      <c r="E55" s="225">
        <f>0.0022+0.0072</f>
        <v>9.4000000000000004E-3</v>
      </c>
      <c r="F55" s="113"/>
      <c r="G55" s="224" t="s">
        <v>60</v>
      </c>
      <c r="H55" s="225">
        <f>0.0022+0.0072</f>
        <v>9.4000000000000004E-3</v>
      </c>
      <c r="I55" s="113"/>
    </row>
    <row r="56" spans="1:9" x14ac:dyDescent="0.2">
      <c r="A56" s="246" t="s">
        <v>235</v>
      </c>
      <c r="B56" s="252">
        <f>(B4)/(1-0.0191)-B4</f>
        <v>8.5773779182383159E-2</v>
      </c>
      <c r="C56" s="115"/>
      <c r="D56" s="224" t="s">
        <v>616</v>
      </c>
      <c r="E56" s="226">
        <f>(E4)/(1-0.0563)-E4</f>
        <v>0.12916128006781813</v>
      </c>
      <c r="F56" s="115"/>
      <c r="G56" s="224" t="s">
        <v>627</v>
      </c>
      <c r="H56" s="226">
        <f>(H6)/(1-0.0545)-H6</f>
        <v>0.14986779481755663</v>
      </c>
      <c r="I56" s="115"/>
    </row>
    <row r="57" spans="1:9" x14ac:dyDescent="0.2">
      <c r="A57" s="248"/>
      <c r="B57" s="227">
        <f>SUM(B54:B56)</f>
        <v>0.17487377918238317</v>
      </c>
      <c r="C57" s="118"/>
      <c r="D57" s="224"/>
      <c r="E57" s="227">
        <f>SUM(E54:E56)</f>
        <v>0.20526128006781813</v>
      </c>
      <c r="F57" s="118"/>
      <c r="G57" s="224"/>
      <c r="H57" s="227">
        <f>SUM(H54:H56)</f>
        <v>0.50316779481755658</v>
      </c>
      <c r="I57" s="118"/>
    </row>
    <row r="58" spans="1:9" x14ac:dyDescent="0.2">
      <c r="A58" s="249" t="s">
        <v>36</v>
      </c>
      <c r="B58" s="250" t="s">
        <v>148</v>
      </c>
      <c r="C58" s="110"/>
      <c r="D58" s="222" t="s">
        <v>135</v>
      </c>
      <c r="E58" s="223" t="s">
        <v>196</v>
      </c>
      <c r="F58" s="110"/>
      <c r="G58" s="222" t="s">
        <v>135</v>
      </c>
      <c r="H58" s="227" t="s">
        <v>234</v>
      </c>
      <c r="I58" s="110"/>
    </row>
    <row r="59" spans="1:9" x14ac:dyDescent="0.2">
      <c r="A59" s="246" t="s">
        <v>146</v>
      </c>
      <c r="B59" s="225">
        <v>7.7600000000000002E-2</v>
      </c>
      <c r="C59" s="113"/>
      <c r="D59" s="224" t="s">
        <v>146</v>
      </c>
      <c r="E59" s="225">
        <v>8.8099999999999998E-2</v>
      </c>
      <c r="F59" s="113"/>
      <c r="G59" s="224" t="s">
        <v>146</v>
      </c>
      <c r="H59" s="230">
        <v>0.1908</v>
      </c>
      <c r="I59" s="113"/>
    </row>
    <row r="60" spans="1:9" x14ac:dyDescent="0.2">
      <c r="A60" s="246" t="s">
        <v>60</v>
      </c>
      <c r="B60" s="225">
        <f>0.0022+0.0072</f>
        <v>9.4000000000000004E-3</v>
      </c>
      <c r="C60" s="113"/>
      <c r="D60" s="224" t="s">
        <v>60</v>
      </c>
      <c r="E60" s="225">
        <f>0.0022+0.0072</f>
        <v>9.4000000000000004E-3</v>
      </c>
      <c r="F60" s="113"/>
      <c r="G60" s="224" t="s">
        <v>60</v>
      </c>
      <c r="H60" s="225">
        <f>0.0022+0.0072</f>
        <v>9.4000000000000004E-3</v>
      </c>
      <c r="I60" s="113"/>
    </row>
    <row r="61" spans="1:9" x14ac:dyDescent="0.2">
      <c r="A61" s="246" t="s">
        <v>262</v>
      </c>
      <c r="B61" s="247">
        <f>(B4)/(1-0.0428)-B4</f>
        <v>0.19696406184705406</v>
      </c>
      <c r="C61" s="115"/>
      <c r="D61" s="224" t="s">
        <v>617</v>
      </c>
      <c r="E61" s="226">
        <f>(E4)/(1-0.0812)-E4</f>
        <v>0.19133434915106662</v>
      </c>
      <c r="F61" s="115"/>
      <c r="G61" s="224" t="s">
        <v>628</v>
      </c>
      <c r="H61" s="226">
        <f>(H7)/(1-0.0299)-H7</f>
        <v>9.4468096072569896E-2</v>
      </c>
      <c r="I61" s="115"/>
    </row>
    <row r="62" spans="1:9" x14ac:dyDescent="0.2">
      <c r="A62" s="248"/>
      <c r="B62" s="227">
        <f>SUM(B59:B61)</f>
        <v>0.28396406184705408</v>
      </c>
      <c r="C62" s="118"/>
      <c r="D62" s="224"/>
      <c r="E62" s="227">
        <f>SUM(E59:E61)</f>
        <v>0.28883434915106665</v>
      </c>
      <c r="F62" s="118"/>
      <c r="G62" s="224"/>
      <c r="H62" s="227">
        <f>SUM(H59:H61)</f>
        <v>0.29466809607256989</v>
      </c>
      <c r="I62" s="118"/>
    </row>
    <row r="63" spans="1:9" x14ac:dyDescent="0.2">
      <c r="A63" s="249" t="s">
        <v>36</v>
      </c>
      <c r="B63" s="250" t="s">
        <v>157</v>
      </c>
      <c r="C63" s="110"/>
      <c r="D63" s="222" t="s">
        <v>135</v>
      </c>
      <c r="E63" s="223" t="s">
        <v>200</v>
      </c>
      <c r="F63" s="110"/>
      <c r="G63" s="284"/>
      <c r="H63" s="235"/>
      <c r="I63" s="110"/>
    </row>
    <row r="64" spans="1:9" x14ac:dyDescent="0.2">
      <c r="A64" s="246" t="s">
        <v>146</v>
      </c>
      <c r="B64" s="225">
        <v>8.7400000000000005E-2</v>
      </c>
      <c r="C64" s="113"/>
      <c r="D64" s="224" t="s">
        <v>146</v>
      </c>
      <c r="E64" s="225">
        <v>0.10299999999999999</v>
      </c>
      <c r="F64" s="113"/>
      <c r="G64" s="233"/>
      <c r="H64" s="237"/>
      <c r="I64" s="113"/>
    </row>
    <row r="65" spans="1:9" x14ac:dyDescent="0.2">
      <c r="A65" s="246" t="s">
        <v>60</v>
      </c>
      <c r="B65" s="225">
        <f>0.0022</f>
        <v>2.2000000000000001E-3</v>
      </c>
      <c r="C65" s="113"/>
      <c r="D65" s="224" t="s">
        <v>60</v>
      </c>
      <c r="E65" s="225">
        <f>0.0022+0.0072</f>
        <v>9.4000000000000004E-3</v>
      </c>
      <c r="F65" s="113"/>
      <c r="G65" s="233"/>
      <c r="H65" s="233"/>
      <c r="I65" s="113"/>
    </row>
    <row r="66" spans="1:9" x14ac:dyDescent="0.2">
      <c r="A66" s="246" t="s">
        <v>263</v>
      </c>
      <c r="B66" s="226">
        <f>(B4)/(1-0.0499)-B4</f>
        <v>0.23135406799284297</v>
      </c>
      <c r="C66" s="115"/>
      <c r="D66" s="224" t="s">
        <v>618</v>
      </c>
      <c r="E66" s="226">
        <f>(E4)/(1-0.0975)-E4</f>
        <v>0.23389196675900292</v>
      </c>
      <c r="F66" s="115"/>
      <c r="G66" s="233"/>
      <c r="H66" s="234"/>
      <c r="I66" s="115"/>
    </row>
    <row r="67" spans="1:9" x14ac:dyDescent="0.2">
      <c r="A67" s="248"/>
      <c r="B67" s="227">
        <f>SUM(B64:B66)</f>
        <v>0.32095406799284298</v>
      </c>
      <c r="C67" s="118"/>
      <c r="D67" s="224"/>
      <c r="E67" s="227">
        <f>SUM(E64:E66)</f>
        <v>0.34629196675900292</v>
      </c>
      <c r="F67" s="118"/>
      <c r="G67" s="233"/>
      <c r="H67" s="235"/>
      <c r="I67" s="118"/>
    </row>
    <row r="68" spans="1:9" x14ac:dyDescent="0.2">
      <c r="A68" s="249" t="s">
        <v>36</v>
      </c>
      <c r="B68" s="250" t="s">
        <v>202</v>
      </c>
      <c r="C68" s="123"/>
      <c r="D68" s="222" t="s">
        <v>135</v>
      </c>
      <c r="E68" s="223" t="s">
        <v>254</v>
      </c>
      <c r="F68" s="123"/>
      <c r="G68" s="233"/>
      <c r="H68" s="233"/>
      <c r="I68" s="123"/>
    </row>
    <row r="69" spans="1:9" x14ac:dyDescent="0.2">
      <c r="A69" s="246" t="s">
        <v>146</v>
      </c>
      <c r="B69" s="225">
        <v>0.10150000000000001</v>
      </c>
      <c r="C69" s="113"/>
      <c r="D69" s="224" t="s">
        <v>146</v>
      </c>
      <c r="E69" s="225">
        <v>2.3599999999999999E-2</v>
      </c>
      <c r="F69" s="113"/>
      <c r="G69" s="233"/>
      <c r="H69" s="233"/>
      <c r="I69" s="113"/>
    </row>
    <row r="70" spans="1:9" x14ac:dyDescent="0.2">
      <c r="A70" s="246" t="s">
        <v>60</v>
      </c>
      <c r="B70" s="225">
        <f>0.0022+0.0072</f>
        <v>9.4000000000000004E-3</v>
      </c>
      <c r="C70" s="113"/>
      <c r="D70" s="224" t="s">
        <v>60</v>
      </c>
      <c r="E70" s="225">
        <f>0.0022+0.0072</f>
        <v>9.4000000000000004E-3</v>
      </c>
      <c r="F70" s="113"/>
      <c r="G70" s="234"/>
      <c r="H70" s="234"/>
      <c r="I70" s="113"/>
    </row>
    <row r="71" spans="1:9" x14ac:dyDescent="0.2">
      <c r="A71" s="246" t="s">
        <v>588</v>
      </c>
      <c r="B71" s="252">
        <f>(B4)/(1-0.059)-B4</f>
        <v>0.27619022316684383</v>
      </c>
      <c r="C71" s="115"/>
      <c r="D71" s="224" t="s">
        <v>592</v>
      </c>
      <c r="E71" s="226">
        <f>(E3)/(1-0.0268)-E3</f>
        <v>6.8845047266748782E-2</v>
      </c>
      <c r="F71" s="115"/>
      <c r="G71" s="235"/>
      <c r="H71" s="235"/>
      <c r="I71" s="115"/>
    </row>
    <row r="72" spans="1:9" x14ac:dyDescent="0.2">
      <c r="A72" s="248"/>
      <c r="B72" s="227">
        <f>SUM(B69:B71)</f>
        <v>0.38709022316684383</v>
      </c>
      <c r="C72" s="118"/>
      <c r="D72" s="224"/>
      <c r="E72" s="227">
        <f>SUM(E69:E71)</f>
        <v>0.10184504726674878</v>
      </c>
      <c r="F72" s="118"/>
      <c r="G72" s="236"/>
      <c r="H72" s="236"/>
      <c r="I72" s="118"/>
    </row>
    <row r="73" spans="1:9" x14ac:dyDescent="0.2">
      <c r="A73" s="249" t="s">
        <v>36</v>
      </c>
      <c r="B73" s="250" t="s">
        <v>163</v>
      </c>
      <c r="C73" s="123"/>
      <c r="D73" s="222" t="s">
        <v>135</v>
      </c>
      <c r="E73" s="223" t="s">
        <v>253</v>
      </c>
      <c r="F73" s="123"/>
      <c r="G73" s="233"/>
      <c r="H73" s="233"/>
      <c r="I73" s="123"/>
    </row>
    <row r="74" spans="1:9" x14ac:dyDescent="0.2">
      <c r="A74" s="246" t="s">
        <v>146</v>
      </c>
      <c r="B74" s="225">
        <v>0.11260000000000001</v>
      </c>
      <c r="C74" s="113"/>
      <c r="D74" s="224" t="s">
        <v>146</v>
      </c>
      <c r="E74" s="225">
        <v>1.95E-2</v>
      </c>
      <c r="F74" s="113"/>
      <c r="G74" s="233"/>
      <c r="H74" s="233"/>
      <c r="I74" s="113"/>
    </row>
    <row r="75" spans="1:9" x14ac:dyDescent="0.2">
      <c r="A75" s="246" t="s">
        <v>60</v>
      </c>
      <c r="B75" s="225">
        <f>0.0022+0.0072</f>
        <v>9.4000000000000004E-3</v>
      </c>
      <c r="C75" s="113"/>
      <c r="D75" s="224" t="s">
        <v>60</v>
      </c>
      <c r="E75" s="225">
        <f>0.0022</f>
        <v>2.2000000000000001E-3</v>
      </c>
      <c r="F75" s="113"/>
      <c r="G75" s="234"/>
      <c r="H75" s="234"/>
      <c r="I75" s="113"/>
    </row>
    <row r="76" spans="1:9" x14ac:dyDescent="0.2">
      <c r="A76" s="246" t="s">
        <v>264</v>
      </c>
      <c r="B76" s="252">
        <f>(B4)/(1-0.0699)-B4</f>
        <v>0.3310498871089127</v>
      </c>
      <c r="C76" s="115"/>
      <c r="D76" s="224" t="s">
        <v>619</v>
      </c>
      <c r="E76" s="226">
        <f>(E3)/(1-0.0263)-E3</f>
        <v>6.7525932011913259E-2</v>
      </c>
      <c r="F76" s="115"/>
      <c r="G76" s="235"/>
      <c r="H76" s="235"/>
      <c r="I76" s="115"/>
    </row>
    <row r="77" spans="1:9" x14ac:dyDescent="0.2">
      <c r="A77" s="248"/>
      <c r="B77" s="227">
        <f>SUM(B74:B76)</f>
        <v>0.4530498871089127</v>
      </c>
      <c r="C77" s="118"/>
      <c r="D77" s="224"/>
      <c r="E77" s="227">
        <f>SUM(E74:E76)</f>
        <v>8.9225932011913256E-2</v>
      </c>
      <c r="F77" s="118"/>
      <c r="G77" s="235"/>
      <c r="H77" s="235"/>
      <c r="I77" s="118"/>
    </row>
    <row r="78" spans="1:9" x14ac:dyDescent="0.2">
      <c r="A78" s="249" t="s">
        <v>36</v>
      </c>
      <c r="B78" s="250" t="s">
        <v>172</v>
      </c>
      <c r="C78" s="123"/>
      <c r="D78" s="222" t="s">
        <v>135</v>
      </c>
      <c r="E78" s="223" t="s">
        <v>203</v>
      </c>
      <c r="F78" s="123"/>
      <c r="G78" s="237"/>
      <c r="H78" s="237"/>
      <c r="I78" s="123"/>
    </row>
    <row r="79" spans="1:9" x14ac:dyDescent="0.2">
      <c r="A79" s="246" t="s">
        <v>146</v>
      </c>
      <c r="B79" s="225">
        <v>0.15040000000000001</v>
      </c>
      <c r="C79" s="113"/>
      <c r="D79" s="224" t="s">
        <v>146</v>
      </c>
      <c r="E79" s="225">
        <v>1.77E-2</v>
      </c>
      <c r="F79" s="113"/>
      <c r="G79" s="237"/>
      <c r="H79" s="237"/>
      <c r="I79" s="113"/>
    </row>
    <row r="80" spans="1:9" x14ac:dyDescent="0.2">
      <c r="A80" s="246" t="s">
        <v>60</v>
      </c>
      <c r="B80" s="225">
        <f>0.0022+0.0072</f>
        <v>9.4000000000000004E-3</v>
      </c>
      <c r="C80" s="113"/>
      <c r="D80" s="224" t="s">
        <v>60</v>
      </c>
      <c r="E80" s="225">
        <f>0.0022+0.0072</f>
        <v>9.4000000000000004E-3</v>
      </c>
      <c r="F80" s="113"/>
      <c r="G80" s="237"/>
      <c r="H80" s="237"/>
      <c r="I80" s="113"/>
    </row>
    <row r="81" spans="1:9" x14ac:dyDescent="0.2">
      <c r="A81" s="246" t="s">
        <v>265</v>
      </c>
      <c r="B81" s="247">
        <f>(B4)/(1-0.0782)-B4</f>
        <v>0.37369385983944525</v>
      </c>
      <c r="C81" s="115"/>
      <c r="D81" s="224" t="s">
        <v>619</v>
      </c>
      <c r="E81" s="226">
        <f>(E3)/(1-0.0263)-E3</f>
        <v>6.7525932011913259E-2</v>
      </c>
      <c r="F81" s="115"/>
      <c r="G81" s="234"/>
      <c r="H81" s="234"/>
      <c r="I81" s="115"/>
    </row>
    <row r="82" spans="1:9" x14ac:dyDescent="0.2">
      <c r="A82" s="248"/>
      <c r="B82" s="227">
        <f>SUM(B79:B81)</f>
        <v>0.53349385983944519</v>
      </c>
      <c r="C82" s="118"/>
      <c r="D82" s="224"/>
      <c r="E82" s="227">
        <f>SUM(E79:E81)</f>
        <v>9.4625932011913258E-2</v>
      </c>
      <c r="F82" s="118"/>
      <c r="G82" s="235"/>
      <c r="H82" s="235"/>
      <c r="I82" s="118"/>
    </row>
    <row r="83" spans="1:9" x14ac:dyDescent="0.2">
      <c r="A83" s="249" t="s">
        <v>36</v>
      </c>
      <c r="B83" s="250" t="s">
        <v>186</v>
      </c>
      <c r="C83" s="123"/>
      <c r="D83" s="222" t="s">
        <v>135</v>
      </c>
      <c r="E83" s="223" t="s">
        <v>207</v>
      </c>
      <c r="F83" s="123"/>
      <c r="G83" s="236"/>
      <c r="H83" s="236"/>
      <c r="I83" s="123"/>
    </row>
    <row r="84" spans="1:9" x14ac:dyDescent="0.2">
      <c r="A84" s="246" t="s">
        <v>146</v>
      </c>
      <c r="B84" s="225">
        <v>7.8299999999999995E-2</v>
      </c>
      <c r="C84" s="113"/>
      <c r="D84" s="224" t="s">
        <v>146</v>
      </c>
      <c r="E84" s="225">
        <v>1.77E-2</v>
      </c>
      <c r="F84" s="113"/>
      <c r="G84" s="233"/>
      <c r="H84" s="233"/>
      <c r="I84" s="113"/>
    </row>
    <row r="85" spans="1:9" x14ac:dyDescent="0.2">
      <c r="A85" s="246" t="s">
        <v>60</v>
      </c>
      <c r="B85" s="225">
        <f>0.0022+0.0072</f>
        <v>9.4000000000000004E-3</v>
      </c>
      <c r="C85" s="113"/>
      <c r="D85" s="224" t="s">
        <v>60</v>
      </c>
      <c r="E85" s="225">
        <f>0.0022+0.0072</f>
        <v>9.4000000000000004E-3</v>
      </c>
      <c r="F85" s="113"/>
      <c r="G85" s="233"/>
      <c r="H85" s="233"/>
      <c r="I85" s="113"/>
    </row>
    <row r="86" spans="1:9" x14ac:dyDescent="0.2">
      <c r="A86" s="246" t="s">
        <v>385</v>
      </c>
      <c r="B86" s="247">
        <f>(B4)/(1-0.0415)-B4</f>
        <v>0.19072248304642692</v>
      </c>
      <c r="C86" s="115"/>
      <c r="D86" s="224" t="s">
        <v>619</v>
      </c>
      <c r="E86" s="226">
        <f>(E4)/(1-0.0263)-E4</f>
        <v>5.8477457122316778E-2</v>
      </c>
      <c r="F86" s="115"/>
      <c r="G86" s="234"/>
      <c r="H86" s="234"/>
      <c r="I86" s="115"/>
    </row>
    <row r="87" spans="1:9" x14ac:dyDescent="0.2">
      <c r="A87" s="248"/>
      <c r="B87" s="227">
        <f>SUM(B84:B86)</f>
        <v>0.27842248304642692</v>
      </c>
      <c r="C87" s="118"/>
      <c r="D87" s="224"/>
      <c r="E87" s="227">
        <f>SUM(E84:E86)</f>
        <v>8.5577457122316777E-2</v>
      </c>
      <c r="F87" s="118"/>
      <c r="G87" s="235"/>
      <c r="H87" s="235"/>
      <c r="I87" s="118"/>
    </row>
    <row r="88" spans="1:9" x14ac:dyDescent="0.2">
      <c r="A88" s="249" t="s">
        <v>36</v>
      </c>
      <c r="B88" s="250" t="s">
        <v>213</v>
      </c>
      <c r="C88" s="123"/>
      <c r="D88" s="222" t="s">
        <v>135</v>
      </c>
      <c r="E88" s="223" t="s">
        <v>211</v>
      </c>
      <c r="F88" s="123"/>
      <c r="I88" s="123"/>
    </row>
    <row r="89" spans="1:9" x14ac:dyDescent="0.2">
      <c r="A89" s="246" t="s">
        <v>146</v>
      </c>
      <c r="B89" s="225">
        <f>0.0511-0.0022-0.0088</f>
        <v>4.0099999999999997E-2</v>
      </c>
      <c r="C89" s="113"/>
      <c r="D89" s="224" t="s">
        <v>146</v>
      </c>
      <c r="E89" s="225">
        <v>1.77E-2</v>
      </c>
      <c r="F89" s="113"/>
      <c r="G89" s="236"/>
      <c r="H89" s="236"/>
      <c r="I89" s="113"/>
    </row>
    <row r="90" spans="1:9" x14ac:dyDescent="0.2">
      <c r="A90" s="246" t="s">
        <v>60</v>
      </c>
      <c r="B90" s="225">
        <f>0.0022+0.0072</f>
        <v>9.4000000000000004E-3</v>
      </c>
      <c r="C90" s="113"/>
      <c r="D90" s="224" t="s">
        <v>60</v>
      </c>
      <c r="E90" s="225">
        <f>0.0022+0.0072</f>
        <v>9.4000000000000004E-3</v>
      </c>
      <c r="F90" s="113"/>
      <c r="G90" s="233"/>
      <c r="H90" s="233"/>
      <c r="I90" s="113"/>
    </row>
    <row r="91" spans="1:9" x14ac:dyDescent="0.2">
      <c r="A91" s="246" t="s">
        <v>171</v>
      </c>
      <c r="B91" s="226">
        <f>(B5)/(1-0.0109)-B5</f>
        <v>5.1133353553735716E-2</v>
      </c>
      <c r="C91" s="115"/>
      <c r="D91" s="224" t="s">
        <v>619</v>
      </c>
      <c r="E91" s="226">
        <f>(E3)/(1-0.0263)-E3</f>
        <v>6.7525932011913259E-2</v>
      </c>
      <c r="F91" s="115"/>
      <c r="G91" s="233"/>
      <c r="H91" s="233"/>
      <c r="I91" s="115"/>
    </row>
    <row r="92" spans="1:9" x14ac:dyDescent="0.2">
      <c r="A92" s="248"/>
      <c r="B92" s="227">
        <f>SUM(B89:B91)</f>
        <v>0.1006333535537357</v>
      </c>
      <c r="C92" s="118"/>
      <c r="D92" s="224"/>
      <c r="E92" s="227">
        <f>SUM(E89:E91)</f>
        <v>9.4625932011913258E-2</v>
      </c>
      <c r="F92" s="118"/>
      <c r="G92" s="234"/>
      <c r="H92" s="234"/>
      <c r="I92" s="118"/>
    </row>
    <row r="93" spans="1:9" x14ac:dyDescent="0.2">
      <c r="A93" s="249" t="s">
        <v>36</v>
      </c>
      <c r="B93" s="250" t="s">
        <v>217</v>
      </c>
      <c r="C93" s="118"/>
      <c r="D93" s="222" t="s">
        <v>135</v>
      </c>
      <c r="E93" s="223" t="s">
        <v>214</v>
      </c>
      <c r="F93" s="118"/>
      <c r="G93" s="235"/>
      <c r="H93" s="235"/>
      <c r="I93" s="118"/>
    </row>
    <row r="94" spans="1:9" x14ac:dyDescent="0.2">
      <c r="A94" s="246" t="s">
        <v>146</v>
      </c>
      <c r="B94" s="225">
        <f>0.0945-0.0022-0.0088</f>
        <v>8.3500000000000005E-2</v>
      </c>
      <c r="C94" s="120"/>
      <c r="D94" s="224" t="s">
        <v>146</v>
      </c>
      <c r="E94" s="225">
        <v>6.4899999999999999E-2</v>
      </c>
      <c r="F94" s="120"/>
      <c r="G94" s="236"/>
      <c r="H94" s="236"/>
      <c r="I94" s="120"/>
    </row>
    <row r="95" spans="1:9" x14ac:dyDescent="0.2">
      <c r="A95" s="246" t="s">
        <v>60</v>
      </c>
      <c r="B95" s="225">
        <f>0.0022+0.0072</f>
        <v>9.4000000000000004E-3</v>
      </c>
      <c r="C95" s="120" t="s">
        <v>47</v>
      </c>
      <c r="D95" s="224" t="s">
        <v>60</v>
      </c>
      <c r="E95" s="225">
        <f>0.0022+0.0072</f>
        <v>9.4000000000000004E-3</v>
      </c>
      <c r="F95" s="120"/>
      <c r="G95" s="233"/>
      <c r="H95" s="233"/>
      <c r="I95" s="120"/>
    </row>
    <row r="96" spans="1:9" x14ac:dyDescent="0.2">
      <c r="A96" s="246" t="s">
        <v>266</v>
      </c>
      <c r="B96" s="226">
        <f>(B5)/(1-0.0217)-B5</f>
        <v>0.10292139425534153</v>
      </c>
      <c r="C96" s="115"/>
      <c r="D96" s="224" t="s">
        <v>620</v>
      </c>
      <c r="E96" s="226">
        <f>(E3)/(1-0.0512)-E3</f>
        <v>0.13490725126475533</v>
      </c>
      <c r="F96" s="115"/>
      <c r="G96" s="233"/>
      <c r="H96" s="233"/>
      <c r="I96" s="115"/>
    </row>
    <row r="97" spans="1:9" x14ac:dyDescent="0.2">
      <c r="A97" s="248"/>
      <c r="B97" s="227">
        <f>SUM(B94:B96)</f>
        <v>0.19582139425534154</v>
      </c>
      <c r="C97" s="118"/>
      <c r="D97" s="224"/>
      <c r="E97" s="227">
        <f>SUM(E94:E96)</f>
        <v>0.20920725126475534</v>
      </c>
      <c r="F97" s="118"/>
      <c r="G97" s="234"/>
      <c r="H97" s="234"/>
      <c r="I97" s="118"/>
    </row>
    <row r="98" spans="1:9" x14ac:dyDescent="0.2">
      <c r="A98" s="249" t="s">
        <v>36</v>
      </c>
      <c r="B98" s="251" t="s">
        <v>220</v>
      </c>
      <c r="C98" s="123"/>
      <c r="D98" s="222" t="s">
        <v>135</v>
      </c>
      <c r="E98" s="223" t="s">
        <v>218</v>
      </c>
      <c r="F98" s="123"/>
      <c r="G98" s="235"/>
      <c r="H98" s="235"/>
      <c r="I98" s="123"/>
    </row>
    <row r="99" spans="1:9" x14ac:dyDescent="0.2">
      <c r="A99" s="248" t="s">
        <v>146</v>
      </c>
      <c r="B99" s="225">
        <v>4.2700000000000002E-2</v>
      </c>
      <c r="C99" s="113"/>
      <c r="D99" s="224" t="s">
        <v>146</v>
      </c>
      <c r="E99" s="225">
        <v>8.6300000000000002E-2</v>
      </c>
      <c r="F99" s="113"/>
      <c r="I99" s="113"/>
    </row>
    <row r="100" spans="1:9" x14ac:dyDescent="0.2">
      <c r="A100" s="248" t="s">
        <v>60</v>
      </c>
      <c r="B100" s="225">
        <f>0.0022+0.0072</f>
        <v>9.4000000000000004E-3</v>
      </c>
      <c r="C100" s="113"/>
      <c r="D100" s="224" t="s">
        <v>60</v>
      </c>
      <c r="E100" s="225">
        <f>0.0022+0.0072</f>
        <v>9.4000000000000004E-3</v>
      </c>
      <c r="F100" s="113"/>
      <c r="I100" s="113"/>
    </row>
    <row r="101" spans="1:9" x14ac:dyDescent="0.2">
      <c r="A101" s="248" t="s">
        <v>267</v>
      </c>
      <c r="B101" s="226">
        <f>(+B5)/(1-0.0128)-B5</f>
        <v>6.0162074554295231E-2</v>
      </c>
      <c r="C101" s="113"/>
      <c r="D101" s="224" t="s">
        <v>621</v>
      </c>
      <c r="E101" s="226">
        <f>(E3)/(1-0.0761)-E3</f>
        <v>0.20592055417252952</v>
      </c>
      <c r="F101" s="113"/>
      <c r="I101" s="113"/>
    </row>
    <row r="102" spans="1:9" x14ac:dyDescent="0.2">
      <c r="A102" s="248"/>
      <c r="B102" s="227">
        <f>SUM(B99:B101)</f>
        <v>0.11226207455429524</v>
      </c>
      <c r="C102" s="115"/>
      <c r="D102" s="224"/>
      <c r="E102" s="227">
        <f>SUM(E99:E101)</f>
        <v>0.30162055417252953</v>
      </c>
      <c r="F102" s="115"/>
      <c r="I102" s="115"/>
    </row>
    <row r="103" spans="1:9" x14ac:dyDescent="0.2">
      <c r="A103" s="249" t="s">
        <v>36</v>
      </c>
      <c r="B103" s="251" t="s">
        <v>223</v>
      </c>
      <c r="C103" s="118"/>
      <c r="D103" s="222" t="s">
        <v>135</v>
      </c>
      <c r="E103" s="223" t="s">
        <v>221</v>
      </c>
      <c r="F103" s="118"/>
      <c r="I103" s="118"/>
    </row>
    <row r="104" spans="1:9" x14ac:dyDescent="0.2">
      <c r="A104" s="248" t="s">
        <v>146</v>
      </c>
      <c r="B104" s="225">
        <v>7.6600000000000001E-2</v>
      </c>
      <c r="D104" s="224" t="s">
        <v>146</v>
      </c>
      <c r="E104" s="225">
        <v>0.1012</v>
      </c>
    </row>
    <row r="105" spans="1:9" x14ac:dyDescent="0.2">
      <c r="A105" s="248" t="s">
        <v>60</v>
      </c>
      <c r="B105" s="225">
        <f>0.0022+0.0072</f>
        <v>9.4000000000000004E-3</v>
      </c>
      <c r="C105" s="123"/>
      <c r="D105" s="224" t="s">
        <v>60</v>
      </c>
      <c r="E105" s="225">
        <f>0.0022+0.0072</f>
        <v>9.4000000000000004E-3</v>
      </c>
      <c r="F105" s="123"/>
      <c r="I105" s="123"/>
    </row>
    <row r="106" spans="1:9" x14ac:dyDescent="0.2">
      <c r="A106" s="248" t="s">
        <v>268</v>
      </c>
      <c r="B106" s="226">
        <f>(+B5)/(1-0.0209)-B5</f>
        <v>9.9046062710653082E-2</v>
      </c>
      <c r="C106" s="113"/>
      <c r="D106" s="224" t="s">
        <v>622</v>
      </c>
      <c r="E106" s="226">
        <f>(E3)/(1-0.0924)-E3</f>
        <v>0.25451740855002214</v>
      </c>
      <c r="F106" s="113"/>
      <c r="I106" s="113"/>
    </row>
    <row r="107" spans="1:9" x14ac:dyDescent="0.2">
      <c r="A107" s="248"/>
      <c r="B107" s="227">
        <f>SUM(B104:B106)</f>
        <v>0.1850460627106531</v>
      </c>
      <c r="C107" s="113"/>
      <c r="D107" s="224"/>
      <c r="E107" s="227">
        <f>SUM(E104:E106)</f>
        <v>0.36511740855002217</v>
      </c>
      <c r="F107" s="113"/>
      <c r="I107" s="113"/>
    </row>
    <row r="108" spans="1:9" x14ac:dyDescent="0.2">
      <c r="A108" s="249" t="s">
        <v>36</v>
      </c>
      <c r="B108" s="250" t="s">
        <v>226</v>
      </c>
      <c r="C108" s="115"/>
      <c r="D108" s="222" t="s">
        <v>135</v>
      </c>
      <c r="E108" s="223" t="s">
        <v>224</v>
      </c>
      <c r="F108" s="115"/>
      <c r="I108" s="115"/>
    </row>
    <row r="109" spans="1:9" x14ac:dyDescent="0.2">
      <c r="A109" s="246" t="s">
        <v>146</v>
      </c>
      <c r="B109" s="225">
        <v>4.5900000000000003E-2</v>
      </c>
      <c r="C109" s="118"/>
      <c r="D109" s="224" t="s">
        <v>146</v>
      </c>
      <c r="E109" s="225">
        <v>4.7199999999999999E-2</v>
      </c>
      <c r="F109" s="118"/>
      <c r="I109" s="118"/>
    </row>
    <row r="110" spans="1:9" x14ac:dyDescent="0.2">
      <c r="A110" s="246" t="s">
        <v>60</v>
      </c>
      <c r="B110" s="225">
        <f>0.0022+0.0072</f>
        <v>9.4000000000000004E-3</v>
      </c>
      <c r="C110" s="123"/>
      <c r="D110" s="224" t="s">
        <v>60</v>
      </c>
      <c r="E110" s="225">
        <f>0.0022+0.0072</f>
        <v>9.4000000000000004E-3</v>
      </c>
      <c r="F110" s="123"/>
      <c r="I110" s="123"/>
    </row>
    <row r="111" spans="1:9" x14ac:dyDescent="0.2">
      <c r="A111" s="246" t="s">
        <v>269</v>
      </c>
      <c r="B111" s="226">
        <f>(+B$5)/(1-0.0116)-B$5</f>
        <v>5.4455685957102595E-2</v>
      </c>
      <c r="C111" s="113"/>
      <c r="D111" s="224" t="s">
        <v>623</v>
      </c>
      <c r="E111" s="226">
        <f>(E6)/(1-0.0249)-(E6)</f>
        <v>6.6393190442005867E-2</v>
      </c>
      <c r="F111" s="113"/>
      <c r="I111" s="113"/>
    </row>
    <row r="112" spans="1:9" x14ac:dyDescent="0.2">
      <c r="A112" s="248"/>
      <c r="B112" s="227">
        <f>SUM(B109:B111)</f>
        <v>0.1097556859571026</v>
      </c>
      <c r="C112" s="113"/>
      <c r="D112" s="224"/>
      <c r="E112" s="227">
        <f>SUM(E109:E111)</f>
        <v>0.12299319044200586</v>
      </c>
      <c r="F112" s="113"/>
      <c r="I112" s="113"/>
    </row>
    <row r="113" spans="1:9" x14ac:dyDescent="0.2">
      <c r="A113" s="249" t="s">
        <v>740</v>
      </c>
      <c r="B113" s="250"/>
      <c r="C113" s="115"/>
      <c r="D113" s="222" t="s">
        <v>135</v>
      </c>
      <c r="E113" s="223" t="s">
        <v>227</v>
      </c>
      <c r="F113" s="115"/>
      <c r="I113" s="115"/>
    </row>
    <row r="114" spans="1:9" x14ac:dyDescent="0.2">
      <c r="A114" s="246" t="s">
        <v>146</v>
      </c>
      <c r="B114" s="225">
        <v>0</v>
      </c>
      <c r="C114" s="118"/>
      <c r="D114" s="224" t="s">
        <v>146</v>
      </c>
      <c r="E114" s="225">
        <v>6.8599999999999994E-2</v>
      </c>
      <c r="F114" s="118"/>
      <c r="I114" s="118"/>
    </row>
    <row r="115" spans="1:9" x14ac:dyDescent="0.2">
      <c r="A115" s="246" t="s">
        <v>60</v>
      </c>
      <c r="B115" s="225">
        <f>0.0022+0.0072</f>
        <v>9.4000000000000004E-3</v>
      </c>
      <c r="D115" s="224" t="s">
        <v>60</v>
      </c>
      <c r="E115" s="225">
        <f>0.0022+0.0072</f>
        <v>9.4000000000000004E-3</v>
      </c>
    </row>
    <row r="116" spans="1:9" x14ac:dyDescent="0.2">
      <c r="A116" s="246" t="s">
        <v>741</v>
      </c>
      <c r="B116" s="226">
        <f>((+V$3+V$17-0.0072)/(1-0.0131)-(+V$3+V$17-0.0072))</f>
        <v>-9.5571993109737699E-5</v>
      </c>
      <c r="D116" s="224" t="s">
        <v>624</v>
      </c>
      <c r="E116" s="226">
        <f>(E6)/(1-0.0498)-(E6)</f>
        <v>0.13626604925278896</v>
      </c>
    </row>
    <row r="117" spans="1:9" x14ac:dyDescent="0.2">
      <c r="A117" s="248"/>
      <c r="B117" s="227">
        <f>SUM(B114:B116)</f>
        <v>9.3044280068902627E-3</v>
      </c>
      <c r="D117" s="224"/>
      <c r="E117" s="227">
        <f>SUM(E114:E116)</f>
        <v>0.21426604925278897</v>
      </c>
    </row>
    <row r="118" spans="1:9" x14ac:dyDescent="0.2">
      <c r="A118" s="249" t="s">
        <v>36</v>
      </c>
      <c r="B118" s="250" t="s">
        <v>228</v>
      </c>
      <c r="D118" s="222" t="s">
        <v>135</v>
      </c>
      <c r="E118" s="223" t="s">
        <v>229</v>
      </c>
    </row>
    <row r="119" spans="1:9" x14ac:dyDescent="0.2">
      <c r="A119" s="246" t="s">
        <v>146</v>
      </c>
      <c r="B119" s="225">
        <v>0.1618</v>
      </c>
      <c r="D119" s="224" t="s">
        <v>146</v>
      </c>
      <c r="E119" s="225">
        <v>8.3500000000000005E-2</v>
      </c>
    </row>
    <row r="120" spans="1:9" x14ac:dyDescent="0.2">
      <c r="A120" s="246" t="s">
        <v>60</v>
      </c>
      <c r="B120" s="225">
        <f>0.0022+0+0.0225+0.0072</f>
        <v>3.1899999999999998E-2</v>
      </c>
      <c r="D120" s="224" t="s">
        <v>60</v>
      </c>
      <c r="E120" s="225">
        <f>0.0022+0.0072</f>
        <v>9.4000000000000004E-3</v>
      </c>
    </row>
    <row r="121" spans="1:9" x14ac:dyDescent="0.2">
      <c r="A121" s="246" t="s">
        <v>215</v>
      </c>
      <c r="B121" s="247">
        <f>(B4)/(1-0.0101)-B4</f>
        <v>4.4944438832205336E-2</v>
      </c>
      <c r="D121" s="224" t="s">
        <v>625</v>
      </c>
      <c r="E121" s="226">
        <f>(E6)/(1-0.0661)-(E6)</f>
        <v>0.18402398543741327</v>
      </c>
    </row>
    <row r="122" spans="1:9" x14ac:dyDescent="0.2">
      <c r="A122" s="248"/>
      <c r="B122" s="227">
        <f>SUM(B119:B121)</f>
        <v>0.23864443883220532</v>
      </c>
      <c r="D122" s="224"/>
      <c r="E122" s="227">
        <f>SUM(E119:E121)</f>
        <v>0.27692398543741326</v>
      </c>
    </row>
    <row r="123" spans="1:9" x14ac:dyDescent="0.2">
      <c r="A123" s="249" t="s">
        <v>36</v>
      </c>
      <c r="B123" s="250" t="s">
        <v>230</v>
      </c>
      <c r="D123" s="222" t="s">
        <v>135</v>
      </c>
      <c r="E123" s="227" t="s">
        <v>231</v>
      </c>
    </row>
    <row r="124" spans="1:9" x14ac:dyDescent="0.2">
      <c r="A124" s="246" t="s">
        <v>146</v>
      </c>
      <c r="B124" s="225">
        <v>0.32879999999999998</v>
      </c>
      <c r="D124" s="224" t="s">
        <v>146</v>
      </c>
      <c r="E124" s="230">
        <v>5.8299999999999998E-2</v>
      </c>
    </row>
    <row r="125" spans="1:9" x14ac:dyDescent="0.2">
      <c r="A125" s="246" t="s">
        <v>60</v>
      </c>
      <c r="B125" s="225">
        <f>0.0022+0+0.0225+0.0072</f>
        <v>3.1899999999999998E-2</v>
      </c>
      <c r="D125" s="224" t="s">
        <v>60</v>
      </c>
      <c r="E125" s="225">
        <f>0.0022</f>
        <v>2.2000000000000001E-3</v>
      </c>
    </row>
    <row r="126" spans="1:9" x14ac:dyDescent="0.2">
      <c r="A126" s="246" t="s">
        <v>162</v>
      </c>
      <c r="B126" s="247">
        <f>(B3)/(1-0.0279)-B3</f>
        <v>0.1257092891677809</v>
      </c>
      <c r="D126" s="224" t="s">
        <v>626</v>
      </c>
      <c r="E126" s="226">
        <f>(E6)/(1-0.0378)-E6</f>
        <v>0.10214092704219535</v>
      </c>
    </row>
    <row r="127" spans="1:9" x14ac:dyDescent="0.2">
      <c r="A127" s="248"/>
      <c r="B127" s="227">
        <f>SUM(B124:B126)</f>
        <v>0.48640928916778087</v>
      </c>
      <c r="D127" s="224"/>
      <c r="E127" s="227">
        <f>SUM(E124:E126)</f>
        <v>0.16264092704219535</v>
      </c>
    </row>
    <row r="128" spans="1:9" x14ac:dyDescent="0.2">
      <c r="A128" s="249" t="s">
        <v>36</v>
      </c>
      <c r="B128" s="250" t="s">
        <v>232</v>
      </c>
      <c r="D128" s="222" t="s">
        <v>135</v>
      </c>
      <c r="E128" s="227" t="s">
        <v>233</v>
      </c>
    </row>
    <row r="129" spans="1:5" x14ac:dyDescent="0.2">
      <c r="A129" s="246" t="s">
        <v>146</v>
      </c>
      <c r="B129" s="225">
        <v>0.37859999999999999</v>
      </c>
      <c r="D129" s="224" t="s">
        <v>146</v>
      </c>
      <c r="E129" s="230">
        <v>7.3099999999999998E-2</v>
      </c>
    </row>
    <row r="130" spans="1:5" x14ac:dyDescent="0.2">
      <c r="A130" s="246" t="s">
        <v>60</v>
      </c>
      <c r="B130" s="225">
        <f>0.0022+0+0.0225+0.0072</f>
        <v>3.1899999999999998E-2</v>
      </c>
      <c r="D130" s="224" t="s">
        <v>60</v>
      </c>
      <c r="E130" s="225">
        <f>0.0022+0.0072</f>
        <v>9.4000000000000004E-3</v>
      </c>
    </row>
    <row r="131" spans="1:5" x14ac:dyDescent="0.2">
      <c r="A131" s="246" t="s">
        <v>262</v>
      </c>
      <c r="B131" s="247">
        <f>(B4)/(1-0.0428)-B4</f>
        <v>0.19696406184705406</v>
      </c>
      <c r="D131" s="224" t="s">
        <v>627</v>
      </c>
      <c r="E131" s="226">
        <f>(E6)/(1-0.0545)-E6</f>
        <v>0.14986779481755663</v>
      </c>
    </row>
    <row r="132" spans="1:5" x14ac:dyDescent="0.2">
      <c r="A132" s="248"/>
      <c r="B132" s="227">
        <f>SUM(B129:B131)</f>
        <v>0.60746406184705404</v>
      </c>
      <c r="D132" s="224"/>
      <c r="E132" s="227">
        <f>SUM(E129:E131)</f>
        <v>0.23236779481755665</v>
      </c>
    </row>
    <row r="133" spans="1:5" x14ac:dyDescent="0.2">
      <c r="A133" s="246" t="s">
        <v>47</v>
      </c>
      <c r="B133" s="225" t="s">
        <v>47</v>
      </c>
      <c r="D133" s="222" t="s">
        <v>135</v>
      </c>
      <c r="E133" s="227" t="s">
        <v>234</v>
      </c>
    </row>
    <row r="134" spans="1:5" x14ac:dyDescent="0.2">
      <c r="A134" s="249" t="s">
        <v>36</v>
      </c>
      <c r="B134" s="251" t="s">
        <v>236</v>
      </c>
      <c r="D134" s="224" t="s">
        <v>146</v>
      </c>
      <c r="E134" s="230">
        <v>5.1499999999999997E-2</v>
      </c>
    </row>
    <row r="135" spans="1:5" x14ac:dyDescent="0.2">
      <c r="A135" s="248" t="s">
        <v>146</v>
      </c>
      <c r="B135" s="225">
        <v>0.18260000000000001</v>
      </c>
      <c r="D135" s="224" t="s">
        <v>60</v>
      </c>
      <c r="E135" s="225">
        <f>0.0022+0.0072</f>
        <v>9.4000000000000004E-3</v>
      </c>
    </row>
    <row r="136" spans="1:5" x14ac:dyDescent="0.2">
      <c r="A136" s="248" t="s">
        <v>60</v>
      </c>
      <c r="B136" s="225">
        <f>0.0022+0.0072</f>
        <v>9.4000000000000004E-3</v>
      </c>
      <c r="D136" s="224" t="s">
        <v>628</v>
      </c>
      <c r="E136" s="226">
        <f>(E7)/(1-0.0299)-E7</f>
        <v>9.4468096072569896E-2</v>
      </c>
    </row>
    <row r="137" spans="1:5" x14ac:dyDescent="0.2">
      <c r="A137" s="248" t="s">
        <v>267</v>
      </c>
      <c r="B137" s="226">
        <f>(B5)/(1-0.0128)-B5</f>
        <v>6.0162074554295231E-2</v>
      </c>
      <c r="D137" s="231"/>
      <c r="E137" s="232">
        <f>SUM(E134:E136)</f>
        <v>0.15536809607256991</v>
      </c>
    </row>
    <row r="138" spans="1:5" x14ac:dyDescent="0.2">
      <c r="A138" s="248"/>
      <c r="B138" s="227">
        <f>SUM(B135:B137)</f>
        <v>0.25216207455429523</v>
      </c>
      <c r="D138" s="222"/>
      <c r="E138" s="227"/>
    </row>
    <row r="139" spans="1:5" x14ac:dyDescent="0.2">
      <c r="D139" s="209"/>
      <c r="E139" s="209"/>
    </row>
    <row r="140" spans="1:5" x14ac:dyDescent="0.2">
      <c r="D140" s="210"/>
      <c r="E140" s="210"/>
    </row>
    <row r="141" spans="1:5" x14ac:dyDescent="0.2">
      <c r="D141" s="211"/>
      <c r="E141" s="211"/>
    </row>
    <row r="142" spans="1:5" x14ac:dyDescent="0.2">
      <c r="D142" s="212"/>
      <c r="E142" s="212"/>
    </row>
    <row r="143" spans="1:5" x14ac:dyDescent="0.2">
      <c r="D143" s="209"/>
      <c r="E143" s="209"/>
    </row>
    <row r="144" spans="1:5" x14ac:dyDescent="0.2">
      <c r="D144" s="209"/>
      <c r="E144" s="209"/>
    </row>
    <row r="145" spans="4:5" x14ac:dyDescent="0.2">
      <c r="D145" s="210"/>
      <c r="E145" s="210"/>
    </row>
    <row r="146" spans="4:5" x14ac:dyDescent="0.2">
      <c r="D146" s="211"/>
      <c r="E146" s="211"/>
    </row>
    <row r="147" spans="4:5" x14ac:dyDescent="0.2">
      <c r="D147" s="212"/>
      <c r="E147" s="212"/>
    </row>
    <row r="148" spans="4:5" x14ac:dyDescent="0.2">
      <c r="D148" s="209"/>
      <c r="E148" s="209"/>
    </row>
    <row r="149" spans="4:5" x14ac:dyDescent="0.2">
      <c r="D149" s="209"/>
      <c r="E149" s="209"/>
    </row>
    <row r="150" spans="4:5" x14ac:dyDescent="0.2">
      <c r="D150" s="210"/>
      <c r="E150" s="210"/>
    </row>
    <row r="151" spans="4:5" x14ac:dyDescent="0.2">
      <c r="D151" s="211"/>
      <c r="E151" s="211"/>
    </row>
    <row r="152" spans="4:5" x14ac:dyDescent="0.2">
      <c r="D152" s="211"/>
      <c r="E152" s="211"/>
    </row>
    <row r="153" spans="4:5" x14ac:dyDescent="0.2">
      <c r="D153" s="213"/>
      <c r="E153" s="213"/>
    </row>
    <row r="154" spans="4:5" x14ac:dyDescent="0.2">
      <c r="D154" s="213"/>
      <c r="E154" s="213"/>
    </row>
    <row r="155" spans="4:5" x14ac:dyDescent="0.2">
      <c r="D155" s="213"/>
      <c r="E155" s="213"/>
    </row>
    <row r="156" spans="4:5" x14ac:dyDescent="0.2">
      <c r="D156" s="210"/>
      <c r="E156" s="210"/>
    </row>
    <row r="157" spans="4:5" x14ac:dyDescent="0.2">
      <c r="D157" s="211"/>
      <c r="E157" s="211"/>
    </row>
    <row r="158" spans="4:5" x14ac:dyDescent="0.2">
      <c r="D158" s="212"/>
      <c r="E158" s="212"/>
    </row>
    <row r="159" spans="4:5" x14ac:dyDescent="0.2">
      <c r="D159" s="209"/>
      <c r="E159" s="209"/>
    </row>
    <row r="160" spans="4:5" x14ac:dyDescent="0.2">
      <c r="D160" s="209"/>
      <c r="E160" s="209"/>
    </row>
    <row r="161" spans="4:5" x14ac:dyDescent="0.2">
      <c r="D161" s="210"/>
      <c r="E161" s="210"/>
    </row>
    <row r="162" spans="4:5" x14ac:dyDescent="0.2">
      <c r="D162" s="211"/>
      <c r="E162" s="211"/>
    </row>
    <row r="164" spans="4:5" x14ac:dyDescent="0.2">
      <c r="D164" s="212"/>
      <c r="E164" s="212"/>
    </row>
    <row r="165" spans="4:5" x14ac:dyDescent="0.2">
      <c r="D165" s="209"/>
      <c r="E165" s="209"/>
    </row>
    <row r="166" spans="4:5" x14ac:dyDescent="0.2">
      <c r="D166" s="209"/>
      <c r="E166" s="209"/>
    </row>
    <row r="167" spans="4:5" x14ac:dyDescent="0.2">
      <c r="D167" s="210"/>
      <c r="E167" s="210"/>
    </row>
    <row r="168" spans="4:5" x14ac:dyDescent="0.2">
      <c r="D168" s="211"/>
      <c r="E168" s="211"/>
    </row>
    <row r="169" spans="4:5" x14ac:dyDescent="0.2">
      <c r="D169" s="212"/>
      <c r="E169" s="212"/>
    </row>
    <row r="170" spans="4:5" x14ac:dyDescent="0.2">
      <c r="D170" s="209"/>
      <c r="E170" s="209"/>
    </row>
    <row r="171" spans="4:5" x14ac:dyDescent="0.2">
      <c r="D171" s="209"/>
      <c r="E171" s="209"/>
    </row>
    <row r="172" spans="4:5" x14ac:dyDescent="0.2">
      <c r="D172" s="210"/>
      <c r="E172" s="210"/>
    </row>
    <row r="173" spans="4:5" x14ac:dyDescent="0.2">
      <c r="D173" s="211"/>
      <c r="E173" s="211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50" t="s">
        <v>22</v>
      </c>
      <c r="C1" s="50"/>
    </row>
    <row r="3" spans="1:7" x14ac:dyDescent="0.2">
      <c r="B3" t="s">
        <v>407</v>
      </c>
      <c r="G3" s="43"/>
    </row>
    <row r="5" spans="1:7" x14ac:dyDescent="0.2">
      <c r="B5" t="s">
        <v>416</v>
      </c>
    </row>
    <row r="7" spans="1:7" x14ac:dyDescent="0.2">
      <c r="C7" t="s">
        <v>380</v>
      </c>
    </row>
    <row r="8" spans="1:7" x14ac:dyDescent="0.2">
      <c r="D8" t="s">
        <v>417</v>
      </c>
      <c r="E8" t="s">
        <v>418</v>
      </c>
      <c r="F8" s="84">
        <v>3.88</v>
      </c>
    </row>
    <row r="9" spans="1:7" x14ac:dyDescent="0.2">
      <c r="D9" t="s">
        <v>380</v>
      </c>
      <c r="F9" s="85">
        <v>3.3300000000000003E-2</v>
      </c>
    </row>
    <row r="10" spans="1:7" x14ac:dyDescent="0.2">
      <c r="D10" t="s">
        <v>419</v>
      </c>
      <c r="F10" s="86">
        <v>4.7404500000000002E-2</v>
      </c>
      <c r="G10" t="s">
        <v>528</v>
      </c>
    </row>
    <row r="11" spans="1:7" x14ac:dyDescent="0.2">
      <c r="D11" t="s">
        <v>420</v>
      </c>
      <c r="F11" s="87">
        <f>+F8/(1-F10)-F8</f>
        <v>0.19308243635415057</v>
      </c>
    </row>
    <row r="12" spans="1:7" ht="13.5" thickBot="1" x14ac:dyDescent="0.25">
      <c r="D12" t="s">
        <v>421</v>
      </c>
      <c r="F12" s="88">
        <f>+F11+F9</f>
        <v>0.22638243635415056</v>
      </c>
    </row>
    <row r="13" spans="1:7" ht="13.5" thickTop="1" x14ac:dyDescent="0.2"/>
    <row r="14" spans="1:7" x14ac:dyDescent="0.2">
      <c r="C14" t="s">
        <v>381</v>
      </c>
    </row>
    <row r="15" spans="1:7" x14ac:dyDescent="0.2">
      <c r="D15" t="s">
        <v>417</v>
      </c>
      <c r="E15" t="s">
        <v>418</v>
      </c>
      <c r="F15" s="84">
        <v>3.88</v>
      </c>
    </row>
    <row r="16" spans="1:7" x14ac:dyDescent="0.2">
      <c r="D16" t="s">
        <v>381</v>
      </c>
      <c r="F16" s="85">
        <v>3.2500000000000001E-2</v>
      </c>
    </row>
    <row r="17" spans="2:6" x14ac:dyDescent="0.2">
      <c r="D17" t="s">
        <v>422</v>
      </c>
      <c r="F17" s="86">
        <v>0</v>
      </c>
    </row>
    <row r="18" spans="2:6" x14ac:dyDescent="0.2">
      <c r="D18" t="s">
        <v>420</v>
      </c>
      <c r="F18" s="87">
        <f>+F15/(1-F17)-F15</f>
        <v>0</v>
      </c>
    </row>
    <row r="19" spans="2:6" ht="13.5" thickBot="1" x14ac:dyDescent="0.25">
      <c r="D19" t="s">
        <v>421</v>
      </c>
      <c r="F19" s="88">
        <f>+F18+F16</f>
        <v>3.2500000000000001E-2</v>
      </c>
    </row>
    <row r="20" spans="2:6" ht="13.5" thickTop="1" x14ac:dyDescent="0.2"/>
    <row r="22" spans="2:6" x14ac:dyDescent="0.2">
      <c r="B22" t="s">
        <v>541</v>
      </c>
    </row>
    <row r="24" spans="2:6" x14ac:dyDescent="0.2">
      <c r="C24" t="s">
        <v>380</v>
      </c>
    </row>
    <row r="25" spans="2:6" x14ac:dyDescent="0.2">
      <c r="D25" t="s">
        <v>417</v>
      </c>
      <c r="E25" t="s">
        <v>418</v>
      </c>
      <c r="F25" s="84">
        <v>2.2000000000000002</v>
      </c>
    </row>
    <row r="26" spans="2:6" x14ac:dyDescent="0.2">
      <c r="D26" t="s">
        <v>380</v>
      </c>
      <c r="F26" s="85">
        <v>5.4000000000000003E-3</v>
      </c>
    </row>
    <row r="27" spans="2:6" x14ac:dyDescent="0.2">
      <c r="D27" t="s">
        <v>419</v>
      </c>
      <c r="F27" s="86">
        <v>1.9800000000000002E-2</v>
      </c>
    </row>
    <row r="28" spans="2:6" x14ac:dyDescent="0.2">
      <c r="D28" t="s">
        <v>420</v>
      </c>
      <c r="F28" s="87">
        <f>+F25/(1-F27)-F25</f>
        <v>4.4439910222403789E-2</v>
      </c>
    </row>
    <row r="29" spans="2:6" ht="13.5" thickBot="1" x14ac:dyDescent="0.25">
      <c r="D29" t="s">
        <v>421</v>
      </c>
      <c r="F29" s="88">
        <f>+F28+F26</f>
        <v>4.9839910222403791E-2</v>
      </c>
    </row>
    <row r="30" spans="2:6" ht="13.5" thickTop="1" x14ac:dyDescent="0.2"/>
    <row r="31" spans="2:6" x14ac:dyDescent="0.2">
      <c r="C31" t="s">
        <v>381</v>
      </c>
    </row>
    <row r="32" spans="2:6" x14ac:dyDescent="0.2">
      <c r="D32" t="s">
        <v>417</v>
      </c>
      <c r="E32" t="s">
        <v>418</v>
      </c>
      <c r="F32" s="84">
        <v>1.95</v>
      </c>
    </row>
    <row r="33" spans="2:7" x14ac:dyDescent="0.2">
      <c r="D33" t="s">
        <v>381</v>
      </c>
      <c r="F33" s="85">
        <v>5.4000000000000003E-3</v>
      </c>
    </row>
    <row r="34" spans="2:7" x14ac:dyDescent="0.2">
      <c r="D34" t="s">
        <v>422</v>
      </c>
      <c r="F34" s="86">
        <v>0</v>
      </c>
    </row>
    <row r="35" spans="2:7" x14ac:dyDescent="0.2">
      <c r="D35" t="s">
        <v>420</v>
      </c>
      <c r="F35" s="87">
        <f>+F32/(1-F34)-F32</f>
        <v>0</v>
      </c>
    </row>
    <row r="36" spans="2:7" ht="13.5" thickBot="1" x14ac:dyDescent="0.25">
      <c r="D36" t="s">
        <v>421</v>
      </c>
      <c r="F36" s="88">
        <f>+F35+F33</f>
        <v>5.4000000000000003E-3</v>
      </c>
    </row>
    <row r="37" spans="2:7" ht="13.5" thickTop="1" x14ac:dyDescent="0.2"/>
    <row r="39" spans="2:7" x14ac:dyDescent="0.2">
      <c r="B39" t="s">
        <v>423</v>
      </c>
    </row>
    <row r="41" spans="2:7" x14ac:dyDescent="0.2">
      <c r="C41" t="s">
        <v>380</v>
      </c>
    </row>
    <row r="42" spans="2:7" x14ac:dyDescent="0.2">
      <c r="D42" t="s">
        <v>417</v>
      </c>
      <c r="E42" t="s">
        <v>418</v>
      </c>
      <c r="F42" s="84">
        <v>2.2000000000000002</v>
      </c>
    </row>
    <row r="43" spans="2:7" x14ac:dyDescent="0.2">
      <c r="D43" t="s">
        <v>380</v>
      </c>
      <c r="F43" s="85">
        <v>2.1899999999999999E-2</v>
      </c>
    </row>
    <row r="44" spans="2:7" x14ac:dyDescent="0.2">
      <c r="D44" t="s">
        <v>419</v>
      </c>
      <c r="F44" s="86">
        <v>2.375E-2</v>
      </c>
      <c r="G44" t="s">
        <v>424</v>
      </c>
    </row>
    <row r="45" spans="2:7" x14ac:dyDescent="0.2">
      <c r="D45" t="s">
        <v>420</v>
      </c>
      <c r="F45" s="87">
        <f>+F42/(1-F44)-F42</f>
        <v>5.3521126760563309E-2</v>
      </c>
    </row>
    <row r="46" spans="2:7" ht="13.5" thickBot="1" x14ac:dyDescent="0.25">
      <c r="D46" t="s">
        <v>421</v>
      </c>
      <c r="F46" s="88">
        <f>+F45+F43</f>
        <v>7.5421126760563312E-2</v>
      </c>
    </row>
    <row r="47" spans="2:7" ht="13.5" thickTop="1" x14ac:dyDescent="0.2"/>
    <row r="48" spans="2:7" x14ac:dyDescent="0.2">
      <c r="C48" t="s">
        <v>381</v>
      </c>
    </row>
    <row r="49" spans="2:7" x14ac:dyDescent="0.2">
      <c r="D49" t="s">
        <v>417</v>
      </c>
      <c r="E49" t="s">
        <v>418</v>
      </c>
      <c r="F49" s="84">
        <v>1.95</v>
      </c>
    </row>
    <row r="50" spans="2:7" x14ac:dyDescent="0.2">
      <c r="D50" t="s">
        <v>381</v>
      </c>
      <c r="F50" s="85">
        <v>2.0899999999999998E-2</v>
      </c>
    </row>
    <row r="51" spans="2:7" x14ac:dyDescent="0.2">
      <c r="D51" t="s">
        <v>422</v>
      </c>
      <c r="F51" s="86">
        <v>4.7000000000000002E-3</v>
      </c>
    </row>
    <row r="52" spans="2:7" x14ac:dyDescent="0.2">
      <c r="D52" t="s">
        <v>420</v>
      </c>
      <c r="F52" s="87">
        <f>+F49/(1-F51)-F49</f>
        <v>9.2082789108811625E-3</v>
      </c>
    </row>
    <row r="53" spans="2:7" ht="13.5" thickBot="1" x14ac:dyDescent="0.25">
      <c r="D53" t="s">
        <v>421</v>
      </c>
      <c r="F53" s="88">
        <f>+F52+F50</f>
        <v>3.0108278910881161E-2</v>
      </c>
    </row>
    <row r="54" spans="2:7" ht="13.5" thickTop="1" x14ac:dyDescent="0.2"/>
    <row r="55" spans="2:7" x14ac:dyDescent="0.2">
      <c r="B55" t="s">
        <v>529</v>
      </c>
    </row>
    <row r="57" spans="2:7" x14ac:dyDescent="0.2">
      <c r="C57" t="s">
        <v>380</v>
      </c>
    </row>
    <row r="58" spans="2:7" x14ac:dyDescent="0.2">
      <c r="D58" t="s">
        <v>417</v>
      </c>
      <c r="E58" t="s">
        <v>418</v>
      </c>
      <c r="F58" s="84">
        <v>2.2000000000000002</v>
      </c>
    </row>
    <row r="59" spans="2:7" x14ac:dyDescent="0.2">
      <c r="D59" t="s">
        <v>380</v>
      </c>
      <c r="F59" s="85">
        <v>3.3399999999999999E-2</v>
      </c>
      <c r="G59" t="s">
        <v>530</v>
      </c>
    </row>
    <row r="60" spans="2:7" x14ac:dyDescent="0.2">
      <c r="D60" t="s">
        <v>531</v>
      </c>
      <c r="F60" s="85">
        <v>7.2700000000000001E-2</v>
      </c>
      <c r="G60" t="s">
        <v>532</v>
      </c>
    </row>
    <row r="61" spans="2:7" x14ac:dyDescent="0.2">
      <c r="D61" t="s">
        <v>419</v>
      </c>
      <c r="F61" s="86">
        <v>0</v>
      </c>
    </row>
    <row r="62" spans="2:7" x14ac:dyDescent="0.2">
      <c r="D62" t="s">
        <v>420</v>
      </c>
      <c r="F62" s="87">
        <f>+F58/(1-F61)-F58</f>
        <v>0</v>
      </c>
    </row>
    <row r="63" spans="2:7" ht="13.5" thickBot="1" x14ac:dyDescent="0.25">
      <c r="D63" t="s">
        <v>421</v>
      </c>
      <c r="F63" s="88">
        <f>SUM(F59:F60,F62)</f>
        <v>0.1061</v>
      </c>
    </row>
    <row r="64" spans="2:7" ht="13.5" thickTop="1" x14ac:dyDescent="0.2"/>
    <row r="65" spans="2:7" x14ac:dyDescent="0.2">
      <c r="C65" t="s">
        <v>381</v>
      </c>
    </row>
    <row r="66" spans="2:7" x14ac:dyDescent="0.2">
      <c r="D66" t="s">
        <v>417</v>
      </c>
      <c r="E66" t="s">
        <v>418</v>
      </c>
      <c r="F66" s="84">
        <v>1.95</v>
      </c>
    </row>
    <row r="67" spans="2:7" x14ac:dyDescent="0.2">
      <c r="D67" t="s">
        <v>531</v>
      </c>
      <c r="F67" s="85">
        <v>7.2700000000000001E-2</v>
      </c>
      <c r="G67" t="s">
        <v>533</v>
      </c>
    </row>
    <row r="68" spans="2:7" x14ac:dyDescent="0.2">
      <c r="D68" t="s">
        <v>381</v>
      </c>
      <c r="F68" s="85">
        <v>2.64E-2</v>
      </c>
      <c r="G68" t="s">
        <v>534</v>
      </c>
    </row>
    <row r="69" spans="2:7" x14ac:dyDescent="0.2">
      <c r="D69" t="s">
        <v>422</v>
      </c>
      <c r="F69" s="86">
        <v>0</v>
      </c>
    </row>
    <row r="70" spans="2:7" x14ac:dyDescent="0.2">
      <c r="D70" t="s">
        <v>420</v>
      </c>
      <c r="F70" s="87">
        <f>+F66/(1-F69)-F66</f>
        <v>0</v>
      </c>
    </row>
    <row r="71" spans="2:7" ht="13.5" thickBot="1" x14ac:dyDescent="0.25">
      <c r="D71" t="s">
        <v>421</v>
      </c>
      <c r="F71" s="88">
        <f>SUM(F67:F68,F70)</f>
        <v>9.9099999999999994E-2</v>
      </c>
    </row>
    <row r="72" spans="2:7" ht="13.5" thickTop="1" x14ac:dyDescent="0.2"/>
    <row r="74" spans="2:7" x14ac:dyDescent="0.2">
      <c r="B74" s="50" t="s">
        <v>498</v>
      </c>
    </row>
    <row r="76" spans="2:7" x14ac:dyDescent="0.2">
      <c r="D76" t="s">
        <v>417</v>
      </c>
      <c r="E76" t="s">
        <v>418</v>
      </c>
      <c r="F76" s="84">
        <v>2.8</v>
      </c>
    </row>
    <row r="77" spans="2:7" x14ac:dyDescent="0.2">
      <c r="D77" t="s">
        <v>336</v>
      </c>
      <c r="F77" s="85">
        <v>5.7000000000000002E-3</v>
      </c>
    </row>
    <row r="78" spans="2:7" x14ac:dyDescent="0.2">
      <c r="D78" t="s">
        <v>499</v>
      </c>
      <c r="F78" s="85">
        <f>0.0022+0.0075</f>
        <v>9.7000000000000003E-3</v>
      </c>
      <c r="G78" t="s">
        <v>500</v>
      </c>
    </row>
    <row r="79" spans="2:7" x14ac:dyDescent="0.2">
      <c r="D79" t="s">
        <v>255</v>
      </c>
      <c r="F79" s="86">
        <v>7.1999999999999998E-3</v>
      </c>
    </row>
    <row r="80" spans="2:7" x14ac:dyDescent="0.2">
      <c r="D80" t="s">
        <v>420</v>
      </c>
      <c r="F80" s="87">
        <f>+F76/(1-F79)-F76</f>
        <v>2.0306204673650186E-2</v>
      </c>
    </row>
    <row r="81" spans="1:6" ht="13.5" thickBot="1" x14ac:dyDescent="0.25">
      <c r="D81" t="s">
        <v>421</v>
      </c>
      <c r="F81" s="88">
        <f>SUM(F80,F78,F77)</f>
        <v>3.5706204673650183E-2</v>
      </c>
    </row>
    <row r="82" spans="1:6" ht="13.5" thickTop="1" x14ac:dyDescent="0.2"/>
    <row r="96" spans="1:6" x14ac:dyDescent="0.2">
      <c r="A96" s="50" t="s">
        <v>140</v>
      </c>
    </row>
    <row r="98" spans="2:6" x14ac:dyDescent="0.2">
      <c r="B98" t="s">
        <v>407</v>
      </c>
    </row>
    <row r="100" spans="2:6" x14ac:dyDescent="0.2">
      <c r="B100" t="s">
        <v>429</v>
      </c>
    </row>
    <row r="101" spans="2:6" x14ac:dyDescent="0.2">
      <c r="C101" t="s">
        <v>380</v>
      </c>
    </row>
    <row r="102" spans="2:6" x14ac:dyDescent="0.2">
      <c r="D102" t="s">
        <v>417</v>
      </c>
      <c r="E102" t="s">
        <v>430</v>
      </c>
      <c r="F102" s="84">
        <f>0.18+2.27</f>
        <v>2.4500000000000002</v>
      </c>
    </row>
    <row r="103" spans="2:6" x14ac:dyDescent="0.2">
      <c r="D103" t="s">
        <v>380</v>
      </c>
      <c r="F103" s="85">
        <v>1.6199999999999999E-2</v>
      </c>
    </row>
    <row r="104" spans="2:6" x14ac:dyDescent="0.2">
      <c r="D104" t="s">
        <v>419</v>
      </c>
      <c r="F104" s="86">
        <v>2.7799999999999998E-2</v>
      </c>
    </row>
    <row r="105" spans="2:6" x14ac:dyDescent="0.2">
      <c r="D105" t="s">
        <v>420</v>
      </c>
      <c r="F105" s="87">
        <f>+F102/(1-F104)-F102</f>
        <v>7.0057601316601659E-2</v>
      </c>
    </row>
    <row r="106" spans="2:6" ht="13.5" thickBot="1" x14ac:dyDescent="0.25">
      <c r="D106" t="s">
        <v>421</v>
      </c>
      <c r="F106" s="88">
        <f>+F105+F103</f>
        <v>8.6257601316601651E-2</v>
      </c>
    </row>
    <row r="107" spans="2:6" ht="13.5" thickTop="1" x14ac:dyDescent="0.2"/>
    <row r="108" spans="2:6" x14ac:dyDescent="0.2">
      <c r="C108" t="s">
        <v>381</v>
      </c>
    </row>
    <row r="109" spans="2:6" x14ac:dyDescent="0.2">
      <c r="D109" t="s">
        <v>417</v>
      </c>
      <c r="E109" t="s">
        <v>430</v>
      </c>
      <c r="F109" s="84">
        <v>1.95</v>
      </c>
    </row>
    <row r="110" spans="2:6" x14ac:dyDescent="0.2">
      <c r="D110" t="s">
        <v>381</v>
      </c>
      <c r="F110" s="85">
        <v>1.47E-2</v>
      </c>
    </row>
    <row r="111" spans="2:6" x14ac:dyDescent="0.2">
      <c r="D111" t="s">
        <v>431</v>
      </c>
      <c r="F111" s="85">
        <v>-5.9999999999999995E-4</v>
      </c>
    </row>
    <row r="112" spans="2:6" x14ac:dyDescent="0.2">
      <c r="D112" t="s">
        <v>422</v>
      </c>
      <c r="F112" s="86">
        <v>0</v>
      </c>
    </row>
    <row r="113" spans="2:6" x14ac:dyDescent="0.2">
      <c r="D113" t="s">
        <v>420</v>
      </c>
      <c r="F113" s="87">
        <f>+F109/(1-F112)-F109</f>
        <v>0</v>
      </c>
    </row>
    <row r="114" spans="2:6" ht="13.5" thickBot="1" x14ac:dyDescent="0.25">
      <c r="D114" t="s">
        <v>421</v>
      </c>
      <c r="F114" s="88">
        <f>SUM(F110:F111,F113)</f>
        <v>1.41E-2</v>
      </c>
    </row>
    <row r="115" spans="2:6" ht="13.5" thickTop="1" x14ac:dyDescent="0.2"/>
    <row r="116" spans="2:6" x14ac:dyDescent="0.2">
      <c r="C116" t="s">
        <v>432</v>
      </c>
    </row>
    <row r="117" spans="2:6" x14ac:dyDescent="0.2">
      <c r="C117" t="s">
        <v>433</v>
      </c>
    </row>
    <row r="121" spans="2:6" x14ac:dyDescent="0.2">
      <c r="B121" s="50" t="s">
        <v>494</v>
      </c>
    </row>
    <row r="123" spans="2:6" x14ac:dyDescent="0.2">
      <c r="B123" t="s">
        <v>407</v>
      </c>
    </row>
    <row r="125" spans="2:6" x14ac:dyDescent="0.2">
      <c r="B125" t="s">
        <v>495</v>
      </c>
    </row>
    <row r="126" spans="2:6" x14ac:dyDescent="0.2">
      <c r="C126" t="s">
        <v>380</v>
      </c>
    </row>
    <row r="127" spans="2:6" x14ac:dyDescent="0.2">
      <c r="D127" t="s">
        <v>417</v>
      </c>
      <c r="E127" t="s">
        <v>430</v>
      </c>
      <c r="F127" s="84">
        <v>2.48</v>
      </c>
    </row>
    <row r="128" spans="2:6" x14ac:dyDescent="0.2">
      <c r="D128" t="s">
        <v>380</v>
      </c>
      <c r="F128" s="85">
        <v>8.8999999999999999E-3</v>
      </c>
    </row>
    <row r="129" spans="2:6" x14ac:dyDescent="0.2">
      <c r="D129" t="s">
        <v>419</v>
      </c>
      <c r="F129" s="86">
        <v>6.4999999999999997E-3</v>
      </c>
    </row>
    <row r="130" spans="2:6" x14ac:dyDescent="0.2">
      <c r="D130" t="s">
        <v>420</v>
      </c>
      <c r="F130" s="87">
        <f>+F127/(1-F129)-F127</f>
        <v>1.6225465525918192E-2</v>
      </c>
    </row>
    <row r="131" spans="2:6" ht="13.5" thickBot="1" x14ac:dyDescent="0.25">
      <c r="D131" t="s">
        <v>421</v>
      </c>
      <c r="F131" s="88">
        <f>+F130+F128</f>
        <v>2.5125465525918191E-2</v>
      </c>
    </row>
    <row r="132" spans="2:6" ht="13.5" thickTop="1" x14ac:dyDescent="0.2"/>
    <row r="133" spans="2:6" x14ac:dyDescent="0.2">
      <c r="B133" t="s">
        <v>497</v>
      </c>
    </row>
    <row r="134" spans="2:6" x14ac:dyDescent="0.2">
      <c r="C134" t="s">
        <v>380</v>
      </c>
    </row>
    <row r="135" spans="2:6" x14ac:dyDescent="0.2">
      <c r="D135" t="s">
        <v>417</v>
      </c>
      <c r="E135" t="s">
        <v>430</v>
      </c>
      <c r="F135" s="84">
        <v>2.48</v>
      </c>
    </row>
    <row r="136" spans="2:6" x14ac:dyDescent="0.2">
      <c r="D136" t="s">
        <v>496</v>
      </c>
      <c r="F136" s="85">
        <v>7.9000000000000008E-3</v>
      </c>
    </row>
    <row r="137" spans="2:6" x14ac:dyDescent="0.2">
      <c r="D137" t="s">
        <v>435</v>
      </c>
      <c r="F137" s="85">
        <v>2.2000000000000001E-3</v>
      </c>
    </row>
    <row r="138" spans="2:6" x14ac:dyDescent="0.2">
      <c r="D138" t="s">
        <v>419</v>
      </c>
      <c r="F138" s="135">
        <v>3.2500000000000001E-2</v>
      </c>
    </row>
    <row r="139" spans="2:6" x14ac:dyDescent="0.2">
      <c r="D139" t="s">
        <v>420</v>
      </c>
      <c r="F139" s="136">
        <f>+F135/(1-F138)-F135</f>
        <v>8.3307493540051514E-2</v>
      </c>
    </row>
    <row r="140" spans="2:6" ht="13.5" thickBot="1" x14ac:dyDescent="0.25">
      <c r="D140" t="s">
        <v>421</v>
      </c>
      <c r="F140" s="88">
        <f>SUM(F136:F137,F139)</f>
        <v>9.3407493540051512E-2</v>
      </c>
    </row>
    <row r="141" spans="2:6" ht="13.5" thickTop="1" x14ac:dyDescent="0.2">
      <c r="F141" s="133"/>
    </row>
    <row r="142" spans="2:6" x14ac:dyDescent="0.2">
      <c r="F142" s="133"/>
    </row>
    <row r="143" spans="2:6" x14ac:dyDescent="0.2">
      <c r="B143" t="s">
        <v>495</v>
      </c>
    </row>
    <row r="144" spans="2:6" x14ac:dyDescent="0.2">
      <c r="C144" t="s">
        <v>381</v>
      </c>
    </row>
    <row r="145" spans="2:6" x14ac:dyDescent="0.2">
      <c r="D145" t="s">
        <v>417</v>
      </c>
      <c r="E145" t="s">
        <v>430</v>
      </c>
      <c r="F145" s="84">
        <v>1.95</v>
      </c>
    </row>
    <row r="146" spans="2:6" x14ac:dyDescent="0.2">
      <c r="D146" t="s">
        <v>381</v>
      </c>
      <c r="F146" s="85">
        <v>8.8999999999999999E-3</v>
      </c>
    </row>
    <row r="147" spans="2:6" x14ac:dyDescent="0.2">
      <c r="D147" t="s">
        <v>422</v>
      </c>
      <c r="F147" s="86">
        <v>0</v>
      </c>
    </row>
    <row r="148" spans="2:6" x14ac:dyDescent="0.2">
      <c r="D148" t="s">
        <v>420</v>
      </c>
      <c r="F148" s="87">
        <f>+F145/(1-F147)-F145</f>
        <v>0</v>
      </c>
    </row>
    <row r="149" spans="2:6" ht="13.5" thickBot="1" x14ac:dyDescent="0.25">
      <c r="D149" t="s">
        <v>421</v>
      </c>
      <c r="F149" s="88">
        <f>SUM(F146,F148)</f>
        <v>8.8999999999999999E-3</v>
      </c>
    </row>
    <row r="150" spans="2:6" ht="13.5" thickTop="1" x14ac:dyDescent="0.2"/>
    <row r="151" spans="2:6" x14ac:dyDescent="0.2">
      <c r="B151" t="s">
        <v>497</v>
      </c>
    </row>
    <row r="152" spans="2:6" x14ac:dyDescent="0.2">
      <c r="C152" t="s">
        <v>381</v>
      </c>
    </row>
    <row r="153" spans="2:6" x14ac:dyDescent="0.2">
      <c r="D153" t="s">
        <v>417</v>
      </c>
      <c r="E153" t="s">
        <v>430</v>
      </c>
      <c r="F153" s="84">
        <v>2.48</v>
      </c>
    </row>
    <row r="154" spans="2:6" x14ac:dyDescent="0.2">
      <c r="D154" t="s">
        <v>496</v>
      </c>
      <c r="F154" s="85">
        <v>7.9000000000000008E-3</v>
      </c>
    </row>
    <row r="155" spans="2:6" x14ac:dyDescent="0.2">
      <c r="D155" t="s">
        <v>435</v>
      </c>
      <c r="F155" s="85">
        <v>2.2000000000000001E-3</v>
      </c>
    </row>
    <row r="156" spans="2:6" x14ac:dyDescent="0.2">
      <c r="D156" t="s">
        <v>422</v>
      </c>
      <c r="F156" s="135">
        <v>0</v>
      </c>
    </row>
    <row r="157" spans="2:6" x14ac:dyDescent="0.2">
      <c r="D157" t="s">
        <v>420</v>
      </c>
      <c r="F157" s="136">
        <f>+F153/(1-F156)-F153</f>
        <v>0</v>
      </c>
    </row>
    <row r="158" spans="2:6" ht="13.5" thickBot="1" x14ac:dyDescent="0.25">
      <c r="D158" t="s">
        <v>421</v>
      </c>
      <c r="F158" s="88">
        <f>SUM(F154:F155,F157)</f>
        <v>1.0100000000000001E-2</v>
      </c>
    </row>
    <row r="159" spans="2:6" ht="13.5" thickTop="1" x14ac:dyDescent="0.2"/>
    <row r="161" spans="3:7" x14ac:dyDescent="0.2">
      <c r="C161" s="126"/>
      <c r="D161" s="126"/>
      <c r="E161" s="126"/>
      <c r="F161" s="126"/>
      <c r="G161" s="126"/>
    </row>
    <row r="162" spans="3:7" x14ac:dyDescent="0.2">
      <c r="C162" s="126"/>
      <c r="D162" s="126"/>
      <c r="E162" s="126"/>
      <c r="F162" s="133"/>
      <c r="G162" s="126"/>
    </row>
    <row r="163" spans="3:7" x14ac:dyDescent="0.2">
      <c r="C163" s="126"/>
      <c r="D163" s="126"/>
      <c r="E163" s="126"/>
      <c r="F163" s="134"/>
      <c r="G163" s="126"/>
    </row>
    <row r="164" spans="3:7" x14ac:dyDescent="0.2">
      <c r="C164" s="126"/>
      <c r="D164" s="126"/>
      <c r="E164" s="126"/>
      <c r="F164" s="135"/>
      <c r="G164" s="126"/>
    </row>
    <row r="165" spans="3:7" x14ac:dyDescent="0.2">
      <c r="C165" s="126"/>
      <c r="D165" s="126"/>
      <c r="E165" s="126"/>
      <c r="F165" s="133"/>
      <c r="G165" s="126"/>
    </row>
    <row r="166" spans="3:7" x14ac:dyDescent="0.2">
      <c r="C166" s="126"/>
      <c r="D166" s="126"/>
      <c r="E166" s="126"/>
      <c r="F166" s="133"/>
      <c r="G166" s="126"/>
    </row>
    <row r="167" spans="3:7" x14ac:dyDescent="0.2">
      <c r="C167" s="126"/>
      <c r="D167" s="126"/>
      <c r="E167" s="126"/>
      <c r="F167" s="126"/>
      <c r="G167" s="126"/>
    </row>
  </sheetData>
  <pageMargins left="0.75" right="0.75" top="1" bottom="1" header="0.5" footer="0.5"/>
  <pageSetup scale="2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RowHeight="12.75" x14ac:dyDescent="0.2"/>
  <cols>
    <col min="1" max="5" width="9.140625" style="34"/>
    <col min="6" max="6" width="11.140625" style="34" customWidth="1"/>
    <col min="7" max="16384" width="9.140625" style="34"/>
  </cols>
  <sheetData>
    <row r="4" spans="1:12" x14ac:dyDescent="0.2">
      <c r="A4" s="36" t="s">
        <v>344</v>
      </c>
      <c r="B4" s="36"/>
      <c r="C4" s="36"/>
      <c r="D4" s="36"/>
      <c r="E4" s="36"/>
      <c r="F4" s="36"/>
      <c r="G4" s="36"/>
      <c r="H4" s="36"/>
    </row>
    <row r="5" spans="1:12" x14ac:dyDescent="0.2">
      <c r="A5" s="36"/>
      <c r="B5" s="36"/>
      <c r="C5" s="36"/>
      <c r="D5" s="36"/>
      <c r="E5" s="36"/>
      <c r="F5" s="36"/>
      <c r="G5" s="36"/>
      <c r="H5" s="36"/>
    </row>
    <row r="6" spans="1:12" x14ac:dyDescent="0.2">
      <c r="A6" s="36" t="s">
        <v>0</v>
      </c>
      <c r="B6" s="36"/>
      <c r="C6" s="36"/>
      <c r="D6" s="36"/>
      <c r="E6" s="36"/>
      <c r="F6" s="36"/>
      <c r="G6" s="36"/>
      <c r="H6" s="36"/>
    </row>
    <row r="7" spans="1:12" x14ac:dyDescent="0.2">
      <c r="A7" s="36"/>
      <c r="C7" s="36" t="s">
        <v>89</v>
      </c>
      <c r="D7" s="36" t="e">
        <f>(12/365)*#REF!</f>
        <v>#REF!</v>
      </c>
      <c r="E7" s="36" t="s">
        <v>90</v>
      </c>
      <c r="F7" s="36"/>
      <c r="G7" s="36"/>
      <c r="H7" s="36"/>
    </row>
    <row r="8" spans="1:12" x14ac:dyDescent="0.2">
      <c r="A8" s="36"/>
      <c r="B8" s="36"/>
      <c r="C8" s="36"/>
      <c r="D8" s="36"/>
      <c r="E8" s="36"/>
      <c r="F8" s="36"/>
      <c r="G8" s="36"/>
      <c r="H8" s="36"/>
    </row>
    <row r="9" spans="1:12" x14ac:dyDescent="0.2">
      <c r="A9" s="36"/>
      <c r="B9" s="36"/>
      <c r="C9" s="36"/>
      <c r="D9" s="36"/>
      <c r="E9" s="36"/>
      <c r="F9" s="36"/>
      <c r="G9" s="36"/>
      <c r="H9" s="36"/>
    </row>
    <row r="10" spans="1:12" x14ac:dyDescent="0.2">
      <c r="A10" s="56" t="s">
        <v>91</v>
      </c>
      <c r="B10" s="56">
        <v>889108</v>
      </c>
      <c r="C10" s="56"/>
      <c r="D10" s="36"/>
      <c r="E10" s="36"/>
      <c r="F10" s="36"/>
      <c r="G10" s="36"/>
      <c r="H10" s="36"/>
    </row>
    <row r="11" spans="1:12" x14ac:dyDescent="0.2">
      <c r="A11" s="56" t="s">
        <v>92</v>
      </c>
      <c r="B11" s="56" t="s">
        <v>72</v>
      </c>
      <c r="F11" s="36"/>
      <c r="G11" s="36"/>
      <c r="H11" s="36"/>
    </row>
    <row r="12" spans="1:12" x14ac:dyDescent="0.2">
      <c r="A12" s="36"/>
      <c r="B12" s="36" t="s">
        <v>37</v>
      </c>
      <c r="C12" s="36" t="s">
        <v>340</v>
      </c>
      <c r="D12" s="36" t="s">
        <v>89</v>
      </c>
      <c r="E12" s="36" t="s">
        <v>93</v>
      </c>
      <c r="F12" s="36"/>
      <c r="G12" s="36"/>
    </row>
    <row r="13" spans="1:12" x14ac:dyDescent="0.2">
      <c r="A13" s="36" t="s">
        <v>94</v>
      </c>
      <c r="B13" s="55">
        <v>3.41</v>
      </c>
      <c r="C13" s="36">
        <v>108</v>
      </c>
      <c r="D13" s="36" t="e">
        <f t="shared" ref="D13:D21" si="0">+D$7</f>
        <v>#REF!</v>
      </c>
      <c r="E13" s="57" t="e">
        <f t="shared" ref="E13:E21" si="1">(+C13)*B13*D13</f>
        <v>#REF!</v>
      </c>
      <c r="F13" s="36"/>
      <c r="G13" s="36"/>
      <c r="I13" s="55"/>
      <c r="J13" s="36"/>
      <c r="K13" s="36"/>
      <c r="L13" s="57"/>
    </row>
    <row r="14" spans="1:12" x14ac:dyDescent="0.2">
      <c r="A14" s="36" t="s">
        <v>95</v>
      </c>
      <c r="B14" s="55">
        <v>3.2170000000000001</v>
      </c>
      <c r="C14" s="36">
        <v>29</v>
      </c>
      <c r="D14" s="36" t="e">
        <f t="shared" si="0"/>
        <v>#REF!</v>
      </c>
      <c r="E14" s="57" t="e">
        <f t="shared" si="1"/>
        <v>#REF!</v>
      </c>
      <c r="F14" s="36"/>
      <c r="G14" s="36"/>
      <c r="I14" s="55"/>
      <c r="J14" s="36"/>
      <c r="K14" s="36"/>
      <c r="L14" s="57"/>
    </row>
    <row r="15" spans="1:12" x14ac:dyDescent="0.2">
      <c r="A15" s="36" t="s">
        <v>96</v>
      </c>
      <c r="B15" s="55">
        <v>6.9649999999999999</v>
      </c>
      <c r="C15" s="36">
        <v>46</v>
      </c>
      <c r="D15" s="36" t="e">
        <f t="shared" si="0"/>
        <v>#REF!</v>
      </c>
      <c r="E15" s="57" t="e">
        <f t="shared" si="1"/>
        <v>#REF!</v>
      </c>
      <c r="F15" s="36"/>
      <c r="G15" s="36"/>
      <c r="I15" s="55"/>
      <c r="J15" s="36"/>
      <c r="K15" s="36"/>
      <c r="L15" s="57"/>
    </row>
    <row r="16" spans="1:12" x14ac:dyDescent="0.2">
      <c r="A16" s="36" t="s">
        <v>97</v>
      </c>
      <c r="B16" s="55">
        <v>2.9220000000000002</v>
      </c>
      <c r="C16" s="36">
        <v>70</v>
      </c>
      <c r="D16" s="36" t="e">
        <f t="shared" si="0"/>
        <v>#REF!</v>
      </c>
      <c r="E16" s="57" t="e">
        <f t="shared" si="1"/>
        <v>#REF!</v>
      </c>
      <c r="F16" s="36"/>
      <c r="G16" s="36"/>
      <c r="I16" s="55"/>
      <c r="J16" s="36"/>
      <c r="K16" s="36"/>
      <c r="L16" s="57"/>
    </row>
    <row r="17" spans="1:12" x14ac:dyDescent="0.2">
      <c r="A17" s="58" t="s">
        <v>98</v>
      </c>
      <c r="B17" s="55">
        <v>1.9119999999999999</v>
      </c>
      <c r="C17" s="36">
        <v>170</v>
      </c>
      <c r="D17" s="36" t="e">
        <f t="shared" si="0"/>
        <v>#REF!</v>
      </c>
      <c r="E17" s="57" t="e">
        <f t="shared" si="1"/>
        <v>#REF!</v>
      </c>
      <c r="F17" s="36"/>
      <c r="G17" s="36"/>
      <c r="I17" s="55"/>
      <c r="J17" s="36"/>
      <c r="K17" s="36"/>
      <c r="L17" s="57"/>
    </row>
    <row r="18" spans="1:12" x14ac:dyDescent="0.2">
      <c r="A18" s="59" t="s">
        <v>99</v>
      </c>
      <c r="B18" s="55">
        <v>3.9420000000000002</v>
      </c>
      <c r="C18" s="36">
        <v>170</v>
      </c>
      <c r="D18" s="36" t="e">
        <f t="shared" si="0"/>
        <v>#REF!</v>
      </c>
      <c r="E18" s="57" t="e">
        <f t="shared" si="1"/>
        <v>#REF!</v>
      </c>
      <c r="F18" s="36"/>
      <c r="G18" s="36"/>
      <c r="I18" s="55"/>
      <c r="J18" s="36"/>
      <c r="K18" s="36"/>
      <c r="L18" s="57"/>
    </row>
    <row r="19" spans="1:12" x14ac:dyDescent="0.2">
      <c r="A19" s="59" t="s">
        <v>100</v>
      </c>
      <c r="B19" s="55">
        <v>2.6909999999999998</v>
      </c>
      <c r="C19" s="36">
        <v>168</v>
      </c>
      <c r="D19" s="36" t="e">
        <f t="shared" si="0"/>
        <v>#REF!</v>
      </c>
      <c r="E19" s="57" t="e">
        <f t="shared" si="1"/>
        <v>#REF!</v>
      </c>
      <c r="F19" s="36"/>
      <c r="G19" s="36"/>
      <c r="I19" s="55"/>
      <c r="J19" s="36"/>
      <c r="K19" s="36"/>
      <c r="L19" s="57"/>
    </row>
    <row r="20" spans="1:12" x14ac:dyDescent="0.2">
      <c r="A20" s="59" t="s">
        <v>101</v>
      </c>
      <c r="B20" s="55">
        <v>3.8530000000000002</v>
      </c>
      <c r="C20" s="36">
        <v>170</v>
      </c>
      <c r="D20" s="36" t="e">
        <f t="shared" si="0"/>
        <v>#REF!</v>
      </c>
      <c r="E20" s="57" t="e">
        <f t="shared" si="1"/>
        <v>#REF!</v>
      </c>
      <c r="F20" s="36"/>
      <c r="G20" s="36"/>
      <c r="I20" s="55"/>
      <c r="J20" s="36"/>
      <c r="K20" s="36"/>
      <c r="L20" s="57"/>
    </row>
    <row r="21" spans="1:12" x14ac:dyDescent="0.2">
      <c r="A21" s="36" t="s">
        <v>102</v>
      </c>
      <c r="B21" s="55">
        <v>5.3278999999999996</v>
      </c>
      <c r="C21" s="36">
        <v>170</v>
      </c>
      <c r="D21" s="36" t="e">
        <f t="shared" si="0"/>
        <v>#REF!</v>
      </c>
      <c r="E21" s="57" t="e">
        <f t="shared" si="1"/>
        <v>#REF!</v>
      </c>
      <c r="F21" s="36"/>
      <c r="G21" s="36"/>
      <c r="I21" s="55"/>
      <c r="J21" s="36"/>
      <c r="K21" s="36"/>
      <c r="L21" s="57"/>
    </row>
    <row r="22" spans="1:12" ht="13.5" thickBot="1" x14ac:dyDescent="0.25">
      <c r="A22" s="36"/>
      <c r="B22" s="36"/>
      <c r="C22" s="36"/>
      <c r="D22" s="36"/>
      <c r="E22" s="60" t="e">
        <f>SUM(E13:E21)</f>
        <v>#REF!</v>
      </c>
      <c r="F22" s="36"/>
      <c r="G22" s="36"/>
      <c r="L22" s="70"/>
    </row>
    <row r="23" spans="1:12" ht="13.5" thickTop="1" x14ac:dyDescent="0.2">
      <c r="A23" s="36"/>
      <c r="B23" s="36"/>
      <c r="C23" s="36"/>
      <c r="D23" s="36" t="s">
        <v>103</v>
      </c>
      <c r="E23" s="36">
        <f>+C19</f>
        <v>168</v>
      </c>
      <c r="F23" s="36"/>
      <c r="G23" s="36"/>
    </row>
    <row r="24" spans="1:12" x14ac:dyDescent="0.2">
      <c r="A24" s="36"/>
      <c r="B24" s="36"/>
      <c r="C24" s="36"/>
      <c r="D24" s="36" t="s">
        <v>71</v>
      </c>
      <c r="E24" s="61" t="e">
        <f>+#REF!</f>
        <v>#REF!</v>
      </c>
      <c r="F24" s="36"/>
      <c r="G24" s="36"/>
    </row>
    <row r="25" spans="1:12" ht="13.5" thickBot="1" x14ac:dyDescent="0.25">
      <c r="A25" s="36"/>
      <c r="B25" s="36"/>
      <c r="C25" s="36"/>
      <c r="D25" s="36" t="s">
        <v>104</v>
      </c>
      <c r="E25" s="62" t="e">
        <f>ROUND(+E22/E23/E24,4)</f>
        <v>#REF!</v>
      </c>
      <c r="F25" s="36"/>
      <c r="G25" s="36"/>
      <c r="L25" s="68"/>
    </row>
    <row r="26" spans="1:12" ht="13.5" thickTop="1" x14ac:dyDescent="0.2">
      <c r="A26" s="36"/>
      <c r="B26" s="36"/>
      <c r="C26" s="36"/>
      <c r="D26" s="36"/>
      <c r="E26" s="36"/>
      <c r="F26" s="36"/>
      <c r="G26" s="36"/>
      <c r="H26" s="36"/>
    </row>
    <row r="27" spans="1:12" x14ac:dyDescent="0.2">
      <c r="A27" s="56" t="s">
        <v>91</v>
      </c>
      <c r="B27" s="56">
        <v>889088</v>
      </c>
      <c r="F27" s="36"/>
      <c r="G27" s="36"/>
      <c r="H27" s="36"/>
    </row>
    <row r="28" spans="1:12" x14ac:dyDescent="0.2">
      <c r="A28" s="56" t="s">
        <v>106</v>
      </c>
      <c r="B28" s="56" t="s">
        <v>72</v>
      </c>
      <c r="C28" s="56" t="s">
        <v>105</v>
      </c>
      <c r="D28" s="56"/>
      <c r="E28" s="56"/>
      <c r="F28" s="36"/>
      <c r="G28" s="36"/>
      <c r="H28" s="36"/>
    </row>
    <row r="29" spans="1:12" x14ac:dyDescent="0.2">
      <c r="A29" s="36"/>
      <c r="B29" s="36" t="s">
        <v>37</v>
      </c>
      <c r="C29" s="36" t="s">
        <v>107</v>
      </c>
      <c r="D29" s="36" t="s">
        <v>108</v>
      </c>
      <c r="E29" s="36" t="s">
        <v>89</v>
      </c>
      <c r="F29" s="36" t="s">
        <v>93</v>
      </c>
      <c r="G29" s="36"/>
      <c r="H29" s="36"/>
    </row>
    <row r="30" spans="1:12" x14ac:dyDescent="0.2">
      <c r="A30" s="36" t="s">
        <v>94</v>
      </c>
      <c r="B30" s="55">
        <v>3.633</v>
      </c>
      <c r="C30" s="36">
        <v>62</v>
      </c>
      <c r="D30" s="36">
        <v>32</v>
      </c>
      <c r="E30" s="36" t="e">
        <f>+D$7</f>
        <v>#REF!</v>
      </c>
      <c r="F30" s="57" t="e">
        <f t="shared" ref="F30:F37" si="2">(+C30+D30)*B30*E30</f>
        <v>#REF!</v>
      </c>
      <c r="G30" s="36"/>
      <c r="H30" s="36"/>
    </row>
    <row r="31" spans="1:12" x14ac:dyDescent="0.2">
      <c r="A31" s="36" t="s">
        <v>95</v>
      </c>
      <c r="B31" s="55">
        <v>3.44</v>
      </c>
      <c r="C31" s="36">
        <v>17</v>
      </c>
      <c r="D31" s="36">
        <v>8</v>
      </c>
      <c r="E31" s="36" t="e">
        <f t="shared" ref="E31:E37" si="3">+D$7</f>
        <v>#REF!</v>
      </c>
      <c r="F31" s="57" t="e">
        <f t="shared" si="2"/>
        <v>#REF!</v>
      </c>
      <c r="G31" s="36"/>
      <c r="H31" s="36"/>
    </row>
    <row r="32" spans="1:12" x14ac:dyDescent="0.2">
      <c r="A32" s="36" t="s">
        <v>96</v>
      </c>
      <c r="B32" s="55">
        <v>7.1879999999999997</v>
      </c>
      <c r="C32" s="36">
        <v>28</v>
      </c>
      <c r="D32" s="36">
        <v>14</v>
      </c>
      <c r="E32" s="36" t="e">
        <f t="shared" si="3"/>
        <v>#REF!</v>
      </c>
      <c r="F32" s="57" t="e">
        <f t="shared" si="2"/>
        <v>#REF!</v>
      </c>
      <c r="G32" s="36"/>
      <c r="H32" s="36"/>
    </row>
    <row r="33" spans="1:8" x14ac:dyDescent="0.2">
      <c r="A33" s="36" t="s">
        <v>97</v>
      </c>
      <c r="B33" s="55">
        <v>3.145</v>
      </c>
      <c r="C33" s="36">
        <v>41</v>
      </c>
      <c r="D33" s="36">
        <v>21</v>
      </c>
      <c r="E33" s="36" t="e">
        <f t="shared" si="3"/>
        <v>#REF!</v>
      </c>
      <c r="F33" s="57" t="e">
        <f t="shared" si="2"/>
        <v>#REF!</v>
      </c>
      <c r="G33" s="36"/>
      <c r="H33" s="36"/>
    </row>
    <row r="34" spans="1:8" x14ac:dyDescent="0.2">
      <c r="A34" s="58" t="s">
        <v>98</v>
      </c>
      <c r="B34" s="55">
        <v>1.9119999999999999</v>
      </c>
      <c r="C34" s="36">
        <v>102</v>
      </c>
      <c r="D34" s="36">
        <v>52</v>
      </c>
      <c r="E34" s="36" t="e">
        <f t="shared" si="3"/>
        <v>#REF!</v>
      </c>
      <c r="F34" s="57" t="e">
        <f t="shared" si="2"/>
        <v>#REF!</v>
      </c>
      <c r="G34" s="36"/>
      <c r="H34" s="36"/>
    </row>
    <row r="35" spans="1:8" x14ac:dyDescent="0.2">
      <c r="A35" s="59" t="s">
        <v>99</v>
      </c>
      <c r="B35" s="55">
        <v>3.9420000000000002</v>
      </c>
      <c r="C35" s="36">
        <v>102</v>
      </c>
      <c r="D35" s="36">
        <v>51</v>
      </c>
      <c r="E35" s="36" t="e">
        <f t="shared" si="3"/>
        <v>#REF!</v>
      </c>
      <c r="F35" s="57" t="e">
        <f t="shared" si="2"/>
        <v>#REF!</v>
      </c>
      <c r="G35" s="36"/>
      <c r="H35" s="36"/>
    </row>
    <row r="36" spans="1:8" x14ac:dyDescent="0.2">
      <c r="A36" s="59" t="s">
        <v>100</v>
      </c>
      <c r="B36" s="55">
        <v>2.6909999999999998</v>
      </c>
      <c r="C36" s="36">
        <v>100</v>
      </c>
      <c r="D36" s="36">
        <v>51</v>
      </c>
      <c r="E36" s="36" t="e">
        <f t="shared" si="3"/>
        <v>#REF!</v>
      </c>
      <c r="F36" s="57" t="e">
        <f t="shared" si="2"/>
        <v>#REF!</v>
      </c>
      <c r="G36" s="36"/>
      <c r="H36" s="36"/>
    </row>
    <row r="37" spans="1:8" x14ac:dyDescent="0.2">
      <c r="A37" s="59" t="s">
        <v>101</v>
      </c>
      <c r="B37" s="55">
        <v>4.0759999999999996</v>
      </c>
      <c r="C37" s="36">
        <v>102</v>
      </c>
      <c r="D37" s="36">
        <v>52</v>
      </c>
      <c r="E37" s="36" t="e">
        <f t="shared" si="3"/>
        <v>#REF!</v>
      </c>
      <c r="F37" s="57" t="e">
        <f t="shared" si="2"/>
        <v>#REF!</v>
      </c>
      <c r="G37" s="36"/>
      <c r="H37" s="36"/>
    </row>
    <row r="38" spans="1:8" ht="13.5" thickBot="1" x14ac:dyDescent="0.25">
      <c r="A38" s="36"/>
      <c r="B38" s="36"/>
      <c r="C38" s="36"/>
      <c r="E38" s="36"/>
      <c r="F38" s="60" t="e">
        <f>SUM(F30:F37)</f>
        <v>#REF!</v>
      </c>
      <c r="G38" s="36"/>
      <c r="H38" s="36"/>
    </row>
    <row r="39" spans="1:8" ht="13.5" thickTop="1" x14ac:dyDescent="0.2">
      <c r="A39" s="36"/>
      <c r="B39" s="36"/>
      <c r="C39" s="36"/>
      <c r="E39" s="36" t="s">
        <v>103</v>
      </c>
      <c r="F39" s="36">
        <f>+D37+C37</f>
        <v>154</v>
      </c>
      <c r="G39" s="36"/>
      <c r="H39" s="36"/>
    </row>
    <row r="40" spans="1:8" x14ac:dyDescent="0.2">
      <c r="A40" s="36"/>
      <c r="B40" s="36"/>
      <c r="C40" s="36"/>
      <c r="E40" s="36" t="s">
        <v>71</v>
      </c>
      <c r="F40" s="61" t="e">
        <f>+#REF!</f>
        <v>#REF!</v>
      </c>
      <c r="G40" s="36"/>
      <c r="H40" s="36"/>
    </row>
    <row r="41" spans="1:8" ht="13.5" thickBot="1" x14ac:dyDescent="0.25">
      <c r="A41" s="36"/>
      <c r="B41" s="36"/>
      <c r="C41" s="36"/>
      <c r="E41" s="36" t="s">
        <v>104</v>
      </c>
      <c r="F41" s="62" t="e">
        <f>ROUND(+F38/F39/F40,4)</f>
        <v>#REF!</v>
      </c>
      <c r="G41" s="36"/>
      <c r="H41" s="36"/>
    </row>
    <row r="42" spans="1:8" ht="13.5" thickTop="1" x14ac:dyDescent="0.2">
      <c r="A42" s="36"/>
      <c r="B42" s="36"/>
      <c r="C42" s="36"/>
      <c r="D42" s="36"/>
      <c r="E42" s="36"/>
      <c r="F42" s="36"/>
      <c r="G42" s="36"/>
      <c r="H42" s="36"/>
    </row>
    <row r="43" spans="1:8" x14ac:dyDescent="0.2">
      <c r="A43" s="36"/>
      <c r="B43" s="36"/>
      <c r="C43" s="36"/>
      <c r="D43" s="36"/>
      <c r="E43" s="36"/>
      <c r="F43" s="36"/>
      <c r="G43" s="36"/>
      <c r="H43" s="36"/>
    </row>
    <row r="44" spans="1:8" x14ac:dyDescent="0.2">
      <c r="A44" s="56" t="s">
        <v>91</v>
      </c>
      <c r="B44" s="56">
        <v>889110</v>
      </c>
      <c r="F44" s="36"/>
      <c r="G44" s="36"/>
      <c r="H44" s="36"/>
    </row>
    <row r="45" spans="1:8" x14ac:dyDescent="0.2">
      <c r="A45" s="56" t="s">
        <v>92</v>
      </c>
      <c r="B45" s="56" t="s">
        <v>72</v>
      </c>
      <c r="C45" s="56"/>
      <c r="D45" s="56"/>
      <c r="E45" s="56"/>
      <c r="F45" s="36"/>
      <c r="G45" s="36"/>
      <c r="H45" s="36"/>
    </row>
    <row r="46" spans="1:8" x14ac:dyDescent="0.2">
      <c r="A46" s="36"/>
      <c r="B46" s="36" t="s">
        <v>37</v>
      </c>
      <c r="C46" s="36" t="s">
        <v>343</v>
      </c>
      <c r="D46" s="36" t="s">
        <v>342</v>
      </c>
      <c r="E46" s="36" t="s">
        <v>89</v>
      </c>
      <c r="F46" s="36" t="s">
        <v>93</v>
      </c>
      <c r="G46" s="36"/>
      <c r="H46" s="36"/>
    </row>
    <row r="47" spans="1:8" x14ac:dyDescent="0.2">
      <c r="A47" s="36" t="s">
        <v>94</v>
      </c>
      <c r="B47" s="55">
        <v>3.41</v>
      </c>
      <c r="C47" s="36">
        <v>13</v>
      </c>
      <c r="D47" s="36">
        <v>0</v>
      </c>
      <c r="E47" s="36" t="e">
        <f>+D$7</f>
        <v>#REF!</v>
      </c>
      <c r="F47" s="57" t="e">
        <f t="shared" ref="F47:F53" si="4">(+C47+D47)*B47*E47</f>
        <v>#REF!</v>
      </c>
      <c r="G47" s="36"/>
      <c r="H47" s="36"/>
    </row>
    <row r="48" spans="1:8" x14ac:dyDescent="0.2">
      <c r="A48" s="36" t="s">
        <v>95</v>
      </c>
      <c r="B48" s="55">
        <v>3.2170000000000001</v>
      </c>
      <c r="C48" s="36">
        <v>4</v>
      </c>
      <c r="D48" s="36">
        <v>0</v>
      </c>
      <c r="E48" s="36" t="e">
        <f t="shared" ref="E48:E53" si="5">+D$7</f>
        <v>#REF!</v>
      </c>
      <c r="F48" s="57" t="e">
        <f t="shared" si="4"/>
        <v>#REF!</v>
      </c>
      <c r="G48" s="36"/>
      <c r="H48" s="36"/>
    </row>
    <row r="49" spans="1:8" x14ac:dyDescent="0.2">
      <c r="A49" s="36" t="s">
        <v>96</v>
      </c>
      <c r="B49" s="55">
        <v>6.9649999999999999</v>
      </c>
      <c r="C49" s="36">
        <v>6</v>
      </c>
      <c r="D49" s="36">
        <v>0</v>
      </c>
      <c r="E49" s="36" t="e">
        <f t="shared" si="5"/>
        <v>#REF!</v>
      </c>
      <c r="F49" s="57" t="e">
        <f t="shared" si="4"/>
        <v>#REF!</v>
      </c>
      <c r="G49" s="36"/>
      <c r="H49" s="36"/>
    </row>
    <row r="50" spans="1:8" x14ac:dyDescent="0.2">
      <c r="A50" s="36" t="s">
        <v>97</v>
      </c>
      <c r="B50" s="55">
        <v>2.9220000000000002</v>
      </c>
      <c r="C50" s="36">
        <v>9</v>
      </c>
      <c r="D50" s="36">
        <v>0</v>
      </c>
      <c r="E50" s="36" t="e">
        <f t="shared" si="5"/>
        <v>#REF!</v>
      </c>
      <c r="F50" s="57" t="e">
        <f t="shared" si="4"/>
        <v>#REF!</v>
      </c>
      <c r="G50" s="36"/>
      <c r="H50" s="36"/>
    </row>
    <row r="51" spans="1:8" x14ac:dyDescent="0.2">
      <c r="A51" s="58" t="s">
        <v>98</v>
      </c>
      <c r="B51" s="55">
        <v>1.9119999999999999</v>
      </c>
      <c r="C51" s="36">
        <v>21</v>
      </c>
      <c r="D51" s="36">
        <v>0</v>
      </c>
      <c r="E51" s="36" t="e">
        <f t="shared" si="5"/>
        <v>#REF!</v>
      </c>
      <c r="F51" s="57" t="e">
        <f t="shared" si="4"/>
        <v>#REF!</v>
      </c>
      <c r="G51" s="36"/>
      <c r="H51" s="36"/>
    </row>
    <row r="52" spans="1:8" x14ac:dyDescent="0.2">
      <c r="A52" s="59" t="s">
        <v>99</v>
      </c>
      <c r="B52" s="55">
        <v>3.9420000000000002</v>
      </c>
      <c r="C52" s="36">
        <v>21</v>
      </c>
      <c r="D52" s="36">
        <v>0</v>
      </c>
      <c r="E52" s="36" t="e">
        <f t="shared" si="5"/>
        <v>#REF!</v>
      </c>
      <c r="F52" s="57" t="e">
        <f t="shared" si="4"/>
        <v>#REF!</v>
      </c>
      <c r="G52" s="36"/>
      <c r="H52" s="36"/>
    </row>
    <row r="53" spans="1:8" x14ac:dyDescent="0.2">
      <c r="A53" s="59" t="s">
        <v>111</v>
      </c>
      <c r="B53" s="55">
        <v>3.7959999999999998</v>
      </c>
      <c r="C53" s="36">
        <v>21</v>
      </c>
      <c r="D53" s="36">
        <v>0</v>
      </c>
      <c r="E53" s="36" t="e">
        <f t="shared" si="5"/>
        <v>#REF!</v>
      </c>
      <c r="F53" s="57" t="e">
        <f t="shared" si="4"/>
        <v>#REF!</v>
      </c>
      <c r="G53" s="36"/>
      <c r="H53" s="36"/>
    </row>
    <row r="54" spans="1:8" ht="13.5" thickBot="1" x14ac:dyDescent="0.25">
      <c r="A54" s="36"/>
      <c r="B54" s="36"/>
      <c r="C54" s="36"/>
      <c r="E54" s="36"/>
      <c r="F54" s="60" t="e">
        <f>SUM(F47:F53)</f>
        <v>#REF!</v>
      </c>
      <c r="G54" s="36"/>
      <c r="H54" s="36"/>
    </row>
    <row r="55" spans="1:8" ht="13.5" thickTop="1" x14ac:dyDescent="0.2">
      <c r="A55" s="36"/>
      <c r="B55" s="36"/>
      <c r="C55" s="36"/>
      <c r="E55" s="36" t="s">
        <v>103</v>
      </c>
      <c r="F55" s="36">
        <f>+C52+D52</f>
        <v>21</v>
      </c>
      <c r="G55" s="36"/>
      <c r="H55" s="36"/>
    </row>
    <row r="56" spans="1:8" x14ac:dyDescent="0.2">
      <c r="A56" s="36"/>
      <c r="B56" s="36"/>
      <c r="C56" s="36"/>
      <c r="E56" s="36" t="s">
        <v>71</v>
      </c>
      <c r="F56" s="61" t="e">
        <f>+#REF!</f>
        <v>#REF!</v>
      </c>
      <c r="G56" s="36"/>
      <c r="H56" s="36"/>
    </row>
    <row r="57" spans="1:8" ht="13.5" thickBot="1" x14ac:dyDescent="0.25">
      <c r="A57" s="36"/>
      <c r="B57" s="36"/>
      <c r="C57" s="36"/>
      <c r="E57" s="36" t="s">
        <v>104</v>
      </c>
      <c r="F57" s="62" t="e">
        <f>ROUND(+F54/F55/F56,4)</f>
        <v>#REF!</v>
      </c>
      <c r="G57" s="36"/>
      <c r="H57" s="36"/>
    </row>
    <row r="58" spans="1:8" ht="13.5" thickTop="1" x14ac:dyDescent="0.2">
      <c r="A58" s="36"/>
      <c r="B58" s="36"/>
      <c r="C58" s="36"/>
      <c r="D58" s="36"/>
      <c r="E58" s="36"/>
      <c r="F58" s="36"/>
      <c r="G58" s="36"/>
      <c r="H58" s="36"/>
    </row>
    <row r="59" spans="1:8" x14ac:dyDescent="0.2">
      <c r="A59" s="36"/>
      <c r="B59" s="36"/>
      <c r="C59" s="36"/>
      <c r="D59" s="36"/>
      <c r="E59" s="36"/>
      <c r="F59" s="36"/>
      <c r="G59" s="36"/>
      <c r="H59" s="36"/>
    </row>
    <row r="60" spans="1:8" x14ac:dyDescent="0.2">
      <c r="A60" s="56" t="s">
        <v>91</v>
      </c>
      <c r="B60" s="56">
        <v>889111</v>
      </c>
      <c r="F60" s="36"/>
      <c r="G60" s="36"/>
      <c r="H60" s="36"/>
    </row>
    <row r="61" spans="1:8" x14ac:dyDescent="0.2">
      <c r="A61" s="56" t="s">
        <v>106</v>
      </c>
      <c r="B61" s="56" t="s">
        <v>72</v>
      </c>
      <c r="C61" s="56"/>
      <c r="D61" s="56"/>
      <c r="E61" s="56"/>
      <c r="F61" s="36"/>
      <c r="G61" s="36"/>
      <c r="H61" s="36"/>
    </row>
    <row r="62" spans="1:8" x14ac:dyDescent="0.2">
      <c r="A62" s="36"/>
      <c r="B62" s="36" t="s">
        <v>37</v>
      </c>
      <c r="C62" s="36" t="s">
        <v>341</v>
      </c>
      <c r="D62" s="36" t="s">
        <v>342</v>
      </c>
      <c r="E62" s="36" t="s">
        <v>89</v>
      </c>
      <c r="F62" s="36" t="s">
        <v>93</v>
      </c>
      <c r="G62" s="36"/>
      <c r="H62" s="36"/>
    </row>
    <row r="63" spans="1:8" x14ac:dyDescent="0.2">
      <c r="A63" s="36" t="s">
        <v>94</v>
      </c>
      <c r="B63" s="55">
        <v>3.637</v>
      </c>
      <c r="C63" s="36">
        <v>88</v>
      </c>
      <c r="D63" s="36">
        <v>0</v>
      </c>
      <c r="E63" s="36" t="e">
        <f>+D$7</f>
        <v>#REF!</v>
      </c>
      <c r="F63" s="57" t="e">
        <f t="shared" ref="F63:F70" si="6">(+C63+D63)*B63*E63</f>
        <v>#REF!</v>
      </c>
      <c r="G63" s="36"/>
      <c r="H63" s="36"/>
    </row>
    <row r="64" spans="1:8" x14ac:dyDescent="0.2">
      <c r="A64" s="36" t="s">
        <v>95</v>
      </c>
      <c r="B64" s="55">
        <v>3.444</v>
      </c>
      <c r="C64" s="36">
        <v>24</v>
      </c>
      <c r="D64" s="36">
        <v>0</v>
      </c>
      <c r="E64" s="36" t="e">
        <f t="shared" ref="E64:E70" si="7">+D$7</f>
        <v>#REF!</v>
      </c>
      <c r="F64" s="57" t="e">
        <f t="shared" si="6"/>
        <v>#REF!</v>
      </c>
      <c r="G64" s="36"/>
      <c r="H64" s="36"/>
    </row>
    <row r="65" spans="1:12" x14ac:dyDescent="0.2">
      <c r="A65" s="36" t="s">
        <v>96</v>
      </c>
      <c r="B65" s="55">
        <v>7.1920000000000002</v>
      </c>
      <c r="C65" s="36">
        <v>39</v>
      </c>
      <c r="D65" s="36">
        <v>0</v>
      </c>
      <c r="E65" s="36" t="e">
        <f t="shared" si="7"/>
        <v>#REF!</v>
      </c>
      <c r="F65" s="57" t="e">
        <f t="shared" si="6"/>
        <v>#REF!</v>
      </c>
      <c r="G65" s="36"/>
      <c r="H65" s="36"/>
    </row>
    <row r="66" spans="1:12" x14ac:dyDescent="0.2">
      <c r="A66" s="36" t="s">
        <v>97</v>
      </c>
      <c r="B66" s="55">
        <v>3.1560000000000001</v>
      </c>
      <c r="C66" s="36">
        <v>58</v>
      </c>
      <c r="D66" s="36">
        <v>0</v>
      </c>
      <c r="E66" s="36" t="e">
        <f t="shared" si="7"/>
        <v>#REF!</v>
      </c>
      <c r="F66" s="57" t="e">
        <f t="shared" si="6"/>
        <v>#REF!</v>
      </c>
      <c r="G66" s="36"/>
      <c r="H66" s="36"/>
    </row>
    <row r="67" spans="1:12" x14ac:dyDescent="0.2">
      <c r="A67" s="58" t="s">
        <v>98</v>
      </c>
      <c r="B67" s="55">
        <v>1.9119999999999999</v>
      </c>
      <c r="C67" s="36">
        <v>141</v>
      </c>
      <c r="D67" s="36">
        <v>0</v>
      </c>
      <c r="E67" s="36" t="e">
        <f t="shared" si="7"/>
        <v>#REF!</v>
      </c>
      <c r="F67" s="57" t="e">
        <f t="shared" si="6"/>
        <v>#REF!</v>
      </c>
      <c r="G67" s="36"/>
      <c r="H67" s="36"/>
    </row>
    <row r="68" spans="1:12" x14ac:dyDescent="0.2">
      <c r="A68" s="59" t="s">
        <v>99</v>
      </c>
      <c r="B68" s="55">
        <v>3.9420000000000002</v>
      </c>
      <c r="C68" s="36">
        <v>141</v>
      </c>
      <c r="D68" s="36">
        <v>0</v>
      </c>
      <c r="E68" s="36" t="e">
        <f t="shared" si="7"/>
        <v>#REF!</v>
      </c>
      <c r="F68" s="57" t="e">
        <f t="shared" si="6"/>
        <v>#REF!</v>
      </c>
      <c r="G68" s="36"/>
      <c r="H68" s="36"/>
    </row>
    <row r="69" spans="1:12" x14ac:dyDescent="0.2">
      <c r="A69" s="59" t="s">
        <v>100</v>
      </c>
      <c r="B69" s="55">
        <v>2.6909999999999998</v>
      </c>
      <c r="C69" s="36">
        <v>138</v>
      </c>
      <c r="D69" s="36">
        <v>0</v>
      </c>
      <c r="E69" s="36" t="e">
        <f t="shared" si="7"/>
        <v>#REF!</v>
      </c>
      <c r="F69" s="57" t="e">
        <f t="shared" si="6"/>
        <v>#REF!</v>
      </c>
      <c r="G69" s="36"/>
      <c r="H69" s="36"/>
    </row>
    <row r="70" spans="1:12" x14ac:dyDescent="0.2">
      <c r="A70" s="59" t="s">
        <v>101</v>
      </c>
      <c r="B70" s="55">
        <v>4.0659999999999998</v>
      </c>
      <c r="C70" s="36">
        <v>141</v>
      </c>
      <c r="D70" s="36">
        <v>0</v>
      </c>
      <c r="E70" s="36" t="e">
        <f t="shared" si="7"/>
        <v>#REF!</v>
      </c>
      <c r="F70" s="57" t="e">
        <f t="shared" si="6"/>
        <v>#REF!</v>
      </c>
      <c r="G70" s="36"/>
      <c r="H70" s="36"/>
    </row>
    <row r="71" spans="1:12" ht="13.5" thickBot="1" x14ac:dyDescent="0.25">
      <c r="A71" s="36"/>
      <c r="B71" s="36"/>
      <c r="C71" s="36"/>
      <c r="E71" s="36"/>
      <c r="F71" s="60" t="e">
        <f>SUM(F63:F70)</f>
        <v>#REF!</v>
      </c>
      <c r="G71" s="36"/>
      <c r="H71" s="36"/>
    </row>
    <row r="72" spans="1:12" ht="13.5" thickTop="1" x14ac:dyDescent="0.2">
      <c r="A72" s="36"/>
      <c r="B72" s="36"/>
      <c r="C72" s="36"/>
      <c r="E72" s="36" t="s">
        <v>103</v>
      </c>
      <c r="F72" s="36">
        <f>+C69+D69</f>
        <v>138</v>
      </c>
      <c r="G72" s="36"/>
      <c r="H72" s="36"/>
    </row>
    <row r="73" spans="1:12" x14ac:dyDescent="0.2">
      <c r="A73" s="36"/>
      <c r="B73" s="36"/>
      <c r="C73" s="36"/>
      <c r="E73" s="36" t="s">
        <v>71</v>
      </c>
      <c r="F73" s="61" t="e">
        <f>+#REF!</f>
        <v>#REF!</v>
      </c>
      <c r="G73" s="36"/>
      <c r="H73" s="36"/>
    </row>
    <row r="74" spans="1:12" ht="13.5" thickBot="1" x14ac:dyDescent="0.25">
      <c r="A74" s="36"/>
      <c r="B74" s="36"/>
      <c r="C74" s="36"/>
      <c r="E74" s="36" t="s">
        <v>104</v>
      </c>
      <c r="F74" s="62" t="e">
        <f>ROUND(+F71/F72/F73,4)</f>
        <v>#REF!</v>
      </c>
      <c r="G74" s="36"/>
      <c r="H74" s="36"/>
    </row>
    <row r="75" spans="1:12" ht="13.5" thickTop="1" x14ac:dyDescent="0.2">
      <c r="A75" s="36"/>
      <c r="C75" s="36"/>
      <c r="D75" s="36"/>
      <c r="E75" s="36"/>
      <c r="F75" s="36"/>
      <c r="G75" s="36"/>
      <c r="H75" s="36"/>
      <c r="L75" s="69"/>
    </row>
    <row r="76" spans="1:12" x14ac:dyDescent="0.2">
      <c r="A76" s="56" t="s">
        <v>91</v>
      </c>
      <c r="B76" s="56">
        <v>889112</v>
      </c>
      <c r="F76" s="36"/>
      <c r="G76" s="36"/>
      <c r="H76" s="36"/>
    </row>
    <row r="77" spans="1:12" x14ac:dyDescent="0.2">
      <c r="A77" s="56" t="s">
        <v>92</v>
      </c>
      <c r="B77" s="56" t="s">
        <v>72</v>
      </c>
      <c r="C77" s="56"/>
      <c r="D77" s="56"/>
      <c r="E77" s="56"/>
      <c r="F77" s="36"/>
      <c r="G77" s="36"/>
      <c r="H77" s="36"/>
    </row>
    <row r="78" spans="1:12" x14ac:dyDescent="0.2">
      <c r="A78" s="36"/>
      <c r="B78" s="36" t="s">
        <v>37</v>
      </c>
      <c r="C78" s="36" t="s">
        <v>339</v>
      </c>
      <c r="D78" s="36" t="s">
        <v>89</v>
      </c>
      <c r="E78" s="36" t="s">
        <v>93</v>
      </c>
      <c r="F78" s="36"/>
      <c r="G78" s="36"/>
    </row>
    <row r="79" spans="1:12" x14ac:dyDescent="0.2">
      <c r="A79" s="36" t="s">
        <v>94</v>
      </c>
      <c r="B79" s="55">
        <v>3.41</v>
      </c>
      <c r="C79" s="36">
        <v>224</v>
      </c>
      <c r="D79" s="36" t="e">
        <f t="shared" ref="D79:D86" si="8">+D$7</f>
        <v>#REF!</v>
      </c>
      <c r="E79" s="57" t="e">
        <f t="shared" ref="E79:E86" si="9">(+C79)*B79*D79</f>
        <v>#REF!</v>
      </c>
      <c r="F79" s="36"/>
      <c r="G79" s="36"/>
    </row>
    <row r="80" spans="1:12" x14ac:dyDescent="0.2">
      <c r="A80" s="36" t="s">
        <v>95</v>
      </c>
      <c r="B80" s="55">
        <v>3.2170000000000001</v>
      </c>
      <c r="C80" s="36">
        <v>60</v>
      </c>
      <c r="D80" s="36" t="e">
        <f t="shared" si="8"/>
        <v>#REF!</v>
      </c>
      <c r="E80" s="57" t="e">
        <f t="shared" si="9"/>
        <v>#REF!</v>
      </c>
      <c r="F80" s="36"/>
      <c r="G80" s="36"/>
    </row>
    <row r="81" spans="1:8" x14ac:dyDescent="0.2">
      <c r="A81" s="36" t="s">
        <v>96</v>
      </c>
      <c r="B81" s="55">
        <v>6.9649999999999999</v>
      </c>
      <c r="C81" s="36">
        <v>98</v>
      </c>
      <c r="D81" s="36" t="e">
        <f t="shared" si="8"/>
        <v>#REF!</v>
      </c>
      <c r="E81" s="57" t="e">
        <f t="shared" si="9"/>
        <v>#REF!</v>
      </c>
      <c r="F81" s="36"/>
      <c r="G81" s="36"/>
    </row>
    <row r="82" spans="1:8" x14ac:dyDescent="0.2">
      <c r="A82" s="36" t="s">
        <v>97</v>
      </c>
      <c r="B82" s="55">
        <v>2.9220000000000002</v>
      </c>
      <c r="C82" s="36">
        <v>145</v>
      </c>
      <c r="D82" s="36" t="e">
        <f t="shared" si="8"/>
        <v>#REF!</v>
      </c>
      <c r="E82" s="57" t="e">
        <f t="shared" si="9"/>
        <v>#REF!</v>
      </c>
      <c r="F82" s="36"/>
      <c r="G82" s="36"/>
    </row>
    <row r="83" spans="1:8" x14ac:dyDescent="0.2">
      <c r="A83" s="58" t="s">
        <v>98</v>
      </c>
      <c r="B83" s="55">
        <v>1.9119999999999999</v>
      </c>
      <c r="C83" s="36">
        <v>361</v>
      </c>
      <c r="D83" s="36" t="e">
        <f t="shared" si="8"/>
        <v>#REF!</v>
      </c>
      <c r="E83" s="57" t="e">
        <f t="shared" si="9"/>
        <v>#REF!</v>
      </c>
      <c r="F83" s="36"/>
      <c r="G83" s="36"/>
    </row>
    <row r="84" spans="1:8" x14ac:dyDescent="0.2">
      <c r="A84" s="59" t="s">
        <v>99</v>
      </c>
      <c r="B84" s="55">
        <v>3.9420000000000002</v>
      </c>
      <c r="C84" s="36">
        <v>358</v>
      </c>
      <c r="D84" s="36" t="e">
        <f t="shared" si="8"/>
        <v>#REF!</v>
      </c>
      <c r="E84" s="57" t="e">
        <f t="shared" si="9"/>
        <v>#REF!</v>
      </c>
      <c r="F84" s="36"/>
      <c r="G84" s="36"/>
    </row>
    <row r="85" spans="1:8" x14ac:dyDescent="0.2">
      <c r="A85" s="59" t="s">
        <v>100</v>
      </c>
      <c r="B85" s="55">
        <v>2.6909999999999998</v>
      </c>
      <c r="C85" s="36">
        <v>352</v>
      </c>
      <c r="D85" s="36" t="e">
        <f t="shared" si="8"/>
        <v>#REF!</v>
      </c>
      <c r="E85" s="57" t="e">
        <f t="shared" si="9"/>
        <v>#REF!</v>
      </c>
      <c r="F85" s="36"/>
      <c r="G85" s="36"/>
    </row>
    <row r="86" spans="1:8" x14ac:dyDescent="0.2">
      <c r="A86" s="59" t="s">
        <v>101</v>
      </c>
      <c r="B86" s="55">
        <v>3.8530000000000002</v>
      </c>
      <c r="C86" s="36">
        <v>361</v>
      </c>
      <c r="D86" s="36" t="e">
        <f t="shared" si="8"/>
        <v>#REF!</v>
      </c>
      <c r="E86" s="57" t="e">
        <f t="shared" si="9"/>
        <v>#REF!</v>
      </c>
      <c r="F86" s="36"/>
      <c r="G86" s="36"/>
    </row>
    <row r="87" spans="1:8" ht="13.5" thickBot="1" x14ac:dyDescent="0.25">
      <c r="A87" s="36"/>
      <c r="B87" s="36"/>
      <c r="C87" s="36"/>
      <c r="D87" s="36"/>
      <c r="E87" s="60" t="e">
        <f>SUM(E79:E86)</f>
        <v>#REF!</v>
      </c>
      <c r="F87" s="36"/>
      <c r="G87" s="36"/>
    </row>
    <row r="88" spans="1:8" ht="13.5" thickTop="1" x14ac:dyDescent="0.2">
      <c r="A88" s="36"/>
      <c r="B88" s="36"/>
      <c r="C88" s="36"/>
      <c r="D88" s="36" t="s">
        <v>103</v>
      </c>
      <c r="E88" s="36">
        <f>+C85</f>
        <v>352</v>
      </c>
      <c r="F88" s="36"/>
      <c r="G88" s="36"/>
    </row>
    <row r="89" spans="1:8" x14ac:dyDescent="0.2">
      <c r="A89" s="36"/>
      <c r="B89" s="36"/>
      <c r="C89" s="36"/>
      <c r="D89" s="36" t="s">
        <v>71</v>
      </c>
      <c r="E89" s="61" t="e">
        <f>+#REF!</f>
        <v>#REF!</v>
      </c>
      <c r="F89" s="36"/>
      <c r="G89" s="36"/>
    </row>
    <row r="90" spans="1:8" ht="13.5" thickBot="1" x14ac:dyDescent="0.25">
      <c r="A90" s="36"/>
      <c r="B90" s="36"/>
      <c r="C90" s="36"/>
      <c r="D90" s="36" t="s">
        <v>104</v>
      </c>
      <c r="E90" s="62" t="e">
        <f>ROUND(+E87/E88/E89,4)</f>
        <v>#REF!</v>
      </c>
      <c r="F90" s="36"/>
      <c r="G90" s="36"/>
    </row>
    <row r="91" spans="1:8" ht="13.5" thickTop="1" x14ac:dyDescent="0.2">
      <c r="A91" s="36"/>
      <c r="B91" s="36"/>
      <c r="C91" s="36"/>
      <c r="D91" s="36"/>
      <c r="E91" s="36"/>
      <c r="F91" s="36"/>
      <c r="G91" s="36"/>
      <c r="H91" s="36"/>
    </row>
    <row r="92" spans="1:8" x14ac:dyDescent="0.2">
      <c r="A92" s="56" t="s">
        <v>91</v>
      </c>
      <c r="B92" s="56">
        <v>889090</v>
      </c>
      <c r="F92" s="36"/>
      <c r="G92" s="36"/>
      <c r="H92" s="36"/>
    </row>
    <row r="93" spans="1:8" x14ac:dyDescent="0.2">
      <c r="A93" s="56" t="s">
        <v>92</v>
      </c>
      <c r="B93" s="56" t="s">
        <v>72</v>
      </c>
      <c r="C93" s="56"/>
      <c r="D93" s="56"/>
      <c r="E93" s="56"/>
      <c r="F93" s="36"/>
      <c r="G93" s="36"/>
      <c r="H93" s="36"/>
    </row>
    <row r="94" spans="1:8" x14ac:dyDescent="0.2">
      <c r="A94" s="36"/>
      <c r="B94" s="36" t="s">
        <v>37</v>
      </c>
      <c r="C94" s="36" t="s">
        <v>109</v>
      </c>
      <c r="D94" s="36" t="s">
        <v>110</v>
      </c>
      <c r="E94" s="36" t="s">
        <v>89</v>
      </c>
      <c r="F94" s="36" t="s">
        <v>93</v>
      </c>
      <c r="G94" s="36"/>
      <c r="H94" s="36"/>
    </row>
    <row r="95" spans="1:8" x14ac:dyDescent="0.2">
      <c r="A95" s="36" t="s">
        <v>94</v>
      </c>
      <c r="B95" s="55">
        <v>3.41</v>
      </c>
      <c r="C95" s="36">
        <v>9</v>
      </c>
      <c r="D95" s="36">
        <v>4</v>
      </c>
      <c r="E95" s="36" t="e">
        <f t="shared" ref="E95:E101" si="10">+D$7</f>
        <v>#REF!</v>
      </c>
      <c r="F95" s="57" t="e">
        <f t="shared" ref="F95:F101" si="11">(+C95+D95)*B95*E95</f>
        <v>#REF!</v>
      </c>
      <c r="G95" s="36"/>
      <c r="H95" s="36"/>
    </row>
    <row r="96" spans="1:8" x14ac:dyDescent="0.2">
      <c r="A96" s="36" t="s">
        <v>95</v>
      </c>
      <c r="B96" s="55">
        <v>3.2170000000000001</v>
      </c>
      <c r="C96" s="36">
        <v>2</v>
      </c>
      <c r="D96" s="36">
        <v>1</v>
      </c>
      <c r="E96" s="36" t="e">
        <f t="shared" si="10"/>
        <v>#REF!</v>
      </c>
      <c r="F96" s="57" t="e">
        <f t="shared" si="11"/>
        <v>#REF!</v>
      </c>
      <c r="G96" s="36"/>
      <c r="H96" s="36"/>
    </row>
    <row r="97" spans="1:8" x14ac:dyDescent="0.2">
      <c r="A97" s="36" t="s">
        <v>96</v>
      </c>
      <c r="B97" s="55">
        <v>6.9649999999999999</v>
      </c>
      <c r="C97" s="36">
        <v>3</v>
      </c>
      <c r="D97" s="36">
        <v>2</v>
      </c>
      <c r="E97" s="36" t="e">
        <f t="shared" si="10"/>
        <v>#REF!</v>
      </c>
      <c r="F97" s="57" t="e">
        <f t="shared" si="11"/>
        <v>#REF!</v>
      </c>
      <c r="G97" s="36"/>
      <c r="H97" s="36"/>
    </row>
    <row r="98" spans="1:8" x14ac:dyDescent="0.2">
      <c r="A98" s="36" t="s">
        <v>97</v>
      </c>
      <c r="B98" s="55">
        <v>2.9220000000000002</v>
      </c>
      <c r="C98" s="36">
        <v>5</v>
      </c>
      <c r="D98" s="36">
        <v>2</v>
      </c>
      <c r="E98" s="36" t="e">
        <f t="shared" si="10"/>
        <v>#REF!</v>
      </c>
      <c r="F98" s="57" t="e">
        <f t="shared" si="11"/>
        <v>#REF!</v>
      </c>
      <c r="G98" s="36"/>
      <c r="H98" s="36"/>
    </row>
    <row r="99" spans="1:8" x14ac:dyDescent="0.2">
      <c r="A99" s="58" t="s">
        <v>98</v>
      </c>
      <c r="B99" s="55">
        <v>1.9119999999999999</v>
      </c>
      <c r="C99" s="36">
        <v>16</v>
      </c>
      <c r="D99" s="36">
        <v>7</v>
      </c>
      <c r="E99" s="36" t="e">
        <f t="shared" si="10"/>
        <v>#REF!</v>
      </c>
      <c r="F99" s="57" t="e">
        <f t="shared" si="11"/>
        <v>#REF!</v>
      </c>
      <c r="G99" s="36"/>
      <c r="H99" s="36"/>
    </row>
    <row r="100" spans="1:8" x14ac:dyDescent="0.2">
      <c r="A100" s="59" t="s">
        <v>99</v>
      </c>
      <c r="B100" s="55">
        <v>3.9420000000000002</v>
      </c>
      <c r="C100" s="36">
        <v>16</v>
      </c>
      <c r="D100" s="36">
        <v>7</v>
      </c>
      <c r="E100" s="36" t="e">
        <f t="shared" si="10"/>
        <v>#REF!</v>
      </c>
      <c r="F100" s="57" t="e">
        <f t="shared" si="11"/>
        <v>#REF!</v>
      </c>
      <c r="G100" s="36"/>
      <c r="H100" s="36"/>
    </row>
    <row r="101" spans="1:8" x14ac:dyDescent="0.2">
      <c r="A101" s="59" t="s">
        <v>111</v>
      </c>
      <c r="B101" s="55">
        <v>3.7959999999999998</v>
      </c>
      <c r="C101" s="36">
        <v>16</v>
      </c>
      <c r="D101" s="36">
        <v>7</v>
      </c>
      <c r="E101" s="36" t="e">
        <f t="shared" si="10"/>
        <v>#REF!</v>
      </c>
      <c r="F101" s="57" t="e">
        <f t="shared" si="11"/>
        <v>#REF!</v>
      </c>
      <c r="G101" s="36"/>
      <c r="H101" s="36"/>
    </row>
    <row r="102" spans="1:8" ht="13.5" thickBot="1" x14ac:dyDescent="0.25">
      <c r="A102" s="36"/>
      <c r="B102" s="55"/>
      <c r="C102" s="36"/>
      <c r="E102" s="36"/>
      <c r="F102" s="60" t="e">
        <f>SUM(F95:F101)</f>
        <v>#REF!</v>
      </c>
      <c r="G102" s="36"/>
      <c r="H102" s="36"/>
    </row>
    <row r="103" spans="1:8" ht="13.5" thickTop="1" x14ac:dyDescent="0.2">
      <c r="A103" s="36"/>
      <c r="B103" s="36"/>
      <c r="C103" s="36"/>
      <c r="E103" s="36" t="s">
        <v>112</v>
      </c>
      <c r="F103" s="36">
        <f>+C101+D101</f>
        <v>23</v>
      </c>
      <c r="G103" s="36"/>
      <c r="H103" s="36"/>
    </row>
    <row r="104" spans="1:8" x14ac:dyDescent="0.2">
      <c r="A104" s="36"/>
      <c r="B104" s="36"/>
      <c r="C104" s="36"/>
      <c r="E104" s="36" t="s">
        <v>71</v>
      </c>
      <c r="F104" s="61" t="e">
        <f>+#REF!</f>
        <v>#REF!</v>
      </c>
      <c r="G104" s="36"/>
      <c r="H104" s="36"/>
    </row>
    <row r="105" spans="1:8" ht="13.5" thickBot="1" x14ac:dyDescent="0.25">
      <c r="A105" s="36"/>
      <c r="B105" s="36"/>
      <c r="C105" s="36"/>
      <c r="E105" s="36" t="s">
        <v>104</v>
      </c>
      <c r="F105" s="63" t="e">
        <f>ROUND(+F102/F103/F104,4)</f>
        <v>#REF!</v>
      </c>
      <c r="G105" s="36"/>
      <c r="H105" s="36"/>
    </row>
    <row r="106" spans="1:8" ht="13.5" thickTop="1" x14ac:dyDescent="0.2">
      <c r="A106" s="36"/>
      <c r="B106" s="36"/>
      <c r="C106" s="36"/>
      <c r="D106" s="36"/>
      <c r="E106" s="64"/>
      <c r="F106" s="36"/>
      <c r="G106" s="36"/>
      <c r="H106" s="36"/>
    </row>
    <row r="107" spans="1:8" x14ac:dyDescent="0.2">
      <c r="A107" s="36"/>
      <c r="B107" s="36"/>
      <c r="C107" s="36"/>
      <c r="D107" s="36"/>
      <c r="E107" s="64"/>
      <c r="F107" s="36"/>
      <c r="G107" s="36"/>
      <c r="H107" s="36"/>
    </row>
    <row r="108" spans="1:8" x14ac:dyDescent="0.2">
      <c r="A108" s="36"/>
      <c r="B108" s="36"/>
      <c r="C108" s="36"/>
      <c r="D108" s="36"/>
      <c r="E108" s="64"/>
      <c r="F108" s="36"/>
      <c r="G108" s="36"/>
      <c r="H108" s="36"/>
    </row>
    <row r="109" spans="1:8" x14ac:dyDescent="0.2">
      <c r="A109" s="56" t="s">
        <v>91</v>
      </c>
      <c r="B109" s="56">
        <v>888476</v>
      </c>
      <c r="F109" s="36"/>
      <c r="G109" s="36"/>
      <c r="H109" s="36"/>
    </row>
    <row r="110" spans="1:8" x14ac:dyDescent="0.2">
      <c r="A110" s="56" t="s">
        <v>92</v>
      </c>
      <c r="B110" s="56" t="s">
        <v>79</v>
      </c>
      <c r="C110" s="56"/>
      <c r="D110" s="56"/>
      <c r="E110" s="56"/>
      <c r="F110" s="36"/>
      <c r="G110" s="36"/>
      <c r="H110" s="36"/>
    </row>
    <row r="111" spans="1:8" x14ac:dyDescent="0.2">
      <c r="A111" s="36"/>
      <c r="B111" s="36" t="s">
        <v>37</v>
      </c>
      <c r="C111" s="36" t="s">
        <v>340</v>
      </c>
      <c r="D111" s="36"/>
      <c r="E111" s="36" t="s">
        <v>89</v>
      </c>
      <c r="F111" s="36" t="s">
        <v>93</v>
      </c>
      <c r="G111" s="36"/>
      <c r="H111" s="36"/>
    </row>
    <row r="112" spans="1:8" x14ac:dyDescent="0.2">
      <c r="A112" s="36" t="s">
        <v>94</v>
      </c>
      <c r="B112" s="55">
        <v>3.4140000000000001</v>
      </c>
      <c r="C112" s="36">
        <v>24</v>
      </c>
      <c r="D112" s="36"/>
      <c r="E112" s="36" t="e">
        <f t="shared" ref="E112:E118" si="12">+D$7</f>
        <v>#REF!</v>
      </c>
      <c r="F112" s="57" t="e">
        <f t="shared" ref="F112:F118" si="13">(+C112+D112)*B112*E112</f>
        <v>#REF!</v>
      </c>
      <c r="G112" s="36"/>
      <c r="H112" s="36"/>
    </row>
    <row r="113" spans="1:8" x14ac:dyDescent="0.2">
      <c r="A113" s="36" t="s">
        <v>95</v>
      </c>
      <c r="B113" s="55">
        <v>3.2210000000000001</v>
      </c>
      <c r="C113" s="36">
        <v>2</v>
      </c>
      <c r="D113" s="36"/>
      <c r="E113" s="36" t="e">
        <f t="shared" si="12"/>
        <v>#REF!</v>
      </c>
      <c r="F113" s="57" t="e">
        <f t="shared" si="13"/>
        <v>#REF!</v>
      </c>
      <c r="G113" s="65"/>
      <c r="H113" s="36"/>
    </row>
    <row r="114" spans="1:8" x14ac:dyDescent="0.2">
      <c r="A114" s="36" t="s">
        <v>96</v>
      </c>
      <c r="B114" s="55">
        <v>6.9690000000000003</v>
      </c>
      <c r="C114" s="36">
        <v>10</v>
      </c>
      <c r="D114" s="36"/>
      <c r="E114" s="36" t="e">
        <f t="shared" si="12"/>
        <v>#REF!</v>
      </c>
      <c r="F114" s="57" t="e">
        <f t="shared" si="13"/>
        <v>#REF!</v>
      </c>
      <c r="G114" s="66"/>
      <c r="H114" s="36"/>
    </row>
    <row r="115" spans="1:8" x14ac:dyDescent="0.2">
      <c r="A115" s="36" t="s">
        <v>97</v>
      </c>
      <c r="B115" s="55">
        <v>2.9329999999999998</v>
      </c>
      <c r="C115" s="36">
        <v>17</v>
      </c>
      <c r="D115" s="36"/>
      <c r="E115" s="36" t="e">
        <f t="shared" si="12"/>
        <v>#REF!</v>
      </c>
      <c r="F115" s="57" t="e">
        <f t="shared" si="13"/>
        <v>#REF!</v>
      </c>
      <c r="G115" s="66"/>
      <c r="H115" s="36"/>
    </row>
    <row r="116" spans="1:8" x14ac:dyDescent="0.2">
      <c r="A116" s="58" t="s">
        <v>98</v>
      </c>
      <c r="B116" s="55">
        <v>1.891</v>
      </c>
      <c r="C116" s="36">
        <v>31</v>
      </c>
      <c r="D116" s="36"/>
      <c r="E116" s="36" t="e">
        <f t="shared" si="12"/>
        <v>#REF!</v>
      </c>
      <c r="F116" s="57" t="e">
        <f t="shared" si="13"/>
        <v>#REF!</v>
      </c>
      <c r="G116" s="67"/>
      <c r="H116" s="36"/>
    </row>
    <row r="117" spans="1:8" x14ac:dyDescent="0.2">
      <c r="A117" s="59" t="s">
        <v>99</v>
      </c>
      <c r="B117" s="55">
        <v>3.9</v>
      </c>
      <c r="C117" s="36">
        <v>31</v>
      </c>
      <c r="D117" s="36"/>
      <c r="E117" s="36" t="e">
        <f t="shared" si="12"/>
        <v>#REF!</v>
      </c>
      <c r="F117" s="57" t="e">
        <f t="shared" si="13"/>
        <v>#REF!</v>
      </c>
      <c r="G117" s="66"/>
      <c r="H117" s="36"/>
    </row>
    <row r="118" spans="1:8" x14ac:dyDescent="0.2">
      <c r="A118" s="59" t="s">
        <v>111</v>
      </c>
      <c r="B118" s="55">
        <v>3.7890000000000001</v>
      </c>
      <c r="C118" s="36">
        <v>31</v>
      </c>
      <c r="D118" s="36"/>
      <c r="E118" s="36" t="e">
        <f t="shared" si="12"/>
        <v>#REF!</v>
      </c>
      <c r="F118" s="57" t="e">
        <f t="shared" si="13"/>
        <v>#REF!</v>
      </c>
      <c r="G118" s="68"/>
      <c r="H118" s="36"/>
    </row>
    <row r="119" spans="1:8" ht="13.5" thickBot="1" x14ac:dyDescent="0.25">
      <c r="A119" s="36"/>
      <c r="B119" s="55"/>
      <c r="C119" s="36"/>
      <c r="E119" s="36"/>
      <c r="F119" s="60" t="e">
        <f>SUM(F112:F118)</f>
        <v>#REF!</v>
      </c>
      <c r="G119" s="68"/>
      <c r="H119" s="36"/>
    </row>
    <row r="120" spans="1:8" ht="13.5" thickTop="1" x14ac:dyDescent="0.2">
      <c r="A120" s="36"/>
      <c r="B120" s="36"/>
      <c r="C120" s="36"/>
      <c r="E120" s="36" t="s">
        <v>112</v>
      </c>
      <c r="F120" s="36">
        <f>+C118+D118</f>
        <v>31</v>
      </c>
      <c r="G120" s="69"/>
    </row>
    <row r="121" spans="1:8" x14ac:dyDescent="0.2">
      <c r="A121" s="36"/>
      <c r="B121" s="36"/>
      <c r="C121" s="36"/>
      <c r="E121" s="36" t="s">
        <v>71</v>
      </c>
      <c r="F121" s="61" t="e">
        <f>+#REF!</f>
        <v>#REF!</v>
      </c>
    </row>
    <row r="122" spans="1:8" ht="13.5" thickBot="1" x14ac:dyDescent="0.25">
      <c r="A122" s="36"/>
      <c r="B122" s="36"/>
      <c r="C122" s="36"/>
      <c r="E122" s="36" t="s">
        <v>104</v>
      </c>
      <c r="F122" s="63" t="e">
        <f>ROUND(+F119/F120/F121,4)</f>
        <v>#REF!</v>
      </c>
    </row>
    <row r="123" spans="1:8" ht="13.5" thickTop="1" x14ac:dyDescent="0.2"/>
    <row r="124" spans="1:8" x14ac:dyDescent="0.2">
      <c r="A124" s="56" t="s">
        <v>91</v>
      </c>
      <c r="B124" s="56"/>
      <c r="F124" s="36"/>
    </row>
    <row r="125" spans="1:8" x14ac:dyDescent="0.2">
      <c r="A125" s="56" t="s">
        <v>106</v>
      </c>
      <c r="B125" s="56"/>
      <c r="D125" s="56"/>
      <c r="E125" s="56"/>
      <c r="F125" s="36"/>
    </row>
    <row r="126" spans="1:8" x14ac:dyDescent="0.2">
      <c r="A126" s="36"/>
      <c r="B126" s="36" t="s">
        <v>37</v>
      </c>
      <c r="C126" s="36" t="s">
        <v>339</v>
      </c>
      <c r="D126" s="36" t="s">
        <v>89</v>
      </c>
      <c r="E126" s="36" t="s">
        <v>93</v>
      </c>
    </row>
    <row r="127" spans="1:8" x14ac:dyDescent="0.2">
      <c r="A127" s="36" t="s">
        <v>94</v>
      </c>
      <c r="B127" s="55">
        <v>3.633</v>
      </c>
      <c r="C127" s="36">
        <v>62</v>
      </c>
      <c r="D127" s="36" t="e">
        <f>+D$7</f>
        <v>#REF!</v>
      </c>
      <c r="E127" s="57" t="e">
        <f t="shared" ref="E127:E134" si="14">(+C127)*B127*D127</f>
        <v>#REF!</v>
      </c>
    </row>
    <row r="128" spans="1:8" x14ac:dyDescent="0.2">
      <c r="A128" s="36" t="s">
        <v>95</v>
      </c>
      <c r="B128" s="55">
        <v>3.44</v>
      </c>
      <c r="C128" s="36">
        <v>17</v>
      </c>
      <c r="D128" s="36" t="e">
        <f t="shared" ref="D128:D134" si="15">+D$7</f>
        <v>#REF!</v>
      </c>
      <c r="E128" s="57" t="e">
        <f t="shared" si="14"/>
        <v>#REF!</v>
      </c>
    </row>
    <row r="129" spans="1:5" x14ac:dyDescent="0.2">
      <c r="A129" s="36" t="s">
        <v>96</v>
      </c>
      <c r="B129" s="55">
        <v>7.1879999999999997</v>
      </c>
      <c r="C129" s="36">
        <v>28</v>
      </c>
      <c r="D129" s="36" t="e">
        <f t="shared" si="15"/>
        <v>#REF!</v>
      </c>
      <c r="E129" s="57" t="e">
        <f t="shared" si="14"/>
        <v>#REF!</v>
      </c>
    </row>
    <row r="130" spans="1:5" x14ac:dyDescent="0.2">
      <c r="A130" s="36" t="s">
        <v>97</v>
      </c>
      <c r="B130" s="55">
        <v>3.145</v>
      </c>
      <c r="C130" s="36">
        <v>41</v>
      </c>
      <c r="D130" s="36" t="e">
        <f t="shared" si="15"/>
        <v>#REF!</v>
      </c>
      <c r="E130" s="57" t="e">
        <f t="shared" si="14"/>
        <v>#REF!</v>
      </c>
    </row>
    <row r="131" spans="1:5" x14ac:dyDescent="0.2">
      <c r="A131" s="58" t="s">
        <v>98</v>
      </c>
      <c r="B131" s="55">
        <v>1.9119999999999999</v>
      </c>
      <c r="C131" s="36">
        <v>102</v>
      </c>
      <c r="D131" s="36" t="e">
        <f t="shared" si="15"/>
        <v>#REF!</v>
      </c>
      <c r="E131" s="57" t="e">
        <f t="shared" si="14"/>
        <v>#REF!</v>
      </c>
    </row>
    <row r="132" spans="1:5" x14ac:dyDescent="0.2">
      <c r="A132" s="59" t="s">
        <v>99</v>
      </c>
      <c r="B132" s="55">
        <v>3.9420000000000002</v>
      </c>
      <c r="C132" s="36">
        <v>102</v>
      </c>
      <c r="D132" s="36" t="e">
        <f t="shared" si="15"/>
        <v>#REF!</v>
      </c>
      <c r="E132" s="57" t="e">
        <f t="shared" si="14"/>
        <v>#REF!</v>
      </c>
    </row>
    <row r="133" spans="1:5" x14ac:dyDescent="0.2">
      <c r="A133" s="59" t="s">
        <v>100</v>
      </c>
      <c r="B133" s="55">
        <v>2.6909999999999998</v>
      </c>
      <c r="C133" s="36">
        <v>100</v>
      </c>
      <c r="D133" s="36" t="e">
        <f t="shared" si="15"/>
        <v>#REF!</v>
      </c>
      <c r="E133" s="57" t="e">
        <f t="shared" si="14"/>
        <v>#REF!</v>
      </c>
    </row>
    <row r="134" spans="1:5" x14ac:dyDescent="0.2">
      <c r="A134" s="59" t="s">
        <v>101</v>
      </c>
      <c r="B134" s="55">
        <v>4.0759999999999996</v>
      </c>
      <c r="C134" s="36">
        <v>102</v>
      </c>
      <c r="D134" s="36" t="e">
        <f t="shared" si="15"/>
        <v>#REF!</v>
      </c>
      <c r="E134" s="57" t="e">
        <f t="shared" si="14"/>
        <v>#REF!</v>
      </c>
    </row>
    <row r="135" spans="1:5" ht="13.5" thickBot="1" x14ac:dyDescent="0.25">
      <c r="A135" s="36"/>
      <c r="B135" s="36"/>
      <c r="C135" s="36"/>
      <c r="D135" s="36"/>
      <c r="E135" s="60" t="e">
        <f>SUM(E127:E134)</f>
        <v>#REF!</v>
      </c>
    </row>
    <row r="136" spans="1:5" ht="13.5" thickTop="1" x14ac:dyDescent="0.2">
      <c r="A136" s="36"/>
      <c r="B136" s="36"/>
      <c r="C136" s="36"/>
      <c r="D136" s="36" t="s">
        <v>103</v>
      </c>
      <c r="E136" s="36" t="e">
        <f>+#REF!+C134</f>
        <v>#REF!</v>
      </c>
    </row>
    <row r="137" spans="1:5" x14ac:dyDescent="0.2">
      <c r="A137" s="36"/>
      <c r="B137" s="36"/>
      <c r="C137" s="36"/>
      <c r="D137" s="36" t="s">
        <v>71</v>
      </c>
      <c r="E137" s="61" t="e">
        <f>+#REF!</f>
        <v>#REF!</v>
      </c>
    </row>
    <row r="138" spans="1:5" ht="13.5" thickBot="1" x14ac:dyDescent="0.25">
      <c r="A138" s="36"/>
      <c r="B138" s="36"/>
      <c r="C138" s="36"/>
      <c r="D138" s="36" t="s">
        <v>104</v>
      </c>
      <c r="E138" s="62" t="e">
        <f>ROUND(+E135/E136/E137,4)</f>
        <v>#REF!</v>
      </c>
    </row>
    <row r="139" spans="1:5" ht="13.5" thickTop="1" x14ac:dyDescent="0.2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IT &amp; Pooling</vt:lpstr>
      <vt:lpstr>CES IT</vt:lpstr>
      <vt:lpstr>Mrkt East Capacity</vt:lpstr>
      <vt:lpstr>East Capacity</vt:lpstr>
      <vt:lpstr>Matrix Aug</vt:lpstr>
      <vt:lpstr>Rates</vt:lpstr>
      <vt:lpstr>Offseason Rate</vt:lpstr>
      <vt:lpstr>Special Rates</vt:lpstr>
      <vt:lpstr>Dmd Chrg Calc</vt:lpstr>
      <vt:lpstr>Basis</vt:lpstr>
      <vt:lpstr>Cashout</vt:lpstr>
      <vt:lpstr>Sheet2</vt:lpstr>
      <vt:lpstr>Transport Deal Tickets</vt:lpstr>
      <vt:lpstr>Basis!Print_Area</vt:lpstr>
      <vt:lpstr>'Matrix Aug'!Print_Area</vt:lpstr>
      <vt:lpstr>'Mrkt East Capacity'!Print_Area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2000-08-21T12:49:22Z</cp:lastPrinted>
  <dcterms:created xsi:type="dcterms:W3CDTF">1998-07-21T12:15:25Z</dcterms:created>
  <dcterms:modified xsi:type="dcterms:W3CDTF">2023-09-14T19:15:40Z</dcterms:modified>
</cp:coreProperties>
</file>