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2DFF72-890A-4CD6-A287-6ED48539663D}" xr6:coauthVersionLast="47" xr6:coauthVersionMax="47" xr10:uidLastSave="{00000000-0000-0000-0000-000000000000}"/>
  <bookViews>
    <workbookView xWindow="-120" yWindow="-120" windowWidth="38640" windowHeight="15720" tabRatio="602" activeTab="3"/>
  </bookViews>
  <sheets>
    <sheet name="Pricing Notes" sheetId="24" r:id="rId1"/>
    <sheet name="CGAS" sheetId="22" r:id="rId2"/>
    <sheet name="Pricing" sheetId="21" r:id="rId3"/>
    <sheet name="CES Retail East" sheetId="25" r:id="rId4"/>
    <sheet name="CES Retail Mrkt" sheetId="19" r:id="rId5"/>
    <sheet name="Sheet1" sheetId="28" r:id="rId6"/>
    <sheet name="Sheet2" sheetId="29" r:id="rId7"/>
  </sheets>
  <definedNames>
    <definedName name="_xlnm.Print_Area" localSheetId="3">'CES Retail East'!$A$1:$AC$72</definedName>
    <definedName name="_xlnm.Print_Area" localSheetId="4">'CES Retail Mrkt'!$A$16:$W$64</definedName>
    <definedName name="_xlnm.Print_Area" localSheetId="0">'Pricing Notes'!$A$1:$N$72</definedName>
    <definedName name="_xlnm.Print_Titles" localSheetId="5">Sheet1!$1:$1</definedName>
    <definedName name="TABLE" localSheetId="5">Sheet1!$B$2:$Q$78</definedName>
    <definedName name="TABLE_2" localSheetId="5">Sheet1!$B$2:$Q$78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/>
  <c r="T13" i="25"/>
  <c r="J14" i="25"/>
  <c r="P14" i="25"/>
  <c r="T14" i="25"/>
  <c r="J15" i="25"/>
  <c r="P15" i="25"/>
  <c r="T15" i="25"/>
  <c r="J16" i="25"/>
  <c r="P16" i="25"/>
  <c r="T16" i="25"/>
  <c r="J17" i="25"/>
  <c r="P17" i="25"/>
  <c r="T17" i="25"/>
  <c r="J18" i="25"/>
  <c r="P18" i="25"/>
  <c r="T18" i="25"/>
  <c r="J19" i="25"/>
  <c r="T19" i="25"/>
  <c r="J20" i="25"/>
  <c r="T20" i="25"/>
  <c r="J21" i="25"/>
  <c r="T21" i="25"/>
  <c r="J22" i="25"/>
  <c r="T22" i="25"/>
  <c r="J23" i="25"/>
  <c r="T23" i="25"/>
  <c r="J24" i="25"/>
  <c r="T24" i="25"/>
  <c r="J25" i="25"/>
  <c r="T25" i="25"/>
  <c r="J26" i="25"/>
  <c r="T26" i="25"/>
  <c r="R29" i="25"/>
  <c r="T29" i="25"/>
  <c r="W30" i="25"/>
  <c r="P31" i="25"/>
  <c r="T31" i="25"/>
  <c r="J32" i="25"/>
  <c r="P32" i="25"/>
  <c r="T32" i="25"/>
  <c r="P33" i="25"/>
  <c r="T33" i="25"/>
  <c r="J34" i="25"/>
  <c r="P34" i="25"/>
  <c r="T34" i="25"/>
  <c r="J35" i="25"/>
  <c r="T35" i="25"/>
  <c r="J36" i="25"/>
  <c r="T36" i="25"/>
  <c r="J37" i="25"/>
  <c r="T37" i="25"/>
  <c r="J38" i="25"/>
  <c r="R38" i="25"/>
  <c r="T38" i="25"/>
  <c r="T40" i="25"/>
  <c r="W41" i="25"/>
  <c r="J42" i="25"/>
  <c r="P42" i="25"/>
  <c r="T42" i="25"/>
  <c r="J43" i="25"/>
  <c r="P43" i="25"/>
  <c r="T43" i="25"/>
  <c r="T44" i="25"/>
  <c r="J45" i="25"/>
  <c r="T45" i="25"/>
  <c r="T46" i="25"/>
  <c r="T47" i="25"/>
  <c r="T49" i="25"/>
  <c r="W52" i="25"/>
  <c r="P53" i="25"/>
  <c r="T53" i="25"/>
  <c r="P54" i="25"/>
  <c r="T54" i="25"/>
  <c r="R55" i="25"/>
  <c r="T55" i="25"/>
  <c r="W56" i="25"/>
  <c r="J57" i="25"/>
  <c r="P57" i="25"/>
  <c r="T57" i="25"/>
  <c r="J58" i="25"/>
  <c r="P58" i="25"/>
  <c r="S58" i="25"/>
  <c r="T58" i="25"/>
  <c r="V58" i="25"/>
  <c r="J59" i="25"/>
  <c r="P59" i="25"/>
  <c r="R59" i="25"/>
  <c r="S59" i="25"/>
  <c r="T59" i="25"/>
  <c r="V59" i="25"/>
  <c r="J60" i="25"/>
  <c r="P60" i="25"/>
  <c r="T60" i="25"/>
  <c r="J61" i="25"/>
  <c r="P61" i="25"/>
  <c r="Q61" i="25"/>
  <c r="S61" i="25"/>
  <c r="T61" i="25"/>
  <c r="J62" i="25"/>
  <c r="P62" i="25"/>
  <c r="Q62" i="25"/>
  <c r="R62" i="25"/>
  <c r="S62" i="25"/>
  <c r="T62" i="25"/>
  <c r="J63" i="25"/>
  <c r="P63" i="25"/>
  <c r="T63" i="25"/>
  <c r="P64" i="25"/>
  <c r="T64" i="25"/>
  <c r="P65" i="25"/>
  <c r="T65" i="25"/>
  <c r="P66" i="25"/>
  <c r="T66" i="25"/>
  <c r="P67" i="25"/>
  <c r="T67" i="25"/>
  <c r="T68" i="25"/>
  <c r="T71" i="25"/>
  <c r="T13" i="19"/>
  <c r="T14" i="19"/>
  <c r="R15" i="19"/>
  <c r="T15" i="19"/>
  <c r="W16" i="19"/>
  <c r="J17" i="19"/>
  <c r="P17" i="19"/>
  <c r="J18" i="19"/>
  <c r="P18" i="19"/>
  <c r="J19" i="19"/>
  <c r="P19" i="19"/>
  <c r="T19" i="19"/>
  <c r="J20" i="19"/>
  <c r="P20" i="19"/>
  <c r="T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P27" i="19"/>
  <c r="T27" i="19"/>
  <c r="P28" i="19"/>
  <c r="T28" i="19"/>
  <c r="P29" i="19"/>
  <c r="T29" i="19"/>
  <c r="P30" i="19"/>
  <c r="T30" i="19"/>
  <c r="J31" i="19"/>
  <c r="P31" i="19"/>
  <c r="T31" i="19"/>
  <c r="J32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P44" i="19"/>
  <c r="T44" i="19"/>
  <c r="J45" i="19"/>
  <c r="T45" i="19"/>
  <c r="J46" i="19"/>
  <c r="P46" i="19"/>
  <c r="T46" i="19"/>
  <c r="J47" i="19"/>
  <c r="P47" i="19"/>
  <c r="T47" i="19"/>
  <c r="J48" i="19"/>
  <c r="T48" i="19"/>
  <c r="J49" i="19"/>
  <c r="T49" i="19"/>
  <c r="T50" i="19"/>
  <c r="T51" i="19"/>
  <c r="J52" i="19"/>
  <c r="P52" i="19"/>
  <c r="T52" i="19"/>
  <c r="T54" i="19"/>
  <c r="T55" i="19"/>
  <c r="T56" i="19"/>
  <c r="T57" i="19"/>
  <c r="T58" i="19"/>
  <c r="T59" i="19"/>
  <c r="J60" i="19"/>
  <c r="T60" i="19"/>
  <c r="T62" i="19"/>
  <c r="T63" i="19"/>
  <c r="T64" i="19"/>
  <c r="R65" i="19"/>
  <c r="T65" i="19"/>
  <c r="U65" i="19"/>
  <c r="W66" i="19"/>
  <c r="J67" i="19"/>
  <c r="P67" i="19"/>
  <c r="T67" i="19"/>
  <c r="T68" i="19"/>
  <c r="T71" i="19"/>
  <c r="F6" i="22"/>
  <c r="I6" i="22"/>
  <c r="K6" i="22"/>
  <c r="O6" i="22"/>
  <c r="Q6" i="22"/>
  <c r="S6" i="22"/>
  <c r="V6" i="22"/>
  <c r="A7" i="22"/>
  <c r="D7" i="22"/>
  <c r="F7" i="22"/>
  <c r="I7" i="22"/>
  <c r="K7" i="22"/>
  <c r="O7" i="22"/>
  <c r="P7" i="22"/>
  <c r="Q7" i="22"/>
  <c r="S7" i="22"/>
  <c r="V7" i="22"/>
  <c r="A8" i="22"/>
  <c r="D8" i="22"/>
  <c r="F8" i="22"/>
  <c r="I8" i="22"/>
  <c r="K8" i="22"/>
  <c r="O8" i="22"/>
  <c r="P8" i="22"/>
  <c r="Q8" i="22"/>
  <c r="S8" i="22"/>
  <c r="V8" i="22"/>
  <c r="A9" i="22"/>
  <c r="D9" i="22"/>
  <c r="F9" i="22"/>
  <c r="I9" i="22"/>
  <c r="K9" i="22"/>
  <c r="O9" i="22"/>
  <c r="P9" i="22"/>
  <c r="Q9" i="22"/>
  <c r="S9" i="22"/>
  <c r="V9" i="22"/>
  <c r="A10" i="22"/>
  <c r="D10" i="22"/>
  <c r="F10" i="22"/>
  <c r="I10" i="22"/>
  <c r="K10" i="22"/>
  <c r="O10" i="22"/>
  <c r="P10" i="22"/>
  <c r="Q10" i="22"/>
  <c r="S10" i="22"/>
  <c r="V10" i="22"/>
  <c r="A11" i="22"/>
  <c r="F11" i="22"/>
  <c r="I11" i="22"/>
  <c r="K11" i="22"/>
  <c r="O11" i="22"/>
  <c r="P11" i="22"/>
  <c r="Q11" i="22"/>
  <c r="S11" i="22"/>
  <c r="V11" i="22"/>
  <c r="A12" i="22"/>
  <c r="B12" i="22"/>
  <c r="C12" i="22"/>
  <c r="D12" i="22"/>
  <c r="F12" i="22"/>
  <c r="H12" i="22"/>
  <c r="I12" i="22"/>
  <c r="K12" i="22"/>
  <c r="O12" i="22"/>
  <c r="P12" i="22"/>
  <c r="Q12" i="22"/>
  <c r="S12" i="22"/>
  <c r="V12" i="22"/>
  <c r="A13" i="22"/>
  <c r="B13" i="22"/>
  <c r="C13" i="22"/>
  <c r="D13" i="22"/>
  <c r="F13" i="22"/>
  <c r="H13" i="22"/>
  <c r="I13" i="22"/>
  <c r="K13" i="22"/>
  <c r="O13" i="22"/>
  <c r="P13" i="22"/>
  <c r="Q13" i="22"/>
  <c r="S13" i="22"/>
  <c r="V13" i="22"/>
  <c r="A14" i="22"/>
  <c r="B14" i="22"/>
  <c r="C14" i="22"/>
  <c r="D14" i="22"/>
  <c r="F14" i="22"/>
  <c r="H14" i="22"/>
  <c r="I14" i="22"/>
  <c r="K14" i="22"/>
  <c r="O14" i="22"/>
  <c r="P14" i="22"/>
  <c r="Q14" i="22"/>
  <c r="S14" i="22"/>
  <c r="V14" i="22"/>
  <c r="A15" i="22"/>
  <c r="B15" i="22"/>
  <c r="C15" i="22"/>
  <c r="D15" i="22"/>
  <c r="F15" i="22"/>
  <c r="H15" i="22"/>
  <c r="I15" i="22"/>
  <c r="K15" i="22"/>
  <c r="O15" i="22"/>
  <c r="P15" i="22"/>
  <c r="Q15" i="22"/>
  <c r="S15" i="22"/>
  <c r="V15" i="22"/>
  <c r="A16" i="22"/>
  <c r="B16" i="22"/>
  <c r="C16" i="22"/>
  <c r="D16" i="22"/>
  <c r="F16" i="22"/>
  <c r="H16" i="22"/>
  <c r="I16" i="22"/>
  <c r="K16" i="22"/>
  <c r="O16" i="22"/>
  <c r="P16" i="22"/>
  <c r="Q16" i="22"/>
  <c r="S16" i="22"/>
  <c r="V16" i="22"/>
  <c r="A17" i="22"/>
  <c r="B17" i="22"/>
  <c r="C17" i="22"/>
  <c r="D17" i="22"/>
  <c r="F17" i="22"/>
  <c r="H17" i="22"/>
  <c r="I17" i="22"/>
  <c r="K17" i="22"/>
  <c r="O17" i="22"/>
  <c r="P17" i="22"/>
  <c r="Q17" i="22"/>
  <c r="S17" i="22"/>
  <c r="V17" i="22"/>
  <c r="A18" i="22"/>
  <c r="B18" i="22"/>
  <c r="C18" i="22"/>
  <c r="D18" i="22"/>
  <c r="F18" i="22"/>
  <c r="H18" i="22"/>
  <c r="I18" i="22"/>
  <c r="K18" i="22"/>
  <c r="O18" i="22"/>
  <c r="P18" i="22"/>
  <c r="Q18" i="22"/>
  <c r="S18" i="22"/>
  <c r="V18" i="22"/>
  <c r="A19" i="22"/>
  <c r="B19" i="22"/>
  <c r="C19" i="22"/>
  <c r="D19" i="22"/>
  <c r="F19" i="22"/>
  <c r="H19" i="22"/>
  <c r="I19" i="22"/>
  <c r="K19" i="22"/>
  <c r="O19" i="22"/>
  <c r="P19" i="22"/>
  <c r="Q19" i="22"/>
  <c r="S19" i="22"/>
  <c r="V19" i="22"/>
  <c r="A20" i="22"/>
  <c r="B20" i="22"/>
  <c r="C20" i="22"/>
  <c r="D20" i="22"/>
  <c r="F20" i="22"/>
  <c r="H20" i="22"/>
  <c r="I20" i="22"/>
  <c r="K20" i="22"/>
  <c r="O20" i="22"/>
  <c r="P20" i="22"/>
  <c r="Q20" i="22"/>
  <c r="S20" i="22"/>
  <c r="V20" i="22"/>
  <c r="A21" i="22"/>
  <c r="B21" i="22"/>
  <c r="C21" i="22"/>
  <c r="D21" i="22"/>
  <c r="F21" i="22"/>
  <c r="H21" i="22"/>
  <c r="I21" i="22"/>
  <c r="K21" i="22"/>
  <c r="O21" i="22"/>
  <c r="P21" i="22"/>
  <c r="Q21" i="22"/>
  <c r="S21" i="22"/>
  <c r="V21" i="22"/>
  <c r="A22" i="22"/>
  <c r="B22" i="22"/>
  <c r="C22" i="22"/>
  <c r="D22" i="22"/>
  <c r="F22" i="22"/>
  <c r="H22" i="22"/>
  <c r="I22" i="22"/>
  <c r="K22" i="22"/>
  <c r="O22" i="22"/>
  <c r="P22" i="22"/>
  <c r="Q22" i="22"/>
  <c r="S22" i="22"/>
  <c r="V22" i="22"/>
  <c r="A23" i="22"/>
  <c r="B23" i="22"/>
  <c r="C23" i="22"/>
  <c r="D23" i="22"/>
  <c r="F23" i="22"/>
  <c r="H23" i="22"/>
  <c r="I23" i="22"/>
  <c r="K23" i="22"/>
  <c r="O23" i="22"/>
  <c r="P23" i="22"/>
  <c r="Q23" i="22"/>
  <c r="S23" i="22"/>
  <c r="V23" i="22"/>
  <c r="A24" i="22"/>
  <c r="B24" i="22"/>
  <c r="C24" i="22"/>
  <c r="D24" i="22"/>
  <c r="F24" i="22"/>
  <c r="H24" i="22"/>
  <c r="I24" i="22"/>
  <c r="K24" i="22"/>
  <c r="O24" i="22"/>
  <c r="P24" i="22"/>
  <c r="Q24" i="22"/>
  <c r="S24" i="22"/>
  <c r="V24" i="22"/>
  <c r="A25" i="22"/>
  <c r="B25" i="22"/>
  <c r="C25" i="22"/>
  <c r="D25" i="22"/>
  <c r="F25" i="22"/>
  <c r="H25" i="22"/>
  <c r="I25" i="22"/>
  <c r="K25" i="22"/>
  <c r="O25" i="22"/>
  <c r="P25" i="22"/>
  <c r="Q25" i="22"/>
  <c r="S25" i="22"/>
  <c r="V25" i="22"/>
  <c r="A26" i="22"/>
  <c r="B26" i="22"/>
  <c r="C26" i="22"/>
  <c r="D26" i="22"/>
  <c r="F26" i="22"/>
  <c r="H26" i="22"/>
  <c r="I26" i="22"/>
  <c r="K26" i="22"/>
  <c r="O26" i="22"/>
  <c r="P26" i="22"/>
  <c r="Q26" i="22"/>
  <c r="S26" i="22"/>
  <c r="V26" i="22"/>
  <c r="A27" i="22"/>
  <c r="B27" i="22"/>
  <c r="C27" i="22"/>
  <c r="D27" i="22"/>
  <c r="F27" i="22"/>
  <c r="H27" i="22"/>
  <c r="I27" i="22"/>
  <c r="K27" i="22"/>
  <c r="O27" i="22"/>
  <c r="P27" i="22"/>
  <c r="Q27" i="22"/>
  <c r="S27" i="22"/>
  <c r="V27" i="22"/>
  <c r="A28" i="22"/>
  <c r="B28" i="22"/>
  <c r="C28" i="22"/>
  <c r="D28" i="22"/>
  <c r="F28" i="22"/>
  <c r="H28" i="22"/>
  <c r="I28" i="22"/>
  <c r="K28" i="22"/>
  <c r="O28" i="22"/>
  <c r="P28" i="22"/>
  <c r="Q28" i="22"/>
  <c r="S28" i="22"/>
  <c r="V28" i="22"/>
  <c r="A29" i="22"/>
  <c r="B29" i="22"/>
  <c r="C29" i="22"/>
  <c r="D29" i="22"/>
  <c r="F29" i="22"/>
  <c r="H29" i="22"/>
  <c r="I29" i="22"/>
  <c r="K29" i="22"/>
  <c r="O29" i="22"/>
  <c r="P29" i="22"/>
  <c r="Q29" i="22"/>
  <c r="S29" i="22"/>
  <c r="V29" i="22"/>
  <c r="A30" i="22"/>
  <c r="B30" i="22"/>
  <c r="C30" i="22"/>
  <c r="D30" i="22"/>
  <c r="F30" i="22"/>
  <c r="H30" i="22"/>
  <c r="I30" i="22"/>
  <c r="K30" i="22"/>
  <c r="O30" i="22"/>
  <c r="P30" i="22"/>
  <c r="Q30" i="22"/>
  <c r="S30" i="22"/>
  <c r="V30" i="22"/>
  <c r="Z30" i="22"/>
  <c r="A31" i="22"/>
  <c r="B31" i="22"/>
  <c r="C31" i="22"/>
  <c r="D31" i="22"/>
  <c r="F31" i="22"/>
  <c r="H31" i="22"/>
  <c r="I31" i="22"/>
  <c r="K31" i="22"/>
  <c r="O31" i="22"/>
  <c r="P31" i="22"/>
  <c r="Q31" i="22"/>
  <c r="S31" i="22"/>
  <c r="V31" i="22"/>
  <c r="Z31" i="22"/>
  <c r="A32" i="22"/>
  <c r="B32" i="22"/>
  <c r="C32" i="22"/>
  <c r="D32" i="22"/>
  <c r="F32" i="22"/>
  <c r="H32" i="22"/>
  <c r="I32" i="22"/>
  <c r="K32" i="22"/>
  <c r="O32" i="22"/>
  <c r="P32" i="22"/>
  <c r="Q32" i="22"/>
  <c r="S32" i="22"/>
  <c r="V32" i="22"/>
  <c r="Z32" i="22"/>
  <c r="A33" i="22"/>
  <c r="B33" i="22"/>
  <c r="C33" i="22"/>
  <c r="D33" i="22"/>
  <c r="F33" i="22"/>
  <c r="H33" i="22"/>
  <c r="I33" i="22"/>
  <c r="K33" i="22"/>
  <c r="O33" i="22"/>
  <c r="P33" i="22"/>
  <c r="Q33" i="22"/>
  <c r="S33" i="22"/>
  <c r="V33" i="22"/>
  <c r="Z33" i="22"/>
  <c r="A34" i="22"/>
  <c r="B34" i="22"/>
  <c r="C34" i="22"/>
  <c r="D34" i="22"/>
  <c r="F34" i="22"/>
  <c r="H34" i="22"/>
  <c r="I34" i="22"/>
  <c r="K34" i="22"/>
  <c r="O34" i="22"/>
  <c r="P34" i="22"/>
  <c r="Q34" i="22"/>
  <c r="S34" i="22"/>
  <c r="V34" i="22"/>
  <c r="Z34" i="22"/>
  <c r="A35" i="22"/>
  <c r="B35" i="22"/>
  <c r="C35" i="22"/>
  <c r="D35" i="22"/>
  <c r="F35" i="22"/>
  <c r="H35" i="22"/>
  <c r="I35" i="22"/>
  <c r="K35" i="22"/>
  <c r="O35" i="22"/>
  <c r="P35" i="22"/>
  <c r="Q35" i="22"/>
  <c r="S35" i="22"/>
  <c r="V35" i="22"/>
  <c r="Z35" i="22"/>
  <c r="A36" i="22"/>
  <c r="B36" i="22"/>
  <c r="C36" i="22"/>
  <c r="D36" i="22"/>
  <c r="F36" i="22"/>
  <c r="H36" i="22"/>
  <c r="I36" i="22"/>
  <c r="K36" i="22"/>
  <c r="O36" i="22"/>
  <c r="P36" i="22"/>
  <c r="Q36" i="22"/>
  <c r="S36" i="22"/>
  <c r="V36" i="22"/>
  <c r="Z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V38" i="22"/>
  <c r="X38" i="22"/>
  <c r="Z38" i="22"/>
  <c r="X41" i="22"/>
  <c r="C8" i="21"/>
  <c r="E8" i="21"/>
  <c r="C9" i="21"/>
  <c r="E9" i="21"/>
  <c r="I18" i="21"/>
  <c r="I22" i="21"/>
  <c r="C23" i="21"/>
  <c r="E23" i="21"/>
  <c r="I23" i="21"/>
  <c r="C24" i="21"/>
  <c r="E25" i="21"/>
  <c r="D33" i="21"/>
  <c r="C34" i="21"/>
  <c r="C35" i="21"/>
  <c r="C52" i="21"/>
  <c r="E52" i="21"/>
  <c r="G52" i="21"/>
  <c r="C54" i="21"/>
  <c r="E54" i="21"/>
  <c r="G54" i="21"/>
  <c r="E69" i="21"/>
  <c r="C74" i="21"/>
  <c r="E74" i="21"/>
  <c r="C75" i="21"/>
  <c r="E75" i="21"/>
  <c r="C86" i="21"/>
  <c r="E86" i="21"/>
  <c r="C87" i="21"/>
  <c r="E87" i="21"/>
  <c r="C98" i="21"/>
  <c r="C99" i="21"/>
  <c r="C108" i="21"/>
  <c r="C109" i="21"/>
  <c r="C127" i="21"/>
  <c r="C128" i="21"/>
  <c r="C138" i="21"/>
  <c r="C139" i="21"/>
  <c r="C149" i="21"/>
  <c r="K149" i="21"/>
  <c r="C150" i="21"/>
  <c r="K150" i="21"/>
  <c r="C172" i="21"/>
  <c r="C173" i="21"/>
  <c r="C186" i="21"/>
  <c r="C187" i="21"/>
  <c r="C194" i="21"/>
  <c r="C196" i="21"/>
  <c r="C197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</calcChain>
</file>

<file path=xl/sharedStrings.xml><?xml version="1.0" encoding="utf-8"?>
<sst xmlns="http://schemas.openxmlformats.org/spreadsheetml/2006/main" count="1675" uniqueCount="397">
  <si>
    <t>3.6280/.7537</t>
  </si>
  <si>
    <t>#020969</t>
  </si>
  <si>
    <t>3.6293/2.7055</t>
  </si>
  <si>
    <t>#020956</t>
  </si>
  <si>
    <t>3.6279/.7537</t>
  </si>
  <si>
    <t>#020970</t>
  </si>
  <si>
    <t>#020933</t>
  </si>
  <si>
    <t>#20933</t>
  </si>
  <si>
    <t>#020934</t>
  </si>
  <si>
    <t>#014041</t>
  </si>
  <si>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</si>
  <si>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</si>
  <si>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</si>
  <si>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</si>
  <si>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</si>
  <si>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</si>
  <si>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</si>
  <si>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</si>
  <si>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</si>
  <si>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</si>
  <si>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</si>
  <si>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</si>
  <si>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</si>
  <si>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</si>
  <si>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</si>
  <si>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</si>
  <si>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</si>
  <si>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</si>
  <si>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</si>
  <si>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</si>
  <si>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</si>
  <si>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</si>
  <si>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</si>
  <si>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</si>
  <si>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</si>
  <si>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</si>
  <si>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</si>
  <si>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</si>
  <si>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</si>
  <si>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</si>
  <si>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</si>
  <si>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</si>
  <si>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</si>
  <si>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</si>
  <si>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</si>
  <si>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</si>
  <si>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</si>
  <si>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</si>
  <si>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</si>
  <si>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</si>
  <si>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</si>
  <si>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</si>
  <si>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</si>
  <si>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</si>
  <si>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</si>
  <si>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</si>
  <si>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</si>
  <si>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</si>
  <si>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</si>
  <si>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</si>
  <si>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</si>
  <si>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</si>
  <si>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</si>
  <si>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M3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</si>
  <si>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</si>
  <si>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</si>
  <si>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</si>
  <si>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</si>
  <si>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</si>
  <si>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</si>
  <si>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</si>
  <si>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</si>
  <si>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</si>
  <si>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</si>
  <si>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</si>
  <si>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</si>
  <si>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</si>
  <si>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</si>
  <si>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</si>
  <si>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</si>
  <si>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</si>
  <si>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</si>
  <si>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</si>
  <si>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</si>
  <si>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</si>
  <si>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</si>
  <si>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</si>
  <si>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</si>
  <si>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</si>
  <si>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</si>
  <si>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</si>
  <si>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</si>
  <si>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</si>
  <si>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</si>
  <si>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</si>
  <si>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</si>
  <si>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</si>
  <si>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</si>
  <si>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</si>
  <si>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</si>
  <si>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</si>
  <si>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</si>
  <si>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</si>
  <si>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</si>
  <si>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</si>
  <si>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</si>
  <si>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</si>
  <si>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</si>
  <si>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</si>
  <si>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</si>
  <si>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</si>
  <si>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</si>
  <si>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</si>
  <si>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</si>
  <si>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</si>
  <si>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</si>
  <si>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</si>
  <si>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</si>
  <si>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</si>
  <si>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</si>
  <si>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</si>
  <si>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</si>
  <si>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</si>
  <si>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</si>
  <si>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</si>
  <si>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</si>
  <si>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</si>
  <si>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</si>
  <si>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</si>
  <si>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</si>
  <si>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Boston</t>
  </si>
  <si>
    <t>Texas Gas</t>
  </si>
  <si>
    <t>1247 Lebanon CNG</t>
  </si>
  <si>
    <t>FT</t>
  </si>
  <si>
    <t>Zone SL</t>
  </si>
  <si>
    <t>Zone 1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</si>
  <si>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</si>
  <si>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</si>
  <si>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</si>
  <si>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</si>
  <si>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</si>
  <si>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</si>
  <si>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</si>
  <si>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</si>
  <si>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</si>
  <si>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</si>
  <si>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</si>
  <si>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</si>
  <si>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</si>
  <si>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</si>
  <si>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</si>
  <si>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</si>
  <si>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</si>
  <si>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</si>
  <si>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</si>
  <si>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</si>
  <si>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</si>
  <si>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</si>
  <si>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</si>
  <si>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</si>
  <si>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</si>
  <si>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</si>
  <si>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</si>
  <si>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</si>
  <si>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Algo Comm</t>
  </si>
  <si>
    <t>Algo 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</si>
  <si>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</si>
  <si>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</si>
  <si>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</si>
  <si>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</si>
  <si>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</si>
  <si>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</si>
  <si>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</si>
  <si>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</si>
  <si>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</si>
  <si>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</si>
  <si>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ACTIVE #200001000039</t>
  </si>
  <si>
    <t>Dayton</t>
  </si>
  <si>
    <t>T015955</t>
  </si>
  <si>
    <t>SNAT</t>
  </si>
  <si>
    <t>AGL</t>
  </si>
  <si>
    <t>CSS</t>
  </si>
  <si>
    <t>n/a</t>
  </si>
  <si>
    <t>Deal 211642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</si>
  <si>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</si>
  <si>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</si>
  <si>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</si>
  <si>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</si>
  <si>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</si>
  <si>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</si>
  <si>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</si>
  <si>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</si>
  <si>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</si>
  <si>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</si>
  <si>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</si>
  <si>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</si>
  <si>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</si>
  <si>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</si>
  <si>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</si>
  <si>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</si>
  <si>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</si>
  <si>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</si>
  <si>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</si>
  <si>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</si>
  <si>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</si>
  <si>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</si>
  <si>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</si>
  <si>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</si>
  <si>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</si>
  <si>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</si>
  <si>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</si>
  <si>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</si>
  <si>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</si>
  <si>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</si>
  <si>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</si>
  <si>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</si>
  <si>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</si>
  <si>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</si>
  <si>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</si>
  <si>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</si>
  <si>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</si>
  <si>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</si>
  <si>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</si>
  <si>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</si>
  <si>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</si>
  <si>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</si>
  <si>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</si>
  <si>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</si>
  <si>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</si>
  <si>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</si>
  <si>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</si>
  <si>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</si>
  <si>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</si>
  <si>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</si>
  <si>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CES S-N Transport</t>
  </si>
  <si>
    <t>North Citygate</t>
  </si>
  <si>
    <t>South Citygate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</si>
  <si>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</si>
  <si>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</si>
  <si>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</si>
  <si>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</si>
  <si>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</si>
  <si>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</si>
  <si>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</si>
  <si>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</si>
  <si>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</si>
  <si>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</si>
  <si>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</si>
  <si>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</si>
  <si>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</si>
  <si>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</si>
  <si>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</si>
  <si>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</si>
  <si>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</si>
  <si>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</si>
  <si>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</si>
  <si>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</si>
  <si>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</si>
  <si>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</si>
  <si>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</si>
  <si>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</si>
  <si>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</si>
  <si>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</si>
  <si>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</si>
  <si>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</si>
  <si>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</si>
  <si>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</si>
  <si>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</si>
  <si>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</si>
  <si>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</si>
  <si>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</si>
  <si>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</si>
  <si>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</si>
  <si>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</si>
  <si>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</si>
  <si>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</si>
  <si>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</si>
  <si>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</si>
  <si>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</si>
  <si>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</si>
  <si>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</si>
  <si>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</si>
  <si>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</si>
  <si>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</si>
  <si>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</si>
  <si>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</si>
  <si>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</si>
  <si>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</si>
  <si>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</si>
  <si>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</si>
  <si>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</si>
  <si>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</si>
  <si>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</si>
  <si>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</si>
  <si>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</si>
  <si>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</si>
  <si>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</si>
  <si>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</si>
  <si>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</si>
  <si>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</si>
  <si>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</si>
  <si>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</si>
  <si>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</si>
  <si>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</si>
  <si>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</si>
  <si>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</si>
  <si>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</si>
  <si>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</si>
  <si>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</si>
  <si>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</si>
  <si>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</si>
  <si>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</si>
  <si>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</si>
  <si>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</si>
  <si>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</si>
  <si>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</si>
  <si>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</si>
  <si>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</si>
  <si>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Comment:  CES has 1,239 dt/day of South to North Space.</t>
  </si>
  <si>
    <t>Deal # 228246 for North and tiered rate.  Deal # 228234 for South all at one rate.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</si>
  <si>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</si>
  <si>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</si>
  <si>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</si>
  <si>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</si>
  <si>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</si>
  <si>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</si>
  <si>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</si>
  <si>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</si>
  <si>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</si>
  <si>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</si>
  <si>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</si>
  <si>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</si>
  <si>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</si>
  <si>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</si>
  <si>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</si>
  <si>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</si>
  <si>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</si>
  <si>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</si>
  <si>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</si>
  <si>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</si>
  <si>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</si>
  <si>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</si>
  <si>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</si>
  <si>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</si>
  <si>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</si>
  <si>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</si>
  <si>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</si>
  <si>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</si>
  <si>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</si>
  <si>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</si>
  <si>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</si>
  <si>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</si>
  <si>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</si>
  <si>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</si>
  <si>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</si>
  <si>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</si>
  <si>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Deal 228293</t>
  </si>
  <si>
    <t>ENA Trsp</t>
  </si>
  <si>
    <t>Storage Injection:</t>
  </si>
  <si>
    <t>Inj Comm</t>
  </si>
  <si>
    <t>Deal 227081, 227113</t>
  </si>
  <si>
    <t>Deal 235398</t>
  </si>
  <si>
    <t>Deal 231743</t>
  </si>
  <si>
    <t>Deal 229573, 234424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</si>
  <si>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</si>
  <si>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</si>
  <si>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</si>
  <si>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</si>
  <si>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</si>
  <si>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</si>
  <si>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</si>
  <si>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</si>
  <si>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</si>
  <si>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</si>
  <si>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</si>
  <si>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</si>
  <si>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</si>
  <si>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</si>
  <si>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Note:  CES purchased gas from ENA at CGLF Mainline (deal 202939).  ENA will buy this gas back at the CGLF Onshore Index plus $.06,</t>
  </si>
  <si>
    <t>and sell the gas back to CES at CGAS pool at CGLFOnshore Index +$.06 + variable cost from Mainline to Leach.</t>
  </si>
  <si>
    <t>ENA will buy the CGAS Pool gas back at the FOM price for CGAS.</t>
  </si>
  <si>
    <t>Deal 318748 (bookout with deal 202939)</t>
  </si>
  <si>
    <t>Volume</t>
  </si>
  <si>
    <t>Deals 318750 and 318749</t>
  </si>
  <si>
    <t>#29259</t>
  </si>
  <si>
    <t>Release to IGS For TIMET Contract</t>
  </si>
  <si>
    <t>Release ended 6/30/2000</t>
  </si>
  <si>
    <t>Texas Eastern</t>
  </si>
  <si>
    <t>NO CONTACTS FOR RETAIL</t>
  </si>
  <si>
    <t>ENA Bought 19,293 @.18 see annuity deal 327906</t>
  </si>
  <si>
    <t>#26714 ENA purchased from CES</t>
  </si>
  <si>
    <t>A05-Delmont</t>
  </si>
  <si>
    <t>E9-Young Woman Crk</t>
  </si>
  <si>
    <t>#29578</t>
  </si>
  <si>
    <t>CES East Desk Transportation Capacity for August, 2000</t>
  </si>
  <si>
    <t>CGV-10-30</t>
  </si>
  <si>
    <t>6/31/01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</si>
</sst>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2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9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4" borderId="9" xfId="0" applyNumberFormat="1" applyFont="1" applyFill="1" applyBorder="1" applyAlignment="1">
      <alignment horizontal="right"/>
    </xf>
    <xf numFmtId="165" fontId="7" fillId="5" borderId="0" xfId="0" applyNumberFormat="1" applyFont="1" applyFill="1"/>
    <xf numFmtId="10" fontId="7" fillId="5" borderId="0" xfId="3" applyNumberFormat="1" applyFont="1" applyFill="1"/>
    <xf numFmtId="165" fontId="7" fillId="5" borderId="10" xfId="0" applyNumberFormat="1" applyFont="1" applyFill="1" applyBorder="1"/>
    <xf numFmtId="165" fontId="7" fillId="5" borderId="9" xfId="0" applyNumberFormat="1" applyFont="1" applyFill="1" applyBorder="1"/>
    <xf numFmtId="191" fontId="7" fillId="5" borderId="0" xfId="3" applyNumberFormat="1" applyFont="1" applyFill="1"/>
    <xf numFmtId="165" fontId="7" fillId="5" borderId="5" xfId="0" applyNumberFormat="1" applyFont="1" applyFill="1" applyBorder="1"/>
    <xf numFmtId="165" fontId="7" fillId="5" borderId="11" xfId="0" applyNumberFormat="1" applyFont="1" applyFill="1" applyBorder="1"/>
    <xf numFmtId="38" fontId="2" fillId="5" borderId="0" xfId="0" applyNumberFormat="1" applyFont="1" applyFill="1" applyAlignment="1">
      <alignment horizontal="left"/>
    </xf>
    <xf numFmtId="0" fontId="6" fillId="5" borderId="0" xfId="0" applyFont="1" applyFill="1"/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40" fontId="2" fillId="5" borderId="0" xfId="0" applyNumberFormat="1" applyFont="1" applyFill="1" applyAlignment="1">
      <alignment horizontal="right"/>
    </xf>
    <xf numFmtId="38" fontId="2" fillId="5" borderId="0" xfId="0" quotePrefix="1" applyNumberFormat="1" applyFont="1" applyFill="1" applyAlignment="1">
      <alignment horizontal="left"/>
    </xf>
    <xf numFmtId="38" fontId="2" fillId="5" borderId="0" xfId="0" quotePrefix="1" applyNumberFormat="1" applyFont="1" applyFill="1" applyAlignment="1">
      <alignment horizontal="center"/>
    </xf>
    <xf numFmtId="38" fontId="2" fillId="5" borderId="0" xfId="0" applyNumberFormat="1" applyFont="1" applyFill="1" applyBorder="1" applyAlignment="1">
      <alignment horizontal="center"/>
    </xf>
    <xf numFmtId="0" fontId="2" fillId="5" borderId="0" xfId="0" applyFont="1" applyFill="1"/>
    <xf numFmtId="0" fontId="6" fillId="5" borderId="0" xfId="0" applyFont="1" applyFill="1" applyBorder="1"/>
    <xf numFmtId="38" fontId="2" fillId="5" borderId="0" xfId="0" applyNumberFormat="1" applyFont="1" applyFill="1" applyBorder="1" applyAlignment="1">
      <alignment horizontal="left"/>
    </xf>
    <xf numFmtId="14" fontId="2" fillId="5" borderId="0" xfId="0" applyNumberFormat="1" applyFont="1" applyFill="1" applyBorder="1" applyAlignment="1">
      <alignment horizontal="center"/>
    </xf>
    <xf numFmtId="38" fontId="2" fillId="5" borderId="0" xfId="0" quotePrefix="1" applyNumberFormat="1" applyFont="1" applyFill="1" applyBorder="1" applyAlignment="1">
      <alignment horizontal="left"/>
    </xf>
    <xf numFmtId="169" fontId="2" fillId="5" borderId="0" xfId="0" applyNumberFormat="1" applyFont="1" applyFill="1" applyBorder="1" applyAlignment="1">
      <alignment horizontal="center"/>
    </xf>
    <xf numFmtId="168" fontId="2" fillId="5" borderId="0" xfId="0" applyNumberFormat="1" applyFont="1" applyFill="1" applyBorder="1" applyAlignment="1">
      <alignment horizontal="center"/>
    </xf>
    <xf numFmtId="170" fontId="2" fillId="5" borderId="0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38" fontId="2" fillId="5" borderId="0" xfId="0" applyNumberFormat="1" applyFont="1" applyFill="1" applyBorder="1" applyAlignment="1">
      <alignment horizontal="right"/>
    </xf>
    <xf numFmtId="0" fontId="2" fillId="5" borderId="0" xfId="0" applyNumberFormat="1" applyFont="1" applyFill="1" applyBorder="1" applyAlignment="1">
      <alignment horizontal="right"/>
    </xf>
    <xf numFmtId="0" fontId="2" fillId="5" borderId="0" xfId="0" applyNumberFormat="1" applyFont="1" applyFill="1" applyBorder="1" applyAlignment="1">
      <alignment horizontal="center"/>
    </xf>
    <xf numFmtId="0" fontId="2" fillId="5" borderId="0" xfId="0" quotePrefix="1" applyNumberFormat="1" applyFont="1" applyFill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88" customWidth="1"/>
    <col min="6" max="6" width="10.42578125" style="88" customWidth="1"/>
    <col min="7" max="7" width="38.5703125" customWidth="1"/>
    <col min="8" max="9" width="11.42578125" style="88" customWidth="1"/>
  </cols>
  <sheetData>
    <row r="1" spans="1:10" x14ac:dyDescent="0.2">
      <c r="A1" s="89" t="s">
        <v>269</v>
      </c>
      <c r="B1" s="89"/>
      <c r="C1" s="89"/>
      <c r="E1" s="88" t="s">
        <v>351</v>
      </c>
    </row>
    <row r="2" spans="1:10" x14ac:dyDescent="0.2">
      <c r="E2" s="88" t="s">
        <v>352</v>
      </c>
    </row>
    <row r="3" spans="1:10" x14ac:dyDescent="0.2">
      <c r="E3" s="88" t="s">
        <v>305</v>
      </c>
    </row>
    <row r="4" spans="1:10" x14ac:dyDescent="0.2">
      <c r="E4" s="88" t="s">
        <v>302</v>
      </c>
    </row>
    <row r="5" spans="1:10" x14ac:dyDescent="0.2">
      <c r="E5" s="88" t="s">
        <v>303</v>
      </c>
    </row>
    <row r="7" spans="1:10" x14ac:dyDescent="0.2">
      <c r="D7" t="s">
        <v>299</v>
      </c>
      <c r="E7" s="88" t="s">
        <v>300</v>
      </c>
    </row>
    <row r="8" spans="1:10" x14ac:dyDescent="0.2">
      <c r="E8" s="88" t="s">
        <v>301</v>
      </c>
    </row>
    <row r="9" spans="1:10" x14ac:dyDescent="0.2">
      <c r="E9" s="88" t="s">
        <v>304</v>
      </c>
    </row>
    <row r="10" spans="1:10" x14ac:dyDescent="0.2">
      <c r="E10" s="88" t="s">
        <v>306</v>
      </c>
    </row>
    <row r="11" spans="1:10" x14ac:dyDescent="0.2">
      <c r="F11" s="88" t="s">
        <v>307</v>
      </c>
    </row>
    <row r="12" spans="1:10" x14ac:dyDescent="0.2">
      <c r="E12" s="88" t="s">
        <v>308</v>
      </c>
    </row>
    <row r="13" spans="1:10" x14ac:dyDescent="0.2">
      <c r="F13" s="88" t="s">
        <v>309</v>
      </c>
    </row>
    <row r="16" spans="1:10" x14ac:dyDescent="0.2">
      <c r="A16" s="89" t="s">
        <v>270</v>
      </c>
      <c r="B16" s="89" t="s">
        <v>324</v>
      </c>
      <c r="C16" s="89" t="s">
        <v>325</v>
      </c>
      <c r="E16" s="90" t="s">
        <v>296</v>
      </c>
      <c r="F16" s="90" t="s">
        <v>297</v>
      </c>
      <c r="G16" s="89" t="s">
        <v>271</v>
      </c>
      <c r="H16" s="90" t="s">
        <v>296</v>
      </c>
      <c r="I16" s="90" t="s">
        <v>297</v>
      </c>
      <c r="J16" s="89" t="s">
        <v>272</v>
      </c>
    </row>
    <row r="18" spans="1:10" x14ac:dyDescent="0.2">
      <c r="A18" t="s">
        <v>67</v>
      </c>
      <c r="B18" s="72">
        <v>2159</v>
      </c>
      <c r="C18">
        <v>228293</v>
      </c>
      <c r="E18" s="88">
        <v>3.1</v>
      </c>
      <c r="F18" s="88">
        <v>3.1</v>
      </c>
      <c r="G18" t="s">
        <v>298</v>
      </c>
      <c r="H18" s="88">
        <v>3.1549999999999998</v>
      </c>
      <c r="I18" s="88">
        <f>3.155+0.02</f>
        <v>3.1749999999999998</v>
      </c>
      <c r="J18" t="s">
        <v>278</v>
      </c>
    </row>
    <row r="19" spans="1:10" x14ac:dyDescent="0.2">
      <c r="A19" t="s">
        <v>326</v>
      </c>
      <c r="B19" s="72"/>
      <c r="C19">
        <v>248838</v>
      </c>
    </row>
    <row r="20" spans="1:10" x14ac:dyDescent="0.2">
      <c r="A20" t="s">
        <v>332</v>
      </c>
      <c r="B20" s="72"/>
      <c r="C20">
        <v>251539</v>
      </c>
    </row>
    <row r="21" spans="1:10" ht="14.25" customHeight="1" x14ac:dyDescent="0.2">
      <c r="B21" s="72"/>
    </row>
    <row r="22" spans="1:10" x14ac:dyDescent="0.2">
      <c r="A22" t="s">
        <v>345</v>
      </c>
      <c r="B22" s="72"/>
      <c r="G22" t="s">
        <v>346</v>
      </c>
      <c r="J22" t="s">
        <v>347</v>
      </c>
    </row>
    <row r="23" spans="1:10" x14ac:dyDescent="0.2">
      <c r="A23" t="s">
        <v>326</v>
      </c>
      <c r="B23" s="72"/>
    </row>
    <row r="24" spans="1:10" x14ac:dyDescent="0.2">
      <c r="A24" t="s">
        <v>332</v>
      </c>
      <c r="B24" s="72"/>
    </row>
    <row r="25" spans="1:10" x14ac:dyDescent="0.2">
      <c r="B25" s="72"/>
    </row>
    <row r="26" spans="1:10" x14ac:dyDescent="0.2">
      <c r="A26" t="s">
        <v>348</v>
      </c>
      <c r="B26" s="72"/>
      <c r="G26" t="s">
        <v>349</v>
      </c>
      <c r="J26" t="s">
        <v>350</v>
      </c>
    </row>
    <row r="27" spans="1:10" x14ac:dyDescent="0.2">
      <c r="A27" t="s">
        <v>326</v>
      </c>
      <c r="B27" s="72"/>
    </row>
    <row r="28" spans="1:10" x14ac:dyDescent="0.2">
      <c r="A28" t="s">
        <v>332</v>
      </c>
      <c r="B28" s="72"/>
    </row>
    <row r="29" spans="1:10" ht="14.25" customHeight="1" x14ac:dyDescent="0.2">
      <c r="B29" s="72"/>
    </row>
    <row r="30" spans="1:10" x14ac:dyDescent="0.2">
      <c r="A30" t="s">
        <v>273</v>
      </c>
      <c r="B30" s="72">
        <v>3054</v>
      </c>
      <c r="C30">
        <v>228246</v>
      </c>
      <c r="E30" s="88">
        <v>3.14</v>
      </c>
      <c r="G30" t="s">
        <v>275</v>
      </c>
      <c r="H30" s="88">
        <v>3.14</v>
      </c>
      <c r="J30" t="s">
        <v>336</v>
      </c>
    </row>
    <row r="31" spans="1:10" x14ac:dyDescent="0.2">
      <c r="A31" t="s">
        <v>326</v>
      </c>
      <c r="B31" s="72"/>
      <c r="C31">
        <v>251635</v>
      </c>
    </row>
    <row r="32" spans="1:10" x14ac:dyDescent="0.2">
      <c r="A32" t="s">
        <v>332</v>
      </c>
      <c r="B32" s="72"/>
      <c r="C32">
        <v>251633</v>
      </c>
    </row>
    <row r="33" spans="1:10" x14ac:dyDescent="0.2">
      <c r="B33" s="72"/>
    </row>
    <row r="34" spans="1:10" x14ac:dyDescent="0.2">
      <c r="A34" t="s">
        <v>274</v>
      </c>
      <c r="B34" s="72">
        <v>3960</v>
      </c>
      <c r="C34">
        <v>228234</v>
      </c>
      <c r="E34" s="88">
        <v>3.14</v>
      </c>
      <c r="G34" t="s">
        <v>275</v>
      </c>
      <c r="H34" s="88">
        <v>3.14</v>
      </c>
      <c r="J34" t="s">
        <v>276</v>
      </c>
    </row>
    <row r="35" spans="1:10" x14ac:dyDescent="0.2">
      <c r="A35" t="s">
        <v>326</v>
      </c>
      <c r="B35" s="72"/>
      <c r="C35">
        <v>251630</v>
      </c>
    </row>
    <row r="36" spans="1:10" x14ac:dyDescent="0.2">
      <c r="A36" t="s">
        <v>332</v>
      </c>
      <c r="B36" s="72"/>
      <c r="C36">
        <v>251620</v>
      </c>
    </row>
    <row r="37" spans="1:10" x14ac:dyDescent="0.2">
      <c r="B37" s="72"/>
    </row>
    <row r="38" spans="1:10" x14ac:dyDescent="0.2">
      <c r="A38" t="s">
        <v>167</v>
      </c>
      <c r="B38" s="72">
        <v>111210</v>
      </c>
      <c r="E38" s="88">
        <v>3.0350000000000001</v>
      </c>
      <c r="G38" t="s">
        <v>292</v>
      </c>
      <c r="H38" s="88">
        <v>3.0350000000000001</v>
      </c>
      <c r="J38" t="s">
        <v>341</v>
      </c>
    </row>
    <row r="39" spans="1:10" x14ac:dyDescent="0.2">
      <c r="B39" s="72"/>
    </row>
    <row r="40" spans="1:10" x14ac:dyDescent="0.2">
      <c r="A40" t="s">
        <v>277</v>
      </c>
      <c r="B40" s="72">
        <v>1665</v>
      </c>
      <c r="C40">
        <v>251753</v>
      </c>
      <c r="G40" t="s">
        <v>342</v>
      </c>
      <c r="H40" s="88">
        <f>3.035+0.02</f>
        <v>3.0550000000000002</v>
      </c>
      <c r="J40" t="s">
        <v>344</v>
      </c>
    </row>
    <row r="41" spans="1:10" x14ac:dyDescent="0.2">
      <c r="A41" t="s">
        <v>326</v>
      </c>
      <c r="B41" s="72"/>
      <c r="C41">
        <v>251755</v>
      </c>
      <c r="J41" t="s">
        <v>343</v>
      </c>
    </row>
    <row r="42" spans="1:10" x14ac:dyDescent="0.2">
      <c r="A42" t="s">
        <v>332</v>
      </c>
      <c r="B42" s="72"/>
      <c r="C42">
        <v>251757</v>
      </c>
    </row>
    <row r="43" spans="1:10" x14ac:dyDescent="0.2">
      <c r="B43" s="72"/>
    </row>
    <row r="44" spans="1:10" x14ac:dyDescent="0.2">
      <c r="A44" t="s">
        <v>247</v>
      </c>
      <c r="B44" s="72">
        <v>4717</v>
      </c>
      <c r="C44">
        <v>250260</v>
      </c>
      <c r="E44" s="88">
        <f>3.18</f>
        <v>3.18</v>
      </c>
      <c r="F44" s="88">
        <f>3.18-0.01</f>
        <v>3.1700000000000004</v>
      </c>
      <c r="G44" t="s">
        <v>279</v>
      </c>
      <c r="H44" s="88">
        <f>3.18</f>
        <v>3.18</v>
      </c>
      <c r="I44" s="88">
        <f>3.18+0.01</f>
        <v>3.19</v>
      </c>
      <c r="J44" t="s">
        <v>280</v>
      </c>
    </row>
    <row r="45" spans="1:10" x14ac:dyDescent="0.2">
      <c r="A45" t="s">
        <v>326</v>
      </c>
      <c r="B45" s="72"/>
      <c r="C45">
        <v>251295</v>
      </c>
    </row>
    <row r="46" spans="1:10" x14ac:dyDescent="0.2">
      <c r="A46" t="s">
        <v>332</v>
      </c>
      <c r="B46" s="72"/>
      <c r="C46">
        <v>251268</v>
      </c>
    </row>
    <row r="47" spans="1:10" x14ac:dyDescent="0.2">
      <c r="B47" s="72"/>
    </row>
    <row r="48" spans="1:10" x14ac:dyDescent="0.2">
      <c r="A48" t="s">
        <v>281</v>
      </c>
      <c r="B48" s="72"/>
      <c r="C48">
        <v>250257</v>
      </c>
      <c r="E48" s="88">
        <f>2.83</f>
        <v>2.83</v>
      </c>
      <c r="F48" s="88">
        <f>2.83-0.01</f>
        <v>2.8200000000000003</v>
      </c>
      <c r="G48" t="s">
        <v>282</v>
      </c>
      <c r="H48" s="88">
        <f>2.83</f>
        <v>2.83</v>
      </c>
      <c r="I48" s="88">
        <f>2.83+0.01</f>
        <v>2.84</v>
      </c>
      <c r="J48" t="s">
        <v>283</v>
      </c>
    </row>
    <row r="49" spans="1:10" x14ac:dyDescent="0.2">
      <c r="A49" t="s">
        <v>326</v>
      </c>
      <c r="B49" s="72"/>
      <c r="C49">
        <v>251732</v>
      </c>
    </row>
    <row r="50" spans="1:10" x14ac:dyDescent="0.2">
      <c r="A50" t="s">
        <v>332</v>
      </c>
      <c r="B50" s="72"/>
      <c r="C50">
        <v>251736</v>
      </c>
    </row>
    <row r="51" spans="1:10" x14ac:dyDescent="0.2">
      <c r="B51" s="72"/>
    </row>
    <row r="52" spans="1:10" x14ac:dyDescent="0.2">
      <c r="A52" t="s">
        <v>285</v>
      </c>
      <c r="B52" s="72">
        <v>2330</v>
      </c>
      <c r="C52">
        <v>229573</v>
      </c>
      <c r="G52" t="s">
        <v>353</v>
      </c>
      <c r="J52" t="s">
        <v>354</v>
      </c>
    </row>
    <row r="53" spans="1:10" x14ac:dyDescent="0.2">
      <c r="A53" t="s">
        <v>326</v>
      </c>
      <c r="B53" s="72"/>
      <c r="C53">
        <v>250281</v>
      </c>
    </row>
    <row r="54" spans="1:10" x14ac:dyDescent="0.2">
      <c r="A54" t="s">
        <v>332</v>
      </c>
      <c r="B54" s="72"/>
      <c r="C54">
        <v>250290</v>
      </c>
    </row>
    <row r="55" spans="1:10" x14ac:dyDescent="0.2">
      <c r="B55" s="72"/>
    </row>
    <row r="56" spans="1:10" x14ac:dyDescent="0.2">
      <c r="A56" t="s">
        <v>288</v>
      </c>
      <c r="B56" s="72">
        <v>145</v>
      </c>
      <c r="C56">
        <v>253490</v>
      </c>
      <c r="E56" s="88">
        <f>3.135</f>
        <v>3.1349999999999998</v>
      </c>
      <c r="F56" s="88">
        <f>3.135-0.02</f>
        <v>3.1149999999999998</v>
      </c>
      <c r="G56" t="s">
        <v>289</v>
      </c>
      <c r="H56" s="88">
        <f>3.135</f>
        <v>3.1349999999999998</v>
      </c>
      <c r="I56" s="88">
        <f>3.135+0.02</f>
        <v>3.1549999999999998</v>
      </c>
      <c r="J56" t="s">
        <v>290</v>
      </c>
    </row>
    <row r="57" spans="1:10" x14ac:dyDescent="0.2">
      <c r="B57" s="72"/>
    </row>
    <row r="58" spans="1:10" x14ac:dyDescent="0.2">
      <c r="B58" s="72"/>
    </row>
    <row r="59" spans="1:10" x14ac:dyDescent="0.2">
      <c r="B59" s="72"/>
    </row>
    <row r="60" spans="1:10" x14ac:dyDescent="0.2">
      <c r="A60" t="s">
        <v>291</v>
      </c>
      <c r="B60" s="72">
        <v>279</v>
      </c>
      <c r="C60">
        <v>253486</v>
      </c>
      <c r="G60" t="s">
        <v>284</v>
      </c>
      <c r="J60" t="s">
        <v>284</v>
      </c>
    </row>
    <row r="61" spans="1:10" x14ac:dyDescent="0.2">
      <c r="B61" s="72"/>
    </row>
    <row r="62" spans="1:10" x14ac:dyDescent="0.2">
      <c r="A62" t="s">
        <v>286</v>
      </c>
      <c r="B62" s="72">
        <v>311</v>
      </c>
      <c r="C62">
        <v>253493</v>
      </c>
      <c r="G62" t="s">
        <v>284</v>
      </c>
      <c r="J62" t="s">
        <v>284</v>
      </c>
    </row>
    <row r="63" spans="1:10" x14ac:dyDescent="0.2">
      <c r="B63" s="72"/>
      <c r="D63" t="s">
        <v>287</v>
      </c>
    </row>
    <row r="64" spans="1:10" x14ac:dyDescent="0.2">
      <c r="B64" s="72"/>
    </row>
    <row r="65" spans="1:10" x14ac:dyDescent="0.2">
      <c r="A65" t="s">
        <v>244</v>
      </c>
      <c r="B65" s="72">
        <v>2478</v>
      </c>
      <c r="C65">
        <v>250456</v>
      </c>
      <c r="G65" t="s">
        <v>284</v>
      </c>
      <c r="J65" t="s">
        <v>284</v>
      </c>
    </row>
    <row r="66" spans="1:10" x14ac:dyDescent="0.2">
      <c r="B66" s="72"/>
    </row>
    <row r="67" spans="1:10" x14ac:dyDescent="0.2">
      <c r="A67" s="89" t="s">
        <v>293</v>
      </c>
      <c r="B67" s="89"/>
      <c r="C67" s="89"/>
    </row>
    <row r="68" spans="1:10" x14ac:dyDescent="0.2">
      <c r="A68" t="s">
        <v>43</v>
      </c>
      <c r="B68" s="72">
        <v>10006</v>
      </c>
      <c r="G68" t="s">
        <v>284</v>
      </c>
      <c r="J68" t="s">
        <v>284</v>
      </c>
    </row>
    <row r="69" spans="1:10" x14ac:dyDescent="0.2">
      <c r="A69" t="s">
        <v>294</v>
      </c>
      <c r="B69" s="72">
        <v>10799</v>
      </c>
      <c r="G69" t="s">
        <v>284</v>
      </c>
      <c r="J69" t="s">
        <v>284</v>
      </c>
    </row>
    <row r="70" spans="1:10" x14ac:dyDescent="0.2">
      <c r="A70" t="s">
        <v>295</v>
      </c>
      <c r="B70" s="72"/>
      <c r="G70" t="s">
        <v>284</v>
      </c>
      <c r="J70" t="s">
        <v>284</v>
      </c>
    </row>
  </sheetData>
  <pageMargins left="0.75" right="0.75" top="1" bottom="1" header="0.5" footer="0.5"/>
  <pageSetup scale="4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activeCell="H19" sqref="H19"/>
    </sheetView>
  </sheetViews>
  <sheetFormatPr defaultRowHeight="12.75" x14ac:dyDescent="0.2"/>
  <cols>
    <col min="1" max="1" width="5.7109375" style="72" customWidth="1"/>
    <col min="2" max="2" width="11" style="72" customWidth="1"/>
    <col min="3" max="4" width="11.28515625" style="72" customWidth="1"/>
    <col min="5" max="5" width="3.28515625" style="72" customWidth="1"/>
    <col min="6" max="6" width="12.85546875" style="72" customWidth="1"/>
    <col min="7" max="7" width="4.7109375" style="72" customWidth="1"/>
    <col min="8" max="8" width="12.85546875" style="72" customWidth="1"/>
    <col min="9" max="9" width="10.42578125" style="72" customWidth="1"/>
    <col min="10" max="10" width="3.28515625" style="72" customWidth="1"/>
    <col min="11" max="11" width="12.85546875" style="72" customWidth="1"/>
    <col min="12" max="12" width="9.140625" style="72"/>
    <col min="13" max="13" width="10.5703125" style="72" customWidth="1"/>
    <col min="14" max="14" width="9.140625" style="72"/>
    <col min="15" max="15" width="11.28515625" style="72" customWidth="1"/>
    <col min="16" max="16" width="10.28515625" style="72" customWidth="1"/>
    <col min="17" max="17" width="11.140625" style="72" customWidth="1"/>
    <col min="18" max="18" width="3.5703125" style="72" customWidth="1"/>
    <col min="19" max="19" width="13" style="72" customWidth="1"/>
    <col min="20" max="20" width="4.140625" style="72" customWidth="1"/>
    <col min="21" max="21" width="12.28515625" style="72" customWidth="1"/>
    <col min="22" max="22" width="13.85546875" style="72" customWidth="1"/>
    <col min="23" max="25" width="9.140625" style="72"/>
    <col min="26" max="26" width="13.85546875" style="72" customWidth="1"/>
    <col min="27" max="16384" width="9.140625" style="72"/>
  </cols>
  <sheetData>
    <row r="2" spans="1:25" s="71" customFormat="1" x14ac:dyDescent="0.2">
      <c r="B2" s="71" t="s">
        <v>188</v>
      </c>
      <c r="C2" s="71" t="s">
        <v>189</v>
      </c>
      <c r="D2" s="71" t="s">
        <v>190</v>
      </c>
      <c r="E2" s="71" t="s">
        <v>191</v>
      </c>
      <c r="F2" s="71" t="s">
        <v>192</v>
      </c>
      <c r="G2" s="71" t="s">
        <v>193</v>
      </c>
      <c r="H2" s="71" t="s">
        <v>194</v>
      </c>
      <c r="I2" s="71" t="s">
        <v>195</v>
      </c>
      <c r="J2" s="71" t="s">
        <v>196</v>
      </c>
      <c r="K2" s="71" t="s">
        <v>197</v>
      </c>
      <c r="L2" s="71" t="s">
        <v>198</v>
      </c>
      <c r="M2" s="71" t="s">
        <v>199</v>
      </c>
      <c r="N2" s="71" t="s">
        <v>200</v>
      </c>
      <c r="O2" s="71" t="s">
        <v>201</v>
      </c>
      <c r="P2" s="71" t="s">
        <v>202</v>
      </c>
      <c r="Q2" s="71" t="s">
        <v>203</v>
      </c>
      <c r="R2" s="71" t="s">
        <v>204</v>
      </c>
      <c r="S2" s="71" t="s">
        <v>205</v>
      </c>
      <c r="T2" s="71" t="s">
        <v>206</v>
      </c>
      <c r="U2" s="71" t="s">
        <v>207</v>
      </c>
      <c r="V2" s="71" t="s">
        <v>208</v>
      </c>
      <c r="W2" s="71" t="s">
        <v>209</v>
      </c>
      <c r="X2" s="71" t="s">
        <v>210</v>
      </c>
      <c r="Y2" s="71" t="s">
        <v>211</v>
      </c>
    </row>
    <row r="3" spans="1:25" x14ac:dyDescent="0.2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</row>
    <row r="4" spans="1:25" x14ac:dyDescent="0.2">
      <c r="A4" s="71"/>
      <c r="B4" s="71"/>
      <c r="C4" s="71"/>
      <c r="D4" s="71"/>
      <c r="E4" s="71"/>
      <c r="F4" s="71" t="s">
        <v>212</v>
      </c>
      <c r="G4" s="71"/>
      <c r="H4" s="73" t="s">
        <v>213</v>
      </c>
      <c r="I4" s="74" t="s">
        <v>213</v>
      </c>
      <c r="J4" s="75"/>
      <c r="K4" s="71" t="s">
        <v>225</v>
      </c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</row>
    <row r="5" spans="1:25" x14ac:dyDescent="0.2">
      <c r="A5" s="71"/>
      <c r="B5" s="71" t="s">
        <v>214</v>
      </c>
      <c r="C5" s="71" t="s">
        <v>215</v>
      </c>
      <c r="D5" s="71" t="s">
        <v>177</v>
      </c>
      <c r="E5" s="71"/>
      <c r="F5" s="71" t="s">
        <v>216</v>
      </c>
      <c r="G5" s="71"/>
      <c r="H5" s="82" t="s">
        <v>223</v>
      </c>
      <c r="I5" s="76" t="s">
        <v>224</v>
      </c>
      <c r="J5" s="75"/>
      <c r="K5" s="71"/>
      <c r="L5" s="71"/>
      <c r="M5" s="71" t="s">
        <v>217</v>
      </c>
      <c r="N5" s="71"/>
      <c r="O5" s="73" t="s">
        <v>218</v>
      </c>
      <c r="P5" s="77" t="s">
        <v>219</v>
      </c>
      <c r="Q5" s="74" t="s">
        <v>220</v>
      </c>
      <c r="R5" s="71"/>
      <c r="S5" s="71" t="s">
        <v>226</v>
      </c>
      <c r="T5" s="71"/>
      <c r="U5" s="71" t="s">
        <v>221</v>
      </c>
      <c r="V5" s="71"/>
    </row>
    <row r="6" spans="1:25" x14ac:dyDescent="0.2">
      <c r="A6" s="71">
        <v>1</v>
      </c>
      <c r="B6" s="71">
        <v>135955</v>
      </c>
      <c r="C6" s="71">
        <v>11185</v>
      </c>
      <c r="D6" s="71">
        <v>13262</v>
      </c>
      <c r="E6" s="71"/>
      <c r="F6" s="71">
        <f>SUM(B6:D6)</f>
        <v>160402</v>
      </c>
      <c r="G6" s="71"/>
      <c r="H6" s="71">
        <v>33135</v>
      </c>
      <c r="I6" s="71">
        <f>ROUND(+H6*(1-0.02116),0)</f>
        <v>32434</v>
      </c>
      <c r="J6" s="71"/>
      <c r="K6" s="71">
        <f>+F6-I6</f>
        <v>127968</v>
      </c>
      <c r="L6" s="71"/>
      <c r="M6" s="71" t="s">
        <v>182</v>
      </c>
      <c r="N6" s="71"/>
      <c r="O6" s="78">
        <f>188693-36124</f>
        <v>152569</v>
      </c>
      <c r="P6" s="75">
        <v>36124</v>
      </c>
      <c r="Q6" s="79">
        <f>+P6+O6</f>
        <v>188693</v>
      </c>
      <c r="R6" s="71"/>
      <c r="S6" s="71">
        <f>+O6-K6</f>
        <v>24601</v>
      </c>
      <c r="T6" s="71"/>
      <c r="U6" s="80">
        <v>2.77</v>
      </c>
      <c r="V6" s="81">
        <f>+U6*S6</f>
        <v>68144.77</v>
      </c>
    </row>
    <row r="7" spans="1:25" x14ac:dyDescent="0.2">
      <c r="A7" s="71">
        <f>+A6+1</f>
        <v>2</v>
      </c>
      <c r="B7" s="71">
        <v>172800</v>
      </c>
      <c r="C7" s="71">
        <v>11168</v>
      </c>
      <c r="D7" s="71">
        <f>+D6</f>
        <v>13262</v>
      </c>
      <c r="E7" s="71"/>
      <c r="F7" s="71">
        <f t="shared" ref="F7:F34" si="0">SUM(B7:D7)</f>
        <v>197230</v>
      </c>
      <c r="G7" s="71"/>
      <c r="H7" s="71">
        <v>44907</v>
      </c>
      <c r="I7" s="71">
        <f t="shared" ref="I7:I36" si="1">ROUND(+H7*(1-0.02116),0)</f>
        <v>43957</v>
      </c>
      <c r="J7" s="71"/>
      <c r="K7" s="71">
        <f t="shared" ref="K7:K36" si="2">+F7-I7</f>
        <v>153273</v>
      </c>
      <c r="L7" s="71"/>
      <c r="M7" s="71" t="s">
        <v>182</v>
      </c>
      <c r="N7" s="71"/>
      <c r="O7" s="78">
        <f>+O6</f>
        <v>152569</v>
      </c>
      <c r="P7" s="75">
        <f>+P6</f>
        <v>36124</v>
      </c>
      <c r="Q7" s="79">
        <f t="shared" ref="Q7:Q32" si="3">+P7+O7</f>
        <v>188693</v>
      </c>
      <c r="R7" s="71"/>
      <c r="S7" s="71">
        <f t="shared" ref="S7:S34" si="4">+O7-K7</f>
        <v>-704</v>
      </c>
      <c r="T7" s="71"/>
      <c r="U7" s="80">
        <v>2.9</v>
      </c>
      <c r="V7" s="81">
        <f t="shared" ref="V7:V34" si="5">+U7*S7</f>
        <v>-2041.6</v>
      </c>
    </row>
    <row r="8" spans="1:25" x14ac:dyDescent="0.2">
      <c r="A8" s="71">
        <f t="shared" ref="A8:A34" si="6">+A7+1</f>
        <v>3</v>
      </c>
      <c r="B8" s="71">
        <v>158218</v>
      </c>
      <c r="C8" s="71">
        <v>10419</v>
      </c>
      <c r="D8" s="71">
        <f t="shared" ref="D8:D36" si="7">+D7</f>
        <v>13262</v>
      </c>
      <c r="E8" s="71"/>
      <c r="F8" s="71">
        <f t="shared" si="0"/>
        <v>181899</v>
      </c>
      <c r="G8" s="71"/>
      <c r="H8" s="71">
        <v>40994</v>
      </c>
      <c r="I8" s="71">
        <f t="shared" si="1"/>
        <v>40127</v>
      </c>
      <c r="J8" s="71"/>
      <c r="K8" s="71">
        <f t="shared" si="2"/>
        <v>141772</v>
      </c>
      <c r="L8" s="71"/>
      <c r="M8" s="71" t="s">
        <v>182</v>
      </c>
      <c r="N8" s="71"/>
      <c r="O8" s="78">
        <f t="shared" ref="O8:O32" si="8">+O7</f>
        <v>152569</v>
      </c>
      <c r="P8" s="75">
        <f t="shared" ref="P8:P32" si="9">+P7</f>
        <v>36124</v>
      </c>
      <c r="Q8" s="79">
        <f t="shared" si="3"/>
        <v>188693</v>
      </c>
      <c r="R8" s="71"/>
      <c r="S8" s="71">
        <f t="shared" si="4"/>
        <v>10797</v>
      </c>
      <c r="T8" s="71"/>
      <c r="U8" s="80">
        <v>2.9849999999999999</v>
      </c>
      <c r="V8" s="81">
        <f t="shared" si="5"/>
        <v>32229.044999999998</v>
      </c>
    </row>
    <row r="9" spans="1:25" x14ac:dyDescent="0.2">
      <c r="A9" s="71">
        <f t="shared" si="6"/>
        <v>4</v>
      </c>
      <c r="B9" s="71">
        <v>135473</v>
      </c>
      <c r="C9" s="71">
        <v>10363</v>
      </c>
      <c r="D9" s="71">
        <f t="shared" si="7"/>
        <v>13262</v>
      </c>
      <c r="E9" s="71"/>
      <c r="F9" s="71">
        <f t="shared" si="0"/>
        <v>159098</v>
      </c>
      <c r="G9" s="71"/>
      <c r="H9" s="71">
        <v>30645</v>
      </c>
      <c r="I9" s="71">
        <f t="shared" si="1"/>
        <v>29997</v>
      </c>
      <c r="J9" s="71"/>
      <c r="K9" s="71">
        <f t="shared" si="2"/>
        <v>129101</v>
      </c>
      <c r="L9" s="71"/>
      <c r="M9" s="71" t="s">
        <v>182</v>
      </c>
      <c r="N9" s="71"/>
      <c r="O9" s="78">
        <f t="shared" si="8"/>
        <v>152569</v>
      </c>
      <c r="P9" s="75">
        <f t="shared" si="9"/>
        <v>36124</v>
      </c>
      <c r="Q9" s="79">
        <f t="shared" si="3"/>
        <v>188693</v>
      </c>
      <c r="R9" s="71"/>
      <c r="S9" s="71">
        <f t="shared" si="4"/>
        <v>23468</v>
      </c>
      <c r="T9" s="71"/>
      <c r="U9" s="80">
        <v>2.92</v>
      </c>
      <c r="V9" s="81">
        <f t="shared" si="5"/>
        <v>68526.559999999998</v>
      </c>
    </row>
    <row r="10" spans="1:25" x14ac:dyDescent="0.2">
      <c r="A10" s="71">
        <f t="shared" si="6"/>
        <v>5</v>
      </c>
      <c r="B10" s="71">
        <v>130408</v>
      </c>
      <c r="C10" s="71">
        <v>10383</v>
      </c>
      <c r="D10" s="71">
        <f t="shared" si="7"/>
        <v>13262</v>
      </c>
      <c r="E10" s="71"/>
      <c r="F10" s="71">
        <f t="shared" si="0"/>
        <v>154053</v>
      </c>
      <c r="G10" s="71"/>
      <c r="H10" s="71">
        <v>36820</v>
      </c>
      <c r="I10" s="71">
        <f t="shared" si="1"/>
        <v>36041</v>
      </c>
      <c r="J10" s="71"/>
      <c r="K10" s="71">
        <f t="shared" si="2"/>
        <v>118012</v>
      </c>
      <c r="L10" s="71"/>
      <c r="M10" s="71" t="s">
        <v>182</v>
      </c>
      <c r="N10" s="71"/>
      <c r="O10" s="78">
        <f t="shared" si="8"/>
        <v>152569</v>
      </c>
      <c r="P10" s="75">
        <f t="shared" si="9"/>
        <v>36124</v>
      </c>
      <c r="Q10" s="79">
        <f t="shared" si="3"/>
        <v>188693</v>
      </c>
      <c r="R10" s="71"/>
      <c r="S10" s="71">
        <f t="shared" si="4"/>
        <v>34557</v>
      </c>
      <c r="T10" s="71"/>
      <c r="U10" s="80">
        <v>2.895</v>
      </c>
      <c r="V10" s="81">
        <f t="shared" si="5"/>
        <v>100042.515</v>
      </c>
    </row>
    <row r="11" spans="1:25" x14ac:dyDescent="0.2">
      <c r="A11" s="71">
        <f t="shared" si="6"/>
        <v>6</v>
      </c>
      <c r="B11" s="71">
        <v>0</v>
      </c>
      <c r="C11" s="71">
        <v>0</v>
      </c>
      <c r="D11" s="71">
        <v>0</v>
      </c>
      <c r="E11" s="71"/>
      <c r="F11" s="71">
        <f t="shared" si="0"/>
        <v>0</v>
      </c>
      <c r="G11" s="71"/>
      <c r="H11" s="71">
        <v>0</v>
      </c>
      <c r="I11" s="71">
        <f t="shared" si="1"/>
        <v>0</v>
      </c>
      <c r="J11" s="71"/>
      <c r="K11" s="71">
        <f t="shared" si="2"/>
        <v>0</v>
      </c>
      <c r="L11" s="71"/>
      <c r="M11" s="71" t="s">
        <v>182</v>
      </c>
      <c r="N11" s="71"/>
      <c r="O11" s="78">
        <f t="shared" si="8"/>
        <v>152569</v>
      </c>
      <c r="P11" s="75">
        <f t="shared" si="9"/>
        <v>36124</v>
      </c>
      <c r="Q11" s="79">
        <f t="shared" si="3"/>
        <v>188693</v>
      </c>
      <c r="R11" s="71"/>
      <c r="S11" s="71">
        <f t="shared" si="4"/>
        <v>152569</v>
      </c>
      <c r="T11" s="71"/>
      <c r="U11" s="80">
        <v>2.895</v>
      </c>
      <c r="V11" s="81">
        <f t="shared" si="5"/>
        <v>441687.255</v>
      </c>
    </row>
    <row r="12" spans="1:25" x14ac:dyDescent="0.2">
      <c r="A12" s="71">
        <f t="shared" si="6"/>
        <v>7</v>
      </c>
      <c r="B12" s="71">
        <f t="shared" ref="B12:B36" si="10">+B11</f>
        <v>0</v>
      </c>
      <c r="C12" s="71">
        <f t="shared" ref="C12:C36" si="11">+C11</f>
        <v>0</v>
      </c>
      <c r="D12" s="71">
        <f t="shared" si="7"/>
        <v>0</v>
      </c>
      <c r="E12" s="71"/>
      <c r="F12" s="71">
        <f t="shared" si="0"/>
        <v>0</v>
      </c>
      <c r="G12" s="71"/>
      <c r="H12" s="71">
        <f t="shared" ref="H12:H36" si="12">+H11</f>
        <v>0</v>
      </c>
      <c r="I12" s="71">
        <f t="shared" si="1"/>
        <v>0</v>
      </c>
      <c r="J12" s="71"/>
      <c r="K12" s="71">
        <f t="shared" si="2"/>
        <v>0</v>
      </c>
      <c r="L12" s="71"/>
      <c r="M12" s="71" t="s">
        <v>182</v>
      </c>
      <c r="N12" s="71"/>
      <c r="O12" s="78">
        <f t="shared" si="8"/>
        <v>152569</v>
      </c>
      <c r="P12" s="75">
        <f t="shared" si="9"/>
        <v>36124</v>
      </c>
      <c r="Q12" s="79">
        <f t="shared" si="3"/>
        <v>188693</v>
      </c>
      <c r="R12" s="71"/>
      <c r="S12" s="71">
        <f t="shared" si="4"/>
        <v>152569</v>
      </c>
      <c r="T12" s="71"/>
      <c r="U12" s="80">
        <v>2.895</v>
      </c>
      <c r="V12" s="81">
        <f t="shared" si="5"/>
        <v>441687.255</v>
      </c>
    </row>
    <row r="13" spans="1:25" x14ac:dyDescent="0.2">
      <c r="A13" s="71">
        <f t="shared" si="6"/>
        <v>8</v>
      </c>
      <c r="B13" s="71">
        <f t="shared" si="10"/>
        <v>0</v>
      </c>
      <c r="C13" s="71">
        <f t="shared" si="11"/>
        <v>0</v>
      </c>
      <c r="D13" s="71">
        <f t="shared" si="7"/>
        <v>0</v>
      </c>
      <c r="E13" s="71"/>
      <c r="F13" s="71">
        <f t="shared" si="0"/>
        <v>0</v>
      </c>
      <c r="G13" s="71"/>
      <c r="H13" s="71">
        <f t="shared" si="12"/>
        <v>0</v>
      </c>
      <c r="I13" s="71">
        <f t="shared" si="1"/>
        <v>0</v>
      </c>
      <c r="J13" s="71"/>
      <c r="K13" s="71">
        <f t="shared" si="2"/>
        <v>0</v>
      </c>
      <c r="L13" s="71"/>
      <c r="M13" s="71" t="s">
        <v>182</v>
      </c>
      <c r="N13" s="71"/>
      <c r="O13" s="78">
        <f t="shared" si="8"/>
        <v>152569</v>
      </c>
      <c r="P13" s="75">
        <f t="shared" si="9"/>
        <v>36124</v>
      </c>
      <c r="Q13" s="79">
        <f t="shared" si="3"/>
        <v>188693</v>
      </c>
      <c r="R13" s="71"/>
      <c r="S13" s="71">
        <f t="shared" si="4"/>
        <v>152569</v>
      </c>
      <c r="T13" s="71"/>
      <c r="U13" s="80">
        <v>2.93</v>
      </c>
      <c r="V13" s="81">
        <f t="shared" si="5"/>
        <v>447027.17000000004</v>
      </c>
    </row>
    <row r="14" spans="1:25" x14ac:dyDescent="0.2">
      <c r="A14" s="71">
        <f t="shared" si="6"/>
        <v>9</v>
      </c>
      <c r="B14" s="71">
        <f t="shared" si="10"/>
        <v>0</v>
      </c>
      <c r="C14" s="71">
        <f t="shared" si="11"/>
        <v>0</v>
      </c>
      <c r="D14" s="71">
        <f t="shared" si="7"/>
        <v>0</v>
      </c>
      <c r="E14" s="71"/>
      <c r="F14" s="71">
        <f t="shared" si="0"/>
        <v>0</v>
      </c>
      <c r="G14" s="71"/>
      <c r="H14" s="71">
        <f t="shared" si="12"/>
        <v>0</v>
      </c>
      <c r="I14" s="71">
        <f t="shared" si="1"/>
        <v>0</v>
      </c>
      <c r="J14" s="71"/>
      <c r="K14" s="71">
        <f t="shared" si="2"/>
        <v>0</v>
      </c>
      <c r="L14" s="71"/>
      <c r="M14" s="71" t="s">
        <v>182</v>
      </c>
      <c r="N14" s="71"/>
      <c r="O14" s="78">
        <f t="shared" si="8"/>
        <v>152569</v>
      </c>
      <c r="P14" s="75">
        <f t="shared" si="9"/>
        <v>36124</v>
      </c>
      <c r="Q14" s="79">
        <f t="shared" si="3"/>
        <v>188693</v>
      </c>
      <c r="R14" s="71"/>
      <c r="S14" s="71">
        <f t="shared" si="4"/>
        <v>152569</v>
      </c>
      <c r="T14" s="71"/>
      <c r="U14" s="80">
        <v>2.99</v>
      </c>
      <c r="V14" s="81">
        <f t="shared" si="5"/>
        <v>456181.31000000006</v>
      </c>
    </row>
    <row r="15" spans="1:25" x14ac:dyDescent="0.2">
      <c r="A15" s="71">
        <f t="shared" si="6"/>
        <v>10</v>
      </c>
      <c r="B15" s="71">
        <f t="shared" si="10"/>
        <v>0</v>
      </c>
      <c r="C15" s="71">
        <f t="shared" si="11"/>
        <v>0</v>
      </c>
      <c r="D15" s="71">
        <f t="shared" si="7"/>
        <v>0</v>
      </c>
      <c r="E15" s="71"/>
      <c r="F15" s="71">
        <f t="shared" si="0"/>
        <v>0</v>
      </c>
      <c r="G15" s="71"/>
      <c r="H15" s="71">
        <f t="shared" si="12"/>
        <v>0</v>
      </c>
      <c r="I15" s="71">
        <f t="shared" si="1"/>
        <v>0</v>
      </c>
      <c r="J15" s="71"/>
      <c r="K15" s="71">
        <f t="shared" si="2"/>
        <v>0</v>
      </c>
      <c r="L15" s="71"/>
      <c r="M15" s="71" t="s">
        <v>182</v>
      </c>
      <c r="N15" s="71"/>
      <c r="O15" s="78">
        <f t="shared" si="8"/>
        <v>152569</v>
      </c>
      <c r="P15" s="75">
        <f t="shared" si="9"/>
        <v>36124</v>
      </c>
      <c r="Q15" s="79">
        <f t="shared" si="3"/>
        <v>188693</v>
      </c>
      <c r="R15" s="71"/>
      <c r="S15" s="71">
        <f t="shared" si="4"/>
        <v>152569</v>
      </c>
      <c r="T15" s="71"/>
      <c r="U15" s="80">
        <v>2.76</v>
      </c>
      <c r="V15" s="81">
        <f t="shared" si="5"/>
        <v>421090.43999999994</v>
      </c>
    </row>
    <row r="16" spans="1:25" x14ac:dyDescent="0.2">
      <c r="A16" s="71">
        <f t="shared" si="6"/>
        <v>11</v>
      </c>
      <c r="B16" s="71">
        <f t="shared" si="10"/>
        <v>0</v>
      </c>
      <c r="C16" s="71">
        <f t="shared" si="11"/>
        <v>0</v>
      </c>
      <c r="D16" s="71">
        <f t="shared" si="7"/>
        <v>0</v>
      </c>
      <c r="E16" s="71"/>
      <c r="F16" s="71">
        <f t="shared" si="0"/>
        <v>0</v>
      </c>
      <c r="G16" s="71"/>
      <c r="H16" s="71">
        <f t="shared" si="12"/>
        <v>0</v>
      </c>
      <c r="I16" s="71">
        <f t="shared" si="1"/>
        <v>0</v>
      </c>
      <c r="J16" s="71"/>
      <c r="K16" s="71">
        <f t="shared" si="2"/>
        <v>0</v>
      </c>
      <c r="L16" s="71"/>
      <c r="M16" s="71" t="s">
        <v>182</v>
      </c>
      <c r="N16" s="71"/>
      <c r="O16" s="78">
        <f t="shared" si="8"/>
        <v>152569</v>
      </c>
      <c r="P16" s="75">
        <f t="shared" si="9"/>
        <v>36124</v>
      </c>
      <c r="Q16" s="79">
        <f t="shared" si="3"/>
        <v>188693</v>
      </c>
      <c r="R16" s="71"/>
      <c r="S16" s="71">
        <f t="shared" si="4"/>
        <v>152569</v>
      </c>
      <c r="T16" s="71"/>
      <c r="U16" s="80">
        <v>2.77</v>
      </c>
      <c r="V16" s="81">
        <f t="shared" si="5"/>
        <v>422616.13</v>
      </c>
    </row>
    <row r="17" spans="1:26" x14ac:dyDescent="0.2">
      <c r="A17" s="71">
        <f t="shared" si="6"/>
        <v>12</v>
      </c>
      <c r="B17" s="71">
        <f t="shared" si="10"/>
        <v>0</v>
      </c>
      <c r="C17" s="71">
        <f t="shared" si="11"/>
        <v>0</v>
      </c>
      <c r="D17" s="71">
        <f t="shared" si="7"/>
        <v>0</v>
      </c>
      <c r="E17" s="71"/>
      <c r="F17" s="71">
        <f t="shared" si="0"/>
        <v>0</v>
      </c>
      <c r="G17" s="71"/>
      <c r="H17" s="71">
        <f t="shared" si="12"/>
        <v>0</v>
      </c>
      <c r="I17" s="71">
        <f t="shared" si="1"/>
        <v>0</v>
      </c>
      <c r="J17" s="71"/>
      <c r="K17" s="71">
        <f t="shared" si="2"/>
        <v>0</v>
      </c>
      <c r="L17" s="71"/>
      <c r="M17" s="71" t="s">
        <v>182</v>
      </c>
      <c r="N17" s="71"/>
      <c r="O17" s="78">
        <f t="shared" si="8"/>
        <v>152569</v>
      </c>
      <c r="P17" s="75">
        <f t="shared" si="9"/>
        <v>36124</v>
      </c>
      <c r="Q17" s="79">
        <f t="shared" si="3"/>
        <v>188693</v>
      </c>
      <c r="R17" s="71"/>
      <c r="S17" s="71">
        <f t="shared" si="4"/>
        <v>152569</v>
      </c>
      <c r="T17" s="71"/>
      <c r="U17" s="80">
        <v>2.7749999999999999</v>
      </c>
      <c r="V17" s="81">
        <f t="shared" si="5"/>
        <v>423378.97499999998</v>
      </c>
    </row>
    <row r="18" spans="1:26" x14ac:dyDescent="0.2">
      <c r="A18" s="71">
        <f t="shared" si="6"/>
        <v>13</v>
      </c>
      <c r="B18" s="71">
        <f t="shared" si="10"/>
        <v>0</v>
      </c>
      <c r="C18" s="71">
        <f t="shared" si="11"/>
        <v>0</v>
      </c>
      <c r="D18" s="71">
        <f t="shared" si="7"/>
        <v>0</v>
      </c>
      <c r="E18" s="71"/>
      <c r="F18" s="71">
        <f t="shared" si="0"/>
        <v>0</v>
      </c>
      <c r="G18" s="71"/>
      <c r="H18" s="71">
        <f t="shared" si="12"/>
        <v>0</v>
      </c>
      <c r="I18" s="71">
        <f t="shared" si="1"/>
        <v>0</v>
      </c>
      <c r="J18" s="71"/>
      <c r="K18" s="71">
        <f t="shared" si="2"/>
        <v>0</v>
      </c>
      <c r="L18" s="71"/>
      <c r="M18" s="71" t="s">
        <v>182</v>
      </c>
      <c r="N18" s="71"/>
      <c r="O18" s="78">
        <f t="shared" si="8"/>
        <v>152569</v>
      </c>
      <c r="P18" s="75">
        <f t="shared" si="9"/>
        <v>36124</v>
      </c>
      <c r="Q18" s="79">
        <f t="shared" si="3"/>
        <v>188693</v>
      </c>
      <c r="R18" s="71"/>
      <c r="S18" s="71">
        <f t="shared" si="4"/>
        <v>152569</v>
      </c>
      <c r="T18" s="71"/>
      <c r="U18" s="80">
        <v>2.7749999999999999</v>
      </c>
      <c r="V18" s="81">
        <f t="shared" si="5"/>
        <v>423378.97499999998</v>
      </c>
    </row>
    <row r="19" spans="1:26" x14ac:dyDescent="0.2">
      <c r="A19" s="71">
        <f t="shared" si="6"/>
        <v>14</v>
      </c>
      <c r="B19" s="71">
        <f t="shared" si="10"/>
        <v>0</v>
      </c>
      <c r="C19" s="71">
        <f t="shared" si="11"/>
        <v>0</v>
      </c>
      <c r="D19" s="71">
        <f t="shared" si="7"/>
        <v>0</v>
      </c>
      <c r="E19" s="71"/>
      <c r="F19" s="71">
        <f t="shared" si="0"/>
        <v>0</v>
      </c>
      <c r="G19" s="71"/>
      <c r="H19" s="71">
        <f t="shared" si="12"/>
        <v>0</v>
      </c>
      <c r="I19" s="71">
        <f t="shared" si="1"/>
        <v>0</v>
      </c>
      <c r="J19" s="71"/>
      <c r="K19" s="71">
        <f t="shared" si="2"/>
        <v>0</v>
      </c>
      <c r="L19" s="71"/>
      <c r="M19" s="71" t="s">
        <v>182</v>
      </c>
      <c r="N19" s="71"/>
      <c r="O19" s="78">
        <f t="shared" si="8"/>
        <v>152569</v>
      </c>
      <c r="P19" s="75">
        <f t="shared" si="9"/>
        <v>36124</v>
      </c>
      <c r="Q19" s="79">
        <f t="shared" si="3"/>
        <v>188693</v>
      </c>
      <c r="R19" s="71"/>
      <c r="S19" s="71">
        <f t="shared" si="4"/>
        <v>152569</v>
      </c>
      <c r="T19" s="71"/>
      <c r="U19" s="80">
        <v>2.7749999999999999</v>
      </c>
      <c r="V19" s="81">
        <f t="shared" si="5"/>
        <v>423378.97499999998</v>
      </c>
    </row>
    <row r="20" spans="1:26" x14ac:dyDescent="0.2">
      <c r="A20" s="71">
        <f t="shared" si="6"/>
        <v>15</v>
      </c>
      <c r="B20" s="71">
        <f t="shared" si="10"/>
        <v>0</v>
      </c>
      <c r="C20" s="71">
        <f t="shared" si="11"/>
        <v>0</v>
      </c>
      <c r="D20" s="71">
        <f t="shared" si="7"/>
        <v>0</v>
      </c>
      <c r="E20" s="71"/>
      <c r="F20" s="71">
        <f t="shared" si="0"/>
        <v>0</v>
      </c>
      <c r="G20" s="71"/>
      <c r="H20" s="71">
        <f t="shared" si="12"/>
        <v>0</v>
      </c>
      <c r="I20" s="71">
        <f t="shared" si="1"/>
        <v>0</v>
      </c>
      <c r="J20" s="71"/>
      <c r="K20" s="71">
        <f t="shared" si="2"/>
        <v>0</v>
      </c>
      <c r="L20" s="71"/>
      <c r="M20" s="71" t="s">
        <v>182</v>
      </c>
      <c r="N20" s="71"/>
      <c r="O20" s="78">
        <f t="shared" si="8"/>
        <v>152569</v>
      </c>
      <c r="P20" s="75">
        <f t="shared" si="9"/>
        <v>36124</v>
      </c>
      <c r="Q20" s="79">
        <f t="shared" si="3"/>
        <v>188693</v>
      </c>
      <c r="R20" s="71"/>
      <c r="S20" s="71">
        <f t="shared" si="4"/>
        <v>152569</v>
      </c>
      <c r="T20" s="71"/>
      <c r="U20" s="80">
        <v>2.7450000000000001</v>
      </c>
      <c r="V20" s="81">
        <f t="shared" si="5"/>
        <v>418801.90500000003</v>
      </c>
    </row>
    <row r="21" spans="1:26" x14ac:dyDescent="0.2">
      <c r="A21" s="71">
        <f t="shared" si="6"/>
        <v>16</v>
      </c>
      <c r="B21" s="71">
        <f t="shared" si="10"/>
        <v>0</v>
      </c>
      <c r="C21" s="71">
        <f t="shared" si="11"/>
        <v>0</v>
      </c>
      <c r="D21" s="71">
        <f t="shared" si="7"/>
        <v>0</v>
      </c>
      <c r="E21" s="71"/>
      <c r="F21" s="71">
        <f t="shared" si="0"/>
        <v>0</v>
      </c>
      <c r="G21" s="71"/>
      <c r="H21" s="71">
        <f t="shared" si="12"/>
        <v>0</v>
      </c>
      <c r="I21" s="71">
        <f t="shared" si="1"/>
        <v>0</v>
      </c>
      <c r="J21" s="71"/>
      <c r="K21" s="71">
        <f t="shared" si="2"/>
        <v>0</v>
      </c>
      <c r="L21" s="71"/>
      <c r="M21" s="71" t="s">
        <v>182</v>
      </c>
      <c r="N21" s="71"/>
      <c r="O21" s="78">
        <f t="shared" si="8"/>
        <v>152569</v>
      </c>
      <c r="P21" s="75">
        <f t="shared" si="9"/>
        <v>36124</v>
      </c>
      <c r="Q21" s="79">
        <f t="shared" si="3"/>
        <v>188693</v>
      </c>
      <c r="R21" s="71"/>
      <c r="S21" s="71">
        <f t="shared" si="4"/>
        <v>152569</v>
      </c>
      <c r="T21" s="71"/>
      <c r="U21" s="80">
        <v>2.7549999999999999</v>
      </c>
      <c r="V21" s="81">
        <f t="shared" si="5"/>
        <v>420327.59499999997</v>
      </c>
    </row>
    <row r="22" spans="1:26" x14ac:dyDescent="0.2">
      <c r="A22" s="71">
        <f t="shared" si="6"/>
        <v>17</v>
      </c>
      <c r="B22" s="71">
        <f t="shared" si="10"/>
        <v>0</v>
      </c>
      <c r="C22" s="71">
        <f t="shared" si="11"/>
        <v>0</v>
      </c>
      <c r="D22" s="71">
        <f t="shared" si="7"/>
        <v>0</v>
      </c>
      <c r="E22" s="71"/>
      <c r="F22" s="71">
        <f t="shared" si="0"/>
        <v>0</v>
      </c>
      <c r="G22" s="71"/>
      <c r="H22" s="71">
        <f t="shared" si="12"/>
        <v>0</v>
      </c>
      <c r="I22" s="71">
        <f t="shared" si="1"/>
        <v>0</v>
      </c>
      <c r="J22" s="71"/>
      <c r="K22" s="71">
        <f t="shared" si="2"/>
        <v>0</v>
      </c>
      <c r="L22" s="71"/>
      <c r="M22" s="71" t="s">
        <v>182</v>
      </c>
      <c r="N22" s="71"/>
      <c r="O22" s="78">
        <f t="shared" si="8"/>
        <v>152569</v>
      </c>
      <c r="P22" s="75">
        <f t="shared" si="9"/>
        <v>36124</v>
      </c>
      <c r="Q22" s="79">
        <f t="shared" si="3"/>
        <v>188693</v>
      </c>
      <c r="R22" s="71"/>
      <c r="S22" s="71">
        <f t="shared" si="4"/>
        <v>152569</v>
      </c>
      <c r="T22" s="71"/>
      <c r="U22" s="80">
        <v>2.7850000000000001</v>
      </c>
      <c r="V22" s="81">
        <f t="shared" si="5"/>
        <v>424904.66500000004</v>
      </c>
    </row>
    <row r="23" spans="1:26" x14ac:dyDescent="0.2">
      <c r="A23" s="71">
        <f t="shared" si="6"/>
        <v>18</v>
      </c>
      <c r="B23" s="71">
        <f t="shared" si="10"/>
        <v>0</v>
      </c>
      <c r="C23" s="71">
        <f t="shared" si="11"/>
        <v>0</v>
      </c>
      <c r="D23" s="71">
        <f t="shared" si="7"/>
        <v>0</v>
      </c>
      <c r="E23" s="71"/>
      <c r="F23" s="71">
        <f t="shared" si="0"/>
        <v>0</v>
      </c>
      <c r="G23" s="71"/>
      <c r="H23" s="71">
        <f t="shared" si="12"/>
        <v>0</v>
      </c>
      <c r="I23" s="71">
        <f t="shared" si="1"/>
        <v>0</v>
      </c>
      <c r="J23" s="71"/>
      <c r="K23" s="71">
        <f t="shared" si="2"/>
        <v>0</v>
      </c>
      <c r="L23" s="71"/>
      <c r="M23" s="71" t="s">
        <v>182</v>
      </c>
      <c r="N23" s="71"/>
      <c r="O23" s="78">
        <f t="shared" si="8"/>
        <v>152569</v>
      </c>
      <c r="P23" s="75">
        <f t="shared" si="9"/>
        <v>36124</v>
      </c>
      <c r="Q23" s="79">
        <f t="shared" si="3"/>
        <v>188693</v>
      </c>
      <c r="R23" s="71"/>
      <c r="S23" s="71">
        <f t="shared" si="4"/>
        <v>152569</v>
      </c>
      <c r="T23" s="71"/>
      <c r="U23" s="80">
        <v>2.79</v>
      </c>
      <c r="V23" s="81">
        <f t="shared" si="5"/>
        <v>425667.51</v>
      </c>
    </row>
    <row r="24" spans="1:26" x14ac:dyDescent="0.2">
      <c r="A24" s="71">
        <f t="shared" si="6"/>
        <v>19</v>
      </c>
      <c r="B24" s="71">
        <f t="shared" si="10"/>
        <v>0</v>
      </c>
      <c r="C24" s="71">
        <f t="shared" si="11"/>
        <v>0</v>
      </c>
      <c r="D24" s="71">
        <f t="shared" si="7"/>
        <v>0</v>
      </c>
      <c r="E24" s="71"/>
      <c r="F24" s="71">
        <f t="shared" si="0"/>
        <v>0</v>
      </c>
      <c r="G24" s="71"/>
      <c r="H24" s="71">
        <f t="shared" si="12"/>
        <v>0</v>
      </c>
      <c r="I24" s="71">
        <f t="shared" si="1"/>
        <v>0</v>
      </c>
      <c r="J24" s="71"/>
      <c r="K24" s="71">
        <f t="shared" si="2"/>
        <v>0</v>
      </c>
      <c r="L24" s="71"/>
      <c r="M24" s="71" t="s">
        <v>182</v>
      </c>
      <c r="N24" s="71"/>
      <c r="O24" s="78">
        <f t="shared" si="8"/>
        <v>152569</v>
      </c>
      <c r="P24" s="75">
        <f t="shared" si="9"/>
        <v>36124</v>
      </c>
      <c r="Q24" s="79">
        <f t="shared" si="3"/>
        <v>188693</v>
      </c>
      <c r="R24" s="71"/>
      <c r="S24" s="71">
        <f t="shared" si="4"/>
        <v>152569</v>
      </c>
      <c r="T24" s="71"/>
      <c r="U24" s="80">
        <v>2.78</v>
      </c>
      <c r="V24" s="81">
        <f t="shared" si="5"/>
        <v>424141.81999999995</v>
      </c>
    </row>
    <row r="25" spans="1:26" x14ac:dyDescent="0.2">
      <c r="A25" s="71">
        <f t="shared" si="6"/>
        <v>20</v>
      </c>
      <c r="B25" s="71">
        <f t="shared" si="10"/>
        <v>0</v>
      </c>
      <c r="C25" s="71">
        <f t="shared" si="11"/>
        <v>0</v>
      </c>
      <c r="D25" s="71">
        <f t="shared" si="7"/>
        <v>0</v>
      </c>
      <c r="E25" s="71"/>
      <c r="F25" s="71">
        <f t="shared" si="0"/>
        <v>0</v>
      </c>
      <c r="G25" s="71"/>
      <c r="H25" s="71">
        <f t="shared" si="12"/>
        <v>0</v>
      </c>
      <c r="I25" s="71">
        <f t="shared" si="1"/>
        <v>0</v>
      </c>
      <c r="J25" s="71"/>
      <c r="K25" s="71">
        <f t="shared" si="2"/>
        <v>0</v>
      </c>
      <c r="L25" s="71"/>
      <c r="M25" s="71" t="s">
        <v>182</v>
      </c>
      <c r="N25" s="71"/>
      <c r="O25" s="78">
        <f t="shared" si="8"/>
        <v>152569</v>
      </c>
      <c r="P25" s="75">
        <f t="shared" si="9"/>
        <v>36124</v>
      </c>
      <c r="Q25" s="79">
        <f t="shared" si="3"/>
        <v>188693</v>
      </c>
      <c r="R25" s="71"/>
      <c r="S25" s="71">
        <f t="shared" si="4"/>
        <v>152569</v>
      </c>
      <c r="T25" s="71"/>
      <c r="U25" s="80">
        <v>2.78</v>
      </c>
      <c r="V25" s="81">
        <f t="shared" si="5"/>
        <v>424141.81999999995</v>
      </c>
    </row>
    <row r="26" spans="1:26" x14ac:dyDescent="0.2">
      <c r="A26" s="71">
        <f t="shared" si="6"/>
        <v>21</v>
      </c>
      <c r="B26" s="71">
        <f t="shared" si="10"/>
        <v>0</v>
      </c>
      <c r="C26" s="71">
        <f t="shared" si="11"/>
        <v>0</v>
      </c>
      <c r="D26" s="71">
        <f t="shared" si="7"/>
        <v>0</v>
      </c>
      <c r="E26" s="71"/>
      <c r="F26" s="71">
        <f t="shared" si="0"/>
        <v>0</v>
      </c>
      <c r="G26" s="71"/>
      <c r="H26" s="71">
        <f t="shared" si="12"/>
        <v>0</v>
      </c>
      <c r="I26" s="71">
        <f t="shared" si="1"/>
        <v>0</v>
      </c>
      <c r="J26" s="71"/>
      <c r="K26" s="71">
        <f t="shared" si="2"/>
        <v>0</v>
      </c>
      <c r="L26" s="71"/>
      <c r="M26" s="71" t="s">
        <v>182</v>
      </c>
      <c r="N26" s="71"/>
      <c r="O26" s="78">
        <f t="shared" si="8"/>
        <v>152569</v>
      </c>
      <c r="P26" s="75">
        <f t="shared" si="9"/>
        <v>36124</v>
      </c>
      <c r="Q26" s="79">
        <f t="shared" si="3"/>
        <v>188693</v>
      </c>
      <c r="R26" s="71"/>
      <c r="S26" s="71">
        <f t="shared" si="4"/>
        <v>152569</v>
      </c>
      <c r="T26" s="71"/>
      <c r="U26" s="80">
        <v>2.78</v>
      </c>
      <c r="V26" s="81">
        <f t="shared" si="5"/>
        <v>424141.81999999995</v>
      </c>
    </row>
    <row r="27" spans="1:26" x14ac:dyDescent="0.2">
      <c r="A27" s="71">
        <f t="shared" si="6"/>
        <v>22</v>
      </c>
      <c r="B27" s="71">
        <f t="shared" si="10"/>
        <v>0</v>
      </c>
      <c r="C27" s="71">
        <f t="shared" si="11"/>
        <v>0</v>
      </c>
      <c r="D27" s="71">
        <f t="shared" si="7"/>
        <v>0</v>
      </c>
      <c r="E27" s="71"/>
      <c r="F27" s="71">
        <f t="shared" si="0"/>
        <v>0</v>
      </c>
      <c r="G27" s="71"/>
      <c r="H27" s="71">
        <f t="shared" si="12"/>
        <v>0</v>
      </c>
      <c r="I27" s="71">
        <f t="shared" si="1"/>
        <v>0</v>
      </c>
      <c r="J27" s="71"/>
      <c r="K27" s="71">
        <f t="shared" si="2"/>
        <v>0</v>
      </c>
      <c r="L27" s="71"/>
      <c r="M27" s="71" t="s">
        <v>182</v>
      </c>
      <c r="N27" s="71"/>
      <c r="O27" s="78">
        <f t="shared" si="8"/>
        <v>152569</v>
      </c>
      <c r="P27" s="75">
        <f t="shared" si="9"/>
        <v>36124</v>
      </c>
      <c r="Q27" s="79">
        <f t="shared" si="3"/>
        <v>188693</v>
      </c>
      <c r="R27" s="71"/>
      <c r="S27" s="71">
        <f t="shared" si="4"/>
        <v>152569</v>
      </c>
      <c r="T27" s="71"/>
      <c r="U27" s="80">
        <v>2.78</v>
      </c>
      <c r="V27" s="81">
        <f t="shared" si="5"/>
        <v>424141.81999999995</v>
      </c>
    </row>
    <row r="28" spans="1:26" x14ac:dyDescent="0.2">
      <c r="A28" s="71">
        <f t="shared" si="6"/>
        <v>23</v>
      </c>
      <c r="B28" s="71">
        <f t="shared" si="10"/>
        <v>0</v>
      </c>
      <c r="C28" s="71">
        <f t="shared" si="11"/>
        <v>0</v>
      </c>
      <c r="D28" s="71">
        <f t="shared" si="7"/>
        <v>0</v>
      </c>
      <c r="E28" s="71"/>
      <c r="F28" s="71">
        <f t="shared" si="0"/>
        <v>0</v>
      </c>
      <c r="G28" s="71"/>
      <c r="H28" s="71">
        <f t="shared" si="12"/>
        <v>0</v>
      </c>
      <c r="I28" s="71">
        <f t="shared" si="1"/>
        <v>0</v>
      </c>
      <c r="J28" s="71"/>
      <c r="K28" s="71">
        <f t="shared" si="2"/>
        <v>0</v>
      </c>
      <c r="L28" s="71"/>
      <c r="M28" s="71" t="s">
        <v>182</v>
      </c>
      <c r="N28" s="71"/>
      <c r="O28" s="78">
        <f t="shared" si="8"/>
        <v>152569</v>
      </c>
      <c r="P28" s="75">
        <f t="shared" si="9"/>
        <v>36124</v>
      </c>
      <c r="Q28" s="79">
        <f t="shared" si="3"/>
        <v>188693</v>
      </c>
      <c r="R28" s="71"/>
      <c r="S28" s="71">
        <f t="shared" si="4"/>
        <v>152569</v>
      </c>
      <c r="T28" s="71"/>
      <c r="U28" s="80">
        <v>2.67</v>
      </c>
      <c r="V28" s="81">
        <f t="shared" si="5"/>
        <v>407359.23</v>
      </c>
    </row>
    <row r="29" spans="1:26" x14ac:dyDescent="0.2">
      <c r="A29" s="71">
        <f t="shared" si="6"/>
        <v>24</v>
      </c>
      <c r="B29" s="71">
        <f t="shared" si="10"/>
        <v>0</v>
      </c>
      <c r="C29" s="71">
        <f t="shared" si="11"/>
        <v>0</v>
      </c>
      <c r="D29" s="71">
        <f t="shared" si="7"/>
        <v>0</v>
      </c>
      <c r="E29" s="71"/>
      <c r="F29" s="71">
        <f t="shared" si="0"/>
        <v>0</v>
      </c>
      <c r="G29" s="71"/>
      <c r="H29" s="71">
        <f t="shared" si="12"/>
        <v>0</v>
      </c>
      <c r="I29" s="71">
        <f t="shared" si="1"/>
        <v>0</v>
      </c>
      <c r="J29" s="71"/>
      <c r="K29" s="71">
        <f t="shared" si="2"/>
        <v>0</v>
      </c>
      <c r="L29" s="71"/>
      <c r="M29" s="71" t="s">
        <v>182</v>
      </c>
      <c r="N29" s="71"/>
      <c r="O29" s="78">
        <f t="shared" si="8"/>
        <v>152569</v>
      </c>
      <c r="P29" s="75">
        <f t="shared" si="9"/>
        <v>36124</v>
      </c>
      <c r="Q29" s="79">
        <f t="shared" si="3"/>
        <v>188693</v>
      </c>
      <c r="R29" s="71"/>
      <c r="S29" s="71">
        <f t="shared" si="4"/>
        <v>152569</v>
      </c>
      <c r="T29" s="71"/>
      <c r="U29" s="80">
        <v>2.5950000000000002</v>
      </c>
      <c r="V29" s="81">
        <f t="shared" si="5"/>
        <v>395916.55500000005</v>
      </c>
    </row>
    <row r="30" spans="1:26" x14ac:dyDescent="0.2">
      <c r="A30" s="71">
        <f t="shared" si="6"/>
        <v>25</v>
      </c>
      <c r="B30" s="71">
        <f t="shared" si="10"/>
        <v>0</v>
      </c>
      <c r="C30" s="71">
        <f t="shared" si="11"/>
        <v>0</v>
      </c>
      <c r="D30" s="71">
        <f t="shared" si="7"/>
        <v>0</v>
      </c>
      <c r="E30" s="71"/>
      <c r="F30" s="71">
        <f t="shared" si="0"/>
        <v>0</v>
      </c>
      <c r="G30" s="71"/>
      <c r="H30" s="71">
        <f t="shared" si="12"/>
        <v>0</v>
      </c>
      <c r="I30" s="71">
        <f t="shared" si="1"/>
        <v>0</v>
      </c>
      <c r="J30" s="71"/>
      <c r="K30" s="71">
        <f t="shared" si="2"/>
        <v>0</v>
      </c>
      <c r="L30" s="71"/>
      <c r="M30" s="71" t="s">
        <v>182</v>
      </c>
      <c r="N30" s="71"/>
      <c r="O30" s="78">
        <f t="shared" si="8"/>
        <v>152569</v>
      </c>
      <c r="P30" s="75">
        <f t="shared" si="9"/>
        <v>36124</v>
      </c>
      <c r="Q30" s="79">
        <f t="shared" si="3"/>
        <v>188693</v>
      </c>
      <c r="R30" s="71"/>
      <c r="S30" s="71">
        <f t="shared" si="4"/>
        <v>152569</v>
      </c>
      <c r="T30" s="71"/>
      <c r="U30" s="80">
        <v>2.63</v>
      </c>
      <c r="V30" s="81">
        <f t="shared" si="5"/>
        <v>401256.47</v>
      </c>
      <c r="X30" s="72">
        <v>166288</v>
      </c>
      <c r="Y30" s="80">
        <v>2.63</v>
      </c>
      <c r="Z30" s="81">
        <f t="shared" ref="Z30:Z36" si="13">+Y30*X30</f>
        <v>437337.44</v>
      </c>
    </row>
    <row r="31" spans="1:26" x14ac:dyDescent="0.2">
      <c r="A31" s="71">
        <f t="shared" si="6"/>
        <v>26</v>
      </c>
      <c r="B31" s="71">
        <f t="shared" si="10"/>
        <v>0</v>
      </c>
      <c r="C31" s="71">
        <f t="shared" si="11"/>
        <v>0</v>
      </c>
      <c r="D31" s="71">
        <f t="shared" si="7"/>
        <v>0</v>
      </c>
      <c r="E31" s="71"/>
      <c r="F31" s="71">
        <f t="shared" si="0"/>
        <v>0</v>
      </c>
      <c r="G31" s="71"/>
      <c r="H31" s="71">
        <f t="shared" si="12"/>
        <v>0</v>
      </c>
      <c r="I31" s="71">
        <f t="shared" si="1"/>
        <v>0</v>
      </c>
      <c r="J31" s="71"/>
      <c r="K31" s="71">
        <f t="shared" si="2"/>
        <v>0</v>
      </c>
      <c r="L31" s="71"/>
      <c r="M31" s="71" t="s">
        <v>182</v>
      </c>
      <c r="N31" s="71"/>
      <c r="O31" s="78">
        <f t="shared" si="8"/>
        <v>152569</v>
      </c>
      <c r="P31" s="75">
        <f t="shared" si="9"/>
        <v>36124</v>
      </c>
      <c r="Q31" s="79">
        <f t="shared" si="3"/>
        <v>188693</v>
      </c>
      <c r="R31" s="71"/>
      <c r="S31" s="71">
        <f t="shared" si="4"/>
        <v>152569</v>
      </c>
      <c r="T31" s="71"/>
      <c r="U31" s="80">
        <v>2.63</v>
      </c>
      <c r="V31" s="81">
        <f t="shared" si="5"/>
        <v>401256.47</v>
      </c>
      <c r="X31" s="72">
        <v>166288</v>
      </c>
      <c r="Y31" s="80">
        <v>2.63</v>
      </c>
      <c r="Z31" s="81">
        <f t="shared" si="13"/>
        <v>437337.44</v>
      </c>
    </row>
    <row r="32" spans="1:26" x14ac:dyDescent="0.2">
      <c r="A32" s="71">
        <f t="shared" si="6"/>
        <v>27</v>
      </c>
      <c r="B32" s="71">
        <f t="shared" si="10"/>
        <v>0</v>
      </c>
      <c r="C32" s="71">
        <f t="shared" si="11"/>
        <v>0</v>
      </c>
      <c r="D32" s="71">
        <f t="shared" si="7"/>
        <v>0</v>
      </c>
      <c r="E32" s="71"/>
      <c r="F32" s="71">
        <f t="shared" si="0"/>
        <v>0</v>
      </c>
      <c r="G32" s="71"/>
      <c r="H32" s="71">
        <f t="shared" si="12"/>
        <v>0</v>
      </c>
      <c r="I32" s="71">
        <f t="shared" si="1"/>
        <v>0</v>
      </c>
      <c r="J32" s="71"/>
      <c r="K32" s="71">
        <f t="shared" si="2"/>
        <v>0</v>
      </c>
      <c r="L32" s="71"/>
      <c r="M32" s="71" t="s">
        <v>182</v>
      </c>
      <c r="N32" s="71"/>
      <c r="O32" s="78">
        <f t="shared" si="8"/>
        <v>152569</v>
      </c>
      <c r="P32" s="75">
        <f t="shared" si="9"/>
        <v>36124</v>
      </c>
      <c r="Q32" s="79">
        <f t="shared" si="3"/>
        <v>188693</v>
      </c>
      <c r="R32" s="71"/>
      <c r="S32" s="71">
        <f t="shared" si="4"/>
        <v>152569</v>
      </c>
      <c r="T32" s="71"/>
      <c r="U32" s="80">
        <v>2.63</v>
      </c>
      <c r="V32" s="81">
        <f t="shared" si="5"/>
        <v>401256.47</v>
      </c>
      <c r="X32" s="72">
        <v>166288</v>
      </c>
      <c r="Y32" s="80">
        <v>2.63</v>
      </c>
      <c r="Z32" s="81">
        <f t="shared" si="13"/>
        <v>437337.44</v>
      </c>
    </row>
    <row r="33" spans="1:26" x14ac:dyDescent="0.2">
      <c r="A33" s="71">
        <f t="shared" si="6"/>
        <v>28</v>
      </c>
      <c r="B33" s="71">
        <f t="shared" si="10"/>
        <v>0</v>
      </c>
      <c r="C33" s="71">
        <f t="shared" si="11"/>
        <v>0</v>
      </c>
      <c r="D33" s="71">
        <f t="shared" si="7"/>
        <v>0</v>
      </c>
      <c r="E33" s="71"/>
      <c r="F33" s="71">
        <f t="shared" si="0"/>
        <v>0</v>
      </c>
      <c r="G33" s="71"/>
      <c r="H33" s="71">
        <f t="shared" si="12"/>
        <v>0</v>
      </c>
      <c r="I33" s="71">
        <f t="shared" si="1"/>
        <v>0</v>
      </c>
      <c r="J33" s="71"/>
      <c r="K33" s="71">
        <f t="shared" si="2"/>
        <v>0</v>
      </c>
      <c r="L33" s="71"/>
      <c r="M33" s="71" t="s">
        <v>182</v>
      </c>
      <c r="N33" s="71"/>
      <c r="O33" s="78">
        <f t="shared" ref="O33:P36" si="14">+O32</f>
        <v>152569</v>
      </c>
      <c r="P33" s="75">
        <f t="shared" si="14"/>
        <v>36124</v>
      </c>
      <c r="Q33" s="79">
        <f>+P33+O33</f>
        <v>188693</v>
      </c>
      <c r="R33" s="71"/>
      <c r="S33" s="71">
        <f t="shared" si="4"/>
        <v>152569</v>
      </c>
      <c r="T33" s="71"/>
      <c r="U33" s="80">
        <v>2.63</v>
      </c>
      <c r="V33" s="81">
        <f t="shared" si="5"/>
        <v>401256.47</v>
      </c>
      <c r="X33" s="72">
        <v>166288</v>
      </c>
      <c r="Y33" s="80">
        <v>2.63</v>
      </c>
      <c r="Z33" s="81">
        <f t="shared" si="13"/>
        <v>437337.44</v>
      </c>
    </row>
    <row r="34" spans="1:26" x14ac:dyDescent="0.2">
      <c r="A34" s="71">
        <f t="shared" si="6"/>
        <v>29</v>
      </c>
      <c r="B34" s="71">
        <f t="shared" si="10"/>
        <v>0</v>
      </c>
      <c r="C34" s="71">
        <f t="shared" si="11"/>
        <v>0</v>
      </c>
      <c r="D34" s="71">
        <f t="shared" si="7"/>
        <v>0</v>
      </c>
      <c r="E34" s="71"/>
      <c r="F34" s="71">
        <f t="shared" si="0"/>
        <v>0</v>
      </c>
      <c r="G34" s="71"/>
      <c r="H34" s="71">
        <f t="shared" si="12"/>
        <v>0</v>
      </c>
      <c r="I34" s="71">
        <f t="shared" si="1"/>
        <v>0</v>
      </c>
      <c r="J34" s="71"/>
      <c r="K34" s="71">
        <f t="shared" si="2"/>
        <v>0</v>
      </c>
      <c r="L34" s="71"/>
      <c r="M34" s="71" t="s">
        <v>182</v>
      </c>
      <c r="N34" s="71"/>
      <c r="O34" s="78">
        <f t="shared" si="14"/>
        <v>152569</v>
      </c>
      <c r="P34" s="75">
        <f t="shared" si="14"/>
        <v>36124</v>
      </c>
      <c r="Q34" s="79">
        <f>+P34+O34</f>
        <v>188693</v>
      </c>
      <c r="R34" s="71"/>
      <c r="S34" s="71">
        <f t="shared" si="4"/>
        <v>152569</v>
      </c>
      <c r="T34" s="71"/>
      <c r="U34" s="80">
        <v>2.63</v>
      </c>
      <c r="V34" s="81">
        <f t="shared" si="5"/>
        <v>401256.47</v>
      </c>
      <c r="X34" s="72">
        <v>166288</v>
      </c>
      <c r="Y34" s="80">
        <v>2.63</v>
      </c>
      <c r="Z34" s="81">
        <f t="shared" si="13"/>
        <v>437337.44</v>
      </c>
    </row>
    <row r="35" spans="1:26" x14ac:dyDescent="0.2">
      <c r="A35" s="71">
        <f>+A34+1</f>
        <v>30</v>
      </c>
      <c r="B35" s="71">
        <f t="shared" si="10"/>
        <v>0</v>
      </c>
      <c r="C35" s="71">
        <f t="shared" si="11"/>
        <v>0</v>
      </c>
      <c r="D35" s="71">
        <f t="shared" si="7"/>
        <v>0</v>
      </c>
      <c r="E35" s="71"/>
      <c r="F35" s="71">
        <f>SUM(B35:D35)</f>
        <v>0</v>
      </c>
      <c r="G35" s="71"/>
      <c r="H35" s="71">
        <f t="shared" si="12"/>
        <v>0</v>
      </c>
      <c r="I35" s="71">
        <f t="shared" si="1"/>
        <v>0</v>
      </c>
      <c r="J35" s="71"/>
      <c r="K35" s="71">
        <f t="shared" si="2"/>
        <v>0</v>
      </c>
      <c r="L35" s="71"/>
      <c r="M35" s="71" t="s">
        <v>182</v>
      </c>
      <c r="N35" s="71"/>
      <c r="O35" s="78">
        <f t="shared" si="14"/>
        <v>152569</v>
      </c>
      <c r="P35" s="75">
        <f t="shared" si="14"/>
        <v>36124</v>
      </c>
      <c r="Q35" s="79">
        <f>+P35+O35</f>
        <v>188693</v>
      </c>
      <c r="R35" s="71"/>
      <c r="S35" s="71">
        <f>+O35-K35</f>
        <v>152569</v>
      </c>
      <c r="T35" s="71"/>
      <c r="U35" s="80">
        <v>2.63</v>
      </c>
      <c r="V35" s="81">
        <f>+U35*S35</f>
        <v>401256.47</v>
      </c>
      <c r="X35" s="72">
        <v>166288</v>
      </c>
      <c r="Y35" s="80">
        <v>2.63</v>
      </c>
      <c r="Z35" s="81">
        <f t="shared" si="13"/>
        <v>437337.44</v>
      </c>
    </row>
    <row r="36" spans="1:26" x14ac:dyDescent="0.2">
      <c r="A36" s="71">
        <f>+A35+1</f>
        <v>31</v>
      </c>
      <c r="B36" s="71">
        <f t="shared" si="10"/>
        <v>0</v>
      </c>
      <c r="C36" s="71">
        <f t="shared" si="11"/>
        <v>0</v>
      </c>
      <c r="D36" s="71">
        <f t="shared" si="7"/>
        <v>0</v>
      </c>
      <c r="E36" s="71"/>
      <c r="F36" s="71">
        <f>SUM(B36:D36)</f>
        <v>0</v>
      </c>
      <c r="G36" s="71"/>
      <c r="H36" s="71">
        <f t="shared" si="12"/>
        <v>0</v>
      </c>
      <c r="I36" s="71">
        <f t="shared" si="1"/>
        <v>0</v>
      </c>
      <c r="J36" s="71"/>
      <c r="K36" s="71">
        <f t="shared" si="2"/>
        <v>0</v>
      </c>
      <c r="L36" s="71"/>
      <c r="M36" s="71" t="s">
        <v>182</v>
      </c>
      <c r="N36" s="71"/>
      <c r="O36" s="78">
        <f t="shared" si="14"/>
        <v>152569</v>
      </c>
      <c r="P36" s="75">
        <f t="shared" si="14"/>
        <v>36124</v>
      </c>
      <c r="Q36" s="79">
        <f>+P36+O36</f>
        <v>188693</v>
      </c>
      <c r="R36" s="71"/>
      <c r="S36" s="71">
        <f>+O36-K36</f>
        <v>152569</v>
      </c>
      <c r="T36" s="71"/>
      <c r="U36" s="80">
        <v>2.63</v>
      </c>
      <c r="V36" s="81">
        <f>+U36*S36</f>
        <v>401256.47</v>
      </c>
      <c r="X36" s="72">
        <v>166288</v>
      </c>
      <c r="Y36" s="80">
        <v>2.63</v>
      </c>
      <c r="Z36" s="81">
        <f t="shared" si="13"/>
        <v>437337.44</v>
      </c>
    </row>
    <row r="37" spans="1:26" x14ac:dyDescent="0.2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</row>
    <row r="38" spans="1:26" x14ac:dyDescent="0.2">
      <c r="A38" s="71"/>
      <c r="B38" s="71">
        <f t="shared" ref="B38:H38" si="15">SUM(B6:B37)</f>
        <v>732854</v>
      </c>
      <c r="C38" s="71">
        <f t="shared" si="15"/>
        <v>53518</v>
      </c>
      <c r="D38" s="71">
        <f t="shared" si="15"/>
        <v>66310</v>
      </c>
      <c r="E38" s="71"/>
      <c r="F38" s="71">
        <f t="shared" si="15"/>
        <v>852682</v>
      </c>
      <c r="G38" s="71"/>
      <c r="H38" s="71">
        <f t="shared" si="15"/>
        <v>186501</v>
      </c>
      <c r="I38" s="71">
        <f>SUM(I6:I37)</f>
        <v>182556</v>
      </c>
      <c r="J38" s="71"/>
      <c r="K38" s="71">
        <f>SUM(K6:K37)</f>
        <v>670126</v>
      </c>
      <c r="L38" s="71"/>
      <c r="M38" s="71">
        <f>SUM(M6:M37)</f>
        <v>0</v>
      </c>
      <c r="N38" s="71"/>
      <c r="O38" s="71">
        <f>SUM(O6:O37)</f>
        <v>4729639</v>
      </c>
      <c r="P38" s="71">
        <f>SUM(P6:P37)</f>
        <v>1119844</v>
      </c>
      <c r="Q38" s="71">
        <f>SUM(Q6:Q37)</f>
        <v>5849483</v>
      </c>
      <c r="R38" s="71"/>
      <c r="S38" s="71">
        <f>SUM(S6:S37)</f>
        <v>4059513</v>
      </c>
      <c r="T38" s="71" t="s">
        <v>222</v>
      </c>
      <c r="U38" s="71"/>
      <c r="V38" s="81">
        <f>SUM(V6:V34)</f>
        <v>10363154.865000004</v>
      </c>
      <c r="X38" s="71">
        <f>SUM(X6:X37)</f>
        <v>1164016</v>
      </c>
      <c r="Z38" s="81">
        <f>SUM(Z6:Z34)</f>
        <v>2186687.2000000002</v>
      </c>
    </row>
    <row r="41" spans="1:26" x14ac:dyDescent="0.2">
      <c r="X41" s="72">
        <f>+V38-Z38</f>
        <v>8176467.6650000038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workbookViewId="0">
      <selection activeCell="A11" sqref="A11"/>
    </sheetView>
  </sheetViews>
  <sheetFormatPr defaultRowHeight="12" x14ac:dyDescent="0.2"/>
  <cols>
    <col min="1" max="1" width="15.5703125" style="62" customWidth="1"/>
    <col min="2" max="2" width="9.140625" style="62"/>
    <col min="3" max="3" width="12.42578125" style="62" customWidth="1"/>
    <col min="4" max="4" width="10" style="62" bestFit="1" customWidth="1"/>
    <col min="5" max="5" width="11" style="62" customWidth="1"/>
    <col min="6" max="6" width="9.140625" style="62"/>
    <col min="7" max="7" width="15" style="62" customWidth="1"/>
    <col min="8" max="11" width="9.140625" style="62"/>
    <col min="12" max="12" width="14.7109375" style="62" customWidth="1"/>
    <col min="13" max="16384" width="9.140625" style="62"/>
  </cols>
  <sheetData>
    <row r="1" spans="1:14" ht="12.75" x14ac:dyDescent="0.2">
      <c r="A1" s="66" t="s">
        <v>67</v>
      </c>
      <c r="M1" s="91"/>
      <c r="N1" s="91"/>
    </row>
    <row r="2" spans="1:14" ht="12.75" x14ac:dyDescent="0.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14" ht="12.75" x14ac:dyDescent="0.2">
      <c r="A3" s="62" t="s">
        <v>158</v>
      </c>
      <c r="B3" s="62" t="s">
        <v>63</v>
      </c>
      <c r="C3" s="107">
        <v>4.72</v>
      </c>
      <c r="E3" s="107">
        <v>4.72</v>
      </c>
      <c r="M3" s="91"/>
      <c r="N3" s="91"/>
    </row>
    <row r="4" spans="1:14" ht="12.75" x14ac:dyDescent="0.2">
      <c r="A4" s="62" t="s">
        <v>166</v>
      </c>
      <c r="C4" s="107">
        <v>0.01</v>
      </c>
      <c r="E4" s="107">
        <v>0.1</v>
      </c>
      <c r="M4" s="91"/>
      <c r="N4" s="91"/>
    </row>
    <row r="5" spans="1:14" ht="12.75" x14ac:dyDescent="0.2">
      <c r="A5" s="62" t="s">
        <v>164</v>
      </c>
      <c r="C5" s="107">
        <v>1.12E-2</v>
      </c>
      <c r="E5" s="107">
        <v>1.12E-2</v>
      </c>
      <c r="M5" s="91"/>
      <c r="N5" s="91"/>
    </row>
    <row r="6" spans="1:14" ht="12.75" x14ac:dyDescent="0.2">
      <c r="A6" s="62" t="s">
        <v>160</v>
      </c>
      <c r="C6" s="107">
        <v>9.4000000000000004E-3</v>
      </c>
      <c r="E6" s="107">
        <v>9.4000000000000004E-3</v>
      </c>
      <c r="M6" s="91"/>
      <c r="N6" s="91"/>
    </row>
    <row r="7" spans="1:14" ht="12.75" x14ac:dyDescent="0.2">
      <c r="A7" s="62" t="s">
        <v>161</v>
      </c>
      <c r="C7" s="108">
        <v>5.7999999999999996E-3</v>
      </c>
      <c r="E7" s="108">
        <v>5.7999999999999996E-3</v>
      </c>
      <c r="M7" s="91"/>
      <c r="N7" s="91"/>
    </row>
    <row r="8" spans="1:14" ht="12.75" x14ac:dyDescent="0.2">
      <c r="A8" s="62" t="s">
        <v>165</v>
      </c>
      <c r="C8" s="109">
        <f>ROUND(+C3/(1-C7)+(C5+C6),4)-C3</f>
        <v>4.809999999999981E-2</v>
      </c>
      <c r="E8" s="109">
        <f>ROUND(+E3/(1-E7)+(E5+E6),4)-E3</f>
        <v>4.809999999999981E-2</v>
      </c>
      <c r="M8" s="91"/>
      <c r="N8" s="91"/>
    </row>
    <row r="9" spans="1:14" ht="13.5" thickBot="1" x14ac:dyDescent="0.25">
      <c r="C9" s="110">
        <f>SUM(C3,C4,C8)</f>
        <v>4.7780999999999993</v>
      </c>
      <c r="D9" s="62" t="s">
        <v>45</v>
      </c>
      <c r="E9" s="110">
        <f>SUM(E3,E4,E8)</f>
        <v>4.8680999999999992</v>
      </c>
      <c r="F9" s="91"/>
      <c r="G9" s="91"/>
      <c r="H9" s="91"/>
      <c r="I9" s="91"/>
      <c r="J9" s="91"/>
      <c r="K9" s="91"/>
      <c r="L9" s="91"/>
      <c r="M9" s="91"/>
      <c r="N9" s="91"/>
    </row>
    <row r="10" spans="1:14" ht="13.5" thickTop="1" x14ac:dyDescent="0.2">
      <c r="F10" s="91"/>
      <c r="G10" s="91"/>
      <c r="H10" s="91"/>
      <c r="I10" s="91"/>
      <c r="J10" s="91"/>
      <c r="K10" s="91"/>
      <c r="L10" s="91"/>
      <c r="M10" s="91"/>
      <c r="N10" s="91"/>
    </row>
    <row r="11" spans="1:14" ht="12.75" x14ac:dyDescent="0.2">
      <c r="A11" s="62" t="s">
        <v>356</v>
      </c>
      <c r="B11" s="62" t="s">
        <v>45</v>
      </c>
      <c r="F11" s="91"/>
      <c r="G11" s="91"/>
      <c r="H11" s="91"/>
      <c r="I11" s="91"/>
      <c r="J11" s="91"/>
      <c r="K11" s="91"/>
      <c r="L11" s="91"/>
      <c r="M11" s="91"/>
      <c r="N11" s="91"/>
    </row>
    <row r="12" spans="1:14" ht="12.75" x14ac:dyDescent="0.2">
      <c r="B12" s="62" t="s">
        <v>45</v>
      </c>
      <c r="F12" s="91"/>
      <c r="G12" s="91"/>
      <c r="H12" s="91"/>
      <c r="I12" s="91"/>
      <c r="J12" s="91"/>
      <c r="K12" s="91"/>
      <c r="L12" s="91"/>
      <c r="M12" s="91"/>
      <c r="N12" s="91"/>
    </row>
    <row r="13" spans="1:14" ht="12.75" x14ac:dyDescent="0.2">
      <c r="B13" s="62" t="s">
        <v>45</v>
      </c>
      <c r="F13" s="91"/>
      <c r="G13" s="91"/>
      <c r="H13" s="91"/>
      <c r="I13" s="91"/>
      <c r="J13" s="91"/>
      <c r="K13" s="91"/>
      <c r="L13" s="91"/>
      <c r="M13" s="91"/>
      <c r="N13" s="91"/>
    </row>
    <row r="14" spans="1:14" ht="12.75" x14ac:dyDescent="0.2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</row>
    <row r="15" spans="1:14" ht="12.75" x14ac:dyDescent="0.2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</row>
    <row r="16" spans="1:14" ht="12.75" x14ac:dyDescent="0.2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</row>
    <row r="17" spans="1:14" ht="12.75" x14ac:dyDescent="0.2">
      <c r="A17" s="66" t="s">
        <v>167</v>
      </c>
      <c r="C17" s="62" t="s">
        <v>89</v>
      </c>
      <c r="D17" s="62" t="s">
        <v>357</v>
      </c>
      <c r="E17" s="62" t="s">
        <v>45</v>
      </c>
      <c r="F17" s="91"/>
      <c r="G17" s="91"/>
      <c r="H17" s="91"/>
      <c r="I17" s="91"/>
      <c r="J17" s="91"/>
      <c r="K17" s="91"/>
      <c r="L17" s="91"/>
      <c r="M17" s="91"/>
      <c r="N17" s="91"/>
    </row>
    <row r="18" spans="1:14" ht="12.75" x14ac:dyDescent="0.2">
      <c r="A18" s="62" t="s">
        <v>158</v>
      </c>
      <c r="B18" s="62" t="s">
        <v>167</v>
      </c>
      <c r="C18" s="107">
        <v>4.5199999999999996</v>
      </c>
      <c r="E18" s="107">
        <v>4.5199999999999996</v>
      </c>
      <c r="F18" s="91"/>
      <c r="G18" s="91" t="s">
        <v>358</v>
      </c>
      <c r="H18" s="91"/>
      <c r="I18" s="107">
        <f>+C24</f>
        <v>4.6511000000000005</v>
      </c>
      <c r="J18" s="91"/>
      <c r="K18" s="91"/>
      <c r="L18" s="91"/>
      <c r="M18" s="91"/>
      <c r="N18" s="91"/>
    </row>
    <row r="19" spans="1:14" ht="12.75" x14ac:dyDescent="0.2">
      <c r="A19" s="62" t="s">
        <v>166</v>
      </c>
      <c r="C19" s="107">
        <v>7.4999999999999997E-3</v>
      </c>
      <c r="E19" s="107">
        <v>7.4999999999999997E-3</v>
      </c>
      <c r="F19" s="91"/>
      <c r="G19" s="91"/>
      <c r="H19" s="91"/>
      <c r="I19" s="107">
        <v>0</v>
      </c>
      <c r="J19" s="91"/>
      <c r="K19" s="91"/>
      <c r="L19" s="91"/>
      <c r="M19" s="91"/>
      <c r="N19" s="91"/>
    </row>
    <row r="20" spans="1:14" ht="12.75" x14ac:dyDescent="0.2">
      <c r="A20" s="62" t="s">
        <v>159</v>
      </c>
      <c r="C20" s="107">
        <v>1.3299999999999999E-2</v>
      </c>
      <c r="E20" s="107">
        <v>1.3299999999999999E-2</v>
      </c>
      <c r="F20" s="91"/>
      <c r="G20" s="91" t="s">
        <v>359</v>
      </c>
      <c r="H20" s="91"/>
      <c r="I20" s="107">
        <v>1.5299999999999999E-2</v>
      </c>
      <c r="J20" s="91"/>
      <c r="K20" s="91"/>
      <c r="L20" s="91"/>
      <c r="M20" s="91"/>
      <c r="N20" s="91"/>
    </row>
    <row r="21" spans="1:14" ht="12.75" x14ac:dyDescent="0.2">
      <c r="A21" s="62" t="s">
        <v>160</v>
      </c>
      <c r="C21" s="107">
        <v>9.4000000000000004E-3</v>
      </c>
      <c r="E21" s="107">
        <v>9.4000000000000004E-3</v>
      </c>
      <c r="F21" s="91"/>
      <c r="G21" s="91" t="s">
        <v>161</v>
      </c>
      <c r="H21" s="91"/>
      <c r="I21" s="111">
        <v>1.6999999999999999E-3</v>
      </c>
      <c r="J21" s="91"/>
      <c r="K21" s="91"/>
      <c r="L21" s="91"/>
      <c r="M21" s="91"/>
      <c r="N21" s="91"/>
    </row>
    <row r="22" spans="1:14" ht="12.75" x14ac:dyDescent="0.2">
      <c r="A22" s="62" t="s">
        <v>161</v>
      </c>
      <c r="C22" s="111">
        <v>2.1839999999999998E-2</v>
      </c>
      <c r="E22" s="111">
        <v>2.1839999999999998E-2</v>
      </c>
      <c r="F22" s="91"/>
      <c r="G22" s="91"/>
      <c r="H22" s="91"/>
      <c r="I22" s="109">
        <f>ROUND(+I18/(1-I21)+I20,4)-I18</f>
        <v>2.3199999999999221E-2</v>
      </c>
      <c r="J22" s="91"/>
      <c r="K22" s="91"/>
      <c r="L22" s="91"/>
      <c r="M22" s="91"/>
      <c r="N22" s="91"/>
    </row>
    <row r="23" spans="1:14" ht="13.5" thickBot="1" x14ac:dyDescent="0.25">
      <c r="A23" s="62" t="s">
        <v>162</v>
      </c>
      <c r="C23" s="109">
        <f>ROUND(+C18/(1-C22)+(C20+C21),4)-C18</f>
        <v>0.1236000000000006</v>
      </c>
      <c r="E23" s="109">
        <f>ROUND(+E18/(1-E22)+(E20+E21),4)-E18</f>
        <v>0.1236000000000006</v>
      </c>
      <c r="F23" s="91"/>
      <c r="G23" s="91"/>
      <c r="H23" s="91"/>
      <c r="I23" s="110">
        <f>I18+I22</f>
        <v>4.6742999999999997</v>
      </c>
      <c r="J23" s="91"/>
      <c r="K23" s="91"/>
      <c r="L23" s="95"/>
      <c r="M23" s="91"/>
      <c r="N23" s="91"/>
    </row>
    <row r="24" spans="1:14" ht="14.25" thickTop="1" thickBot="1" x14ac:dyDescent="0.25">
      <c r="C24" s="110">
        <f>SUM(C18,C19,C23)</f>
        <v>4.6511000000000005</v>
      </c>
      <c r="E24" s="109">
        <v>0.02</v>
      </c>
      <c r="F24" s="91"/>
      <c r="G24" s="91"/>
      <c r="H24" s="91"/>
      <c r="I24" s="68" t="s">
        <v>45</v>
      </c>
      <c r="J24" s="91"/>
      <c r="K24" s="91"/>
      <c r="L24" s="95"/>
      <c r="M24" s="91"/>
      <c r="N24" s="91"/>
    </row>
    <row r="25" spans="1:14" ht="14.25" thickTop="1" thickBot="1" x14ac:dyDescent="0.25">
      <c r="A25" s="62" t="s">
        <v>360</v>
      </c>
      <c r="E25" s="110">
        <f>+E24+E23+E18</f>
        <v>4.6635999999999997</v>
      </c>
      <c r="F25" s="62" t="s">
        <v>361</v>
      </c>
      <c r="H25" s="91"/>
      <c r="I25" s="91"/>
      <c r="J25" s="91"/>
      <c r="K25" s="91"/>
      <c r="L25" s="95"/>
      <c r="M25" s="91"/>
      <c r="N25" s="91"/>
    </row>
    <row r="26" spans="1:14" ht="13.5" thickTop="1" x14ac:dyDescent="0.2">
      <c r="C26" s="92"/>
      <c r="E26" s="92"/>
      <c r="H26" s="91"/>
      <c r="I26" s="91"/>
      <c r="J26" s="91"/>
      <c r="K26" s="91"/>
      <c r="L26" s="95"/>
      <c r="M26" s="91"/>
      <c r="N26" s="91"/>
    </row>
    <row r="27" spans="1:14" ht="12.75" x14ac:dyDescent="0.2">
      <c r="C27" s="84"/>
      <c r="E27" s="84"/>
      <c r="H27" s="91"/>
      <c r="I27" s="91"/>
      <c r="J27" s="91"/>
      <c r="K27" s="91"/>
      <c r="L27" s="95"/>
      <c r="M27" s="91"/>
      <c r="N27" s="91"/>
    </row>
    <row r="28" spans="1:14" ht="12.75" x14ac:dyDescent="0.2">
      <c r="A28" s="66" t="s">
        <v>377</v>
      </c>
      <c r="C28" s="62" t="s">
        <v>62</v>
      </c>
      <c r="D28" s="67" t="s">
        <v>382</v>
      </c>
      <c r="E28" s="67"/>
      <c r="F28" s="104"/>
      <c r="G28" s="104"/>
      <c r="H28" s="104"/>
      <c r="I28" s="104"/>
      <c r="J28" s="91"/>
      <c r="K28" s="91"/>
      <c r="L28" s="91"/>
      <c r="M28" s="91"/>
      <c r="N28" s="91"/>
    </row>
    <row r="29" spans="1:14" ht="12.75" x14ac:dyDescent="0.2">
      <c r="A29" s="62" t="s">
        <v>158</v>
      </c>
      <c r="B29" s="62" t="s">
        <v>377</v>
      </c>
      <c r="C29" s="107">
        <v>4.34</v>
      </c>
      <c r="D29" s="63">
        <v>1155</v>
      </c>
      <c r="E29" s="67" t="s">
        <v>381</v>
      </c>
      <c r="F29" s="104"/>
      <c r="G29" s="104"/>
      <c r="H29" s="104"/>
      <c r="I29" s="68"/>
      <c r="J29" s="91"/>
      <c r="K29" s="91"/>
      <c r="L29" s="91"/>
      <c r="M29" s="91"/>
      <c r="N29" s="91"/>
    </row>
    <row r="30" spans="1:14" ht="12.75" x14ac:dyDescent="0.2">
      <c r="A30" s="62" t="s">
        <v>166</v>
      </c>
      <c r="C30" s="107">
        <v>0.06</v>
      </c>
      <c r="D30" s="67"/>
      <c r="E30" s="68"/>
      <c r="F30" s="104"/>
      <c r="G30" s="104"/>
      <c r="H30" s="104"/>
      <c r="I30" s="68"/>
      <c r="J30" s="91"/>
      <c r="K30" s="91"/>
      <c r="L30" s="91"/>
      <c r="M30" s="91"/>
      <c r="N30" s="91"/>
    </row>
    <row r="31" spans="1:14" ht="12.75" x14ac:dyDescent="0.2">
      <c r="A31" s="62" t="s">
        <v>159</v>
      </c>
      <c r="C31" s="107">
        <v>1.7000000000000001E-2</v>
      </c>
      <c r="D31" s="67"/>
      <c r="E31" s="68"/>
      <c r="F31" s="104"/>
      <c r="G31" s="104"/>
      <c r="H31" s="104"/>
      <c r="I31" s="68"/>
      <c r="J31" s="91"/>
      <c r="K31" s="91"/>
      <c r="L31" s="91"/>
      <c r="M31" s="91"/>
      <c r="N31" s="91"/>
    </row>
    <row r="32" spans="1:14" ht="12.75" x14ac:dyDescent="0.2">
      <c r="A32" s="62" t="s">
        <v>160</v>
      </c>
      <c r="C32" s="107">
        <v>2.2000000000000001E-3</v>
      </c>
      <c r="D32" s="67"/>
      <c r="E32" s="68"/>
      <c r="F32" s="104"/>
      <c r="G32" s="104"/>
      <c r="H32" s="104"/>
      <c r="I32" s="105"/>
      <c r="J32" s="91"/>
      <c r="K32" s="91"/>
      <c r="L32" s="91"/>
      <c r="M32" s="91"/>
      <c r="N32" s="91"/>
    </row>
    <row r="33" spans="1:14" ht="12.75" x14ac:dyDescent="0.2">
      <c r="A33" s="62" t="s">
        <v>161</v>
      </c>
      <c r="C33" s="111">
        <v>2.8199999999999999E-2</v>
      </c>
      <c r="D33" s="67">
        <f>ROUND(+D29*(1-C33),0)</f>
        <v>1122</v>
      </c>
      <c r="E33" s="105" t="s">
        <v>383</v>
      </c>
      <c r="F33" s="104"/>
      <c r="G33" s="104"/>
      <c r="H33" s="104"/>
      <c r="I33" s="68"/>
      <c r="J33" s="91"/>
      <c r="K33" s="91"/>
      <c r="L33" s="91"/>
      <c r="M33" s="91"/>
      <c r="N33" s="91"/>
    </row>
    <row r="34" spans="1:14" ht="12.75" x14ac:dyDescent="0.2">
      <c r="A34" s="62" t="s">
        <v>162</v>
      </c>
      <c r="C34" s="109">
        <f>ROUND((+C29+C30)/(1-C33)+(C31+C32),4)-C29-C30</f>
        <v>0.14690000000000009</v>
      </c>
      <c r="D34" s="67"/>
      <c r="E34" s="68"/>
      <c r="F34" s="104"/>
      <c r="G34" s="104"/>
      <c r="H34" s="104"/>
      <c r="I34" s="68"/>
      <c r="J34" s="91"/>
      <c r="K34" s="91"/>
      <c r="L34" s="95"/>
      <c r="M34" s="91"/>
      <c r="N34" s="91"/>
    </row>
    <row r="35" spans="1:14" ht="13.5" thickBot="1" x14ac:dyDescent="0.25">
      <c r="C35" s="110">
        <f>SUM(C29,C30,C34)</f>
        <v>4.5468999999999999</v>
      </c>
      <c r="D35" s="67"/>
      <c r="E35" s="68"/>
      <c r="F35" s="104"/>
      <c r="G35" s="104"/>
      <c r="H35" s="104"/>
      <c r="I35" s="68"/>
      <c r="J35" s="91"/>
      <c r="K35" s="91"/>
      <c r="L35" s="95"/>
      <c r="M35" s="91"/>
      <c r="N35" s="91"/>
    </row>
    <row r="36" spans="1:14" ht="13.5" thickTop="1" x14ac:dyDescent="0.2">
      <c r="A36" s="62" t="s">
        <v>360</v>
      </c>
      <c r="D36" s="67"/>
      <c r="E36" s="68"/>
      <c r="F36" s="67"/>
      <c r="G36" s="67"/>
      <c r="H36" s="104"/>
      <c r="I36" s="104"/>
      <c r="J36" s="91"/>
      <c r="K36" s="91"/>
      <c r="L36" s="95"/>
      <c r="M36" s="91"/>
      <c r="N36" s="91"/>
    </row>
    <row r="37" spans="1:14" ht="12.75" x14ac:dyDescent="0.2">
      <c r="C37" s="92"/>
      <c r="E37" s="92"/>
      <c r="H37" s="91"/>
      <c r="I37" s="91"/>
      <c r="J37" s="91"/>
      <c r="K37" s="91"/>
      <c r="L37" s="95"/>
      <c r="M37" s="91"/>
      <c r="N37" s="91"/>
    </row>
    <row r="38" spans="1:14" ht="12.75" x14ac:dyDescent="0.2">
      <c r="A38" s="62" t="s">
        <v>378</v>
      </c>
      <c r="C38" s="84"/>
      <c r="E38" s="84"/>
      <c r="H38" s="91"/>
      <c r="I38" s="91"/>
      <c r="J38" s="91"/>
      <c r="K38" s="91"/>
      <c r="L38" s="95"/>
      <c r="M38" s="91"/>
      <c r="N38" s="91"/>
    </row>
    <row r="39" spans="1:14" ht="12.75" x14ac:dyDescent="0.2">
      <c r="B39" s="62" t="s">
        <v>379</v>
      </c>
      <c r="C39" s="64"/>
      <c r="H39" s="91"/>
      <c r="I39" s="91"/>
      <c r="J39" s="91"/>
      <c r="K39" s="91"/>
      <c r="L39" s="95"/>
      <c r="M39" s="91"/>
      <c r="N39" s="91"/>
    </row>
    <row r="40" spans="1:14" ht="12.75" x14ac:dyDescent="0.2">
      <c r="A40" s="91"/>
      <c r="B40" s="91" t="s">
        <v>380</v>
      </c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</row>
    <row r="41" spans="1:14" ht="12.75" x14ac:dyDescent="0.2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</row>
    <row r="42" spans="1:14" ht="12.75" x14ac:dyDescent="0.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</row>
    <row r="43" spans="1:14" ht="12.75" x14ac:dyDescent="0.2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</row>
    <row r="44" spans="1:14" ht="12.75" x14ac:dyDescent="0.2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</row>
    <row r="45" spans="1:14" ht="12.75" x14ac:dyDescent="0.2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</row>
    <row r="46" spans="1:14" ht="12.75" x14ac:dyDescent="0.2">
      <c r="A46" s="66" t="s">
        <v>64</v>
      </c>
      <c r="C46" s="62" t="s">
        <v>234</v>
      </c>
      <c r="E46" s="62" t="s">
        <v>235</v>
      </c>
      <c r="G46" s="62" t="s">
        <v>236</v>
      </c>
      <c r="H46" s="91"/>
      <c r="I46" s="91"/>
      <c r="J46" s="91"/>
      <c r="K46" s="91"/>
      <c r="L46" s="91"/>
      <c r="M46" s="91"/>
      <c r="N46" s="91"/>
    </row>
    <row r="47" spans="1:14" ht="12.75" x14ac:dyDescent="0.2">
      <c r="A47" s="62" t="s">
        <v>158</v>
      </c>
      <c r="B47" s="62" t="s">
        <v>64</v>
      </c>
      <c r="C47" s="107">
        <v>4.5599999999999996</v>
      </c>
      <c r="E47" s="107">
        <v>4.5599999999999996</v>
      </c>
      <c r="G47" s="107">
        <v>4.5599999999999996</v>
      </c>
      <c r="H47" s="91"/>
      <c r="I47" s="91"/>
      <c r="J47" s="91"/>
      <c r="K47" s="91"/>
      <c r="L47" s="91"/>
      <c r="M47" s="91"/>
      <c r="N47" s="91"/>
    </row>
    <row r="48" spans="1:14" ht="12.75" x14ac:dyDescent="0.2">
      <c r="A48" s="62" t="s">
        <v>166</v>
      </c>
      <c r="C48" s="107">
        <v>7.4999999999999997E-3</v>
      </c>
      <c r="E48" s="107">
        <v>7.4999999999999997E-3</v>
      </c>
      <c r="G48" s="107">
        <v>7.4999999999999997E-3</v>
      </c>
      <c r="H48" s="91"/>
      <c r="I48" s="91"/>
      <c r="J48" s="91"/>
      <c r="K48" s="91"/>
      <c r="L48" s="91"/>
      <c r="M48" s="91"/>
      <c r="N48" s="91"/>
    </row>
    <row r="49" spans="1:14" ht="12.75" x14ac:dyDescent="0.2">
      <c r="A49" s="62" t="s">
        <v>159</v>
      </c>
      <c r="C49" s="107">
        <v>3.95E-2</v>
      </c>
      <c r="E49" s="107">
        <v>3.95E-2</v>
      </c>
      <c r="G49" s="107">
        <v>3.95E-2</v>
      </c>
      <c r="H49" s="91"/>
      <c r="I49" s="91"/>
      <c r="J49" s="91"/>
      <c r="K49" s="91"/>
      <c r="L49" s="91"/>
      <c r="M49" s="91"/>
      <c r="N49" s="91"/>
    </row>
    <row r="50" spans="1:14" ht="12.75" x14ac:dyDescent="0.2">
      <c r="A50" s="62" t="s">
        <v>160</v>
      </c>
      <c r="C50" s="107">
        <v>2.2000000000000001E-3</v>
      </c>
      <c r="E50" s="107">
        <v>2.2000000000000001E-3</v>
      </c>
      <c r="G50" s="107">
        <v>2.2000000000000001E-3</v>
      </c>
      <c r="H50" s="91"/>
      <c r="I50" s="91"/>
      <c r="J50" s="91"/>
      <c r="K50" s="91"/>
      <c r="L50" s="91"/>
      <c r="M50" s="91"/>
      <c r="N50" s="91"/>
    </row>
    <row r="51" spans="1:14" ht="12.75" x14ac:dyDescent="0.2">
      <c r="A51" s="62" t="s">
        <v>161</v>
      </c>
      <c r="C51" s="108">
        <v>2.2800000000000001E-2</v>
      </c>
      <c r="E51" s="108">
        <v>2.2800000000000001E-2</v>
      </c>
      <c r="G51" s="108">
        <v>2.2800000000000001E-2</v>
      </c>
      <c r="H51" s="91"/>
      <c r="I51" s="91"/>
      <c r="J51" s="91"/>
      <c r="K51" s="91"/>
      <c r="L51" s="91"/>
      <c r="M51" s="91"/>
      <c r="N51" s="91"/>
    </row>
    <row r="52" spans="1:14" ht="12.75" x14ac:dyDescent="0.2">
      <c r="A52" s="62" t="s">
        <v>162</v>
      </c>
      <c r="C52" s="109">
        <f>ROUND(+C47/(1-C51)+(C49+C50),4)-C47</f>
        <v>0.14810000000000034</v>
      </c>
      <c r="E52" s="109">
        <f>ROUND(+E47/(1-E51)+(E49+E50),4)-E47</f>
        <v>0.14810000000000034</v>
      </c>
      <c r="F52" s="67"/>
      <c r="G52" s="109">
        <f>ROUND(+G47/(1-G51)+(G49+G50),4)-G47</f>
        <v>0.14810000000000034</v>
      </c>
      <c r="H52" s="91"/>
      <c r="I52" s="91"/>
      <c r="J52" s="91"/>
      <c r="K52" s="91"/>
      <c r="L52" s="91"/>
      <c r="M52" s="91"/>
      <c r="N52" s="91"/>
    </row>
    <row r="53" spans="1:14" ht="12.75" x14ac:dyDescent="0.2">
      <c r="A53" s="62" t="s">
        <v>42</v>
      </c>
      <c r="C53" s="109">
        <v>0</v>
      </c>
      <c r="E53" s="109">
        <v>0.02</v>
      </c>
      <c r="F53" s="67"/>
      <c r="G53" s="109">
        <v>0.02</v>
      </c>
      <c r="H53" s="91"/>
      <c r="I53" s="91"/>
      <c r="J53" s="91"/>
      <c r="K53" s="91"/>
      <c r="L53" s="91"/>
      <c r="M53" s="91"/>
      <c r="N53" s="91"/>
    </row>
    <row r="54" spans="1:14" ht="13.5" thickBot="1" x14ac:dyDescent="0.25">
      <c r="A54" s="62" t="s">
        <v>163</v>
      </c>
      <c r="C54" s="113">
        <f>SUM(C52,C47:C48,C53)</f>
        <v>4.7156000000000002</v>
      </c>
      <c r="E54" s="113">
        <f>SUM(E52,E47:E48,E53)</f>
        <v>4.7355999999999998</v>
      </c>
      <c r="F54" s="67"/>
      <c r="G54" s="113">
        <f>SUM(G52,G47:G48,G53)</f>
        <v>4.7355999999999998</v>
      </c>
      <c r="H54" s="91"/>
      <c r="I54" s="91"/>
      <c r="J54" s="91"/>
      <c r="K54" s="91"/>
      <c r="L54" s="91"/>
      <c r="M54" s="91"/>
      <c r="N54" s="91"/>
    </row>
    <row r="55" spans="1:14" ht="13.5" thickTop="1" x14ac:dyDescent="0.2">
      <c r="A55" s="62" t="s">
        <v>45</v>
      </c>
      <c r="B55" s="62" t="s">
        <v>45</v>
      </c>
      <c r="C55" s="93">
        <v>37170</v>
      </c>
      <c r="E55" s="93">
        <v>54450</v>
      </c>
      <c r="F55" s="67"/>
      <c r="G55" s="93">
        <v>118800</v>
      </c>
      <c r="H55" s="91"/>
      <c r="I55" s="91"/>
      <c r="J55" s="91"/>
      <c r="K55" s="91"/>
      <c r="L55" s="91"/>
      <c r="M55" s="91"/>
      <c r="N55" s="91"/>
    </row>
    <row r="56" spans="1:14" ht="12.75" x14ac:dyDescent="0.2">
      <c r="A56" s="62" t="s">
        <v>318</v>
      </c>
      <c r="C56" s="68"/>
      <c r="E56" s="67"/>
      <c r="F56" s="67"/>
      <c r="G56" s="67"/>
      <c r="H56" s="91"/>
      <c r="I56" s="91"/>
      <c r="J56" s="91"/>
      <c r="K56" s="91"/>
      <c r="L56" s="91"/>
      <c r="M56" s="91"/>
      <c r="N56" s="91"/>
    </row>
    <row r="57" spans="1:14" ht="12.75" x14ac:dyDescent="0.2">
      <c r="A57" s="62" t="s">
        <v>319</v>
      </c>
      <c r="C57" s="68"/>
      <c r="H57" s="91"/>
      <c r="I57" s="91"/>
      <c r="J57" s="91"/>
      <c r="K57" s="91"/>
      <c r="L57" s="91"/>
      <c r="M57" s="91"/>
      <c r="N57" s="91"/>
    </row>
    <row r="58" spans="1:14" ht="12.75" x14ac:dyDescent="0.2">
      <c r="A58" s="62" t="s">
        <v>237</v>
      </c>
      <c r="C58" s="68"/>
      <c r="H58" s="91"/>
      <c r="I58" s="91"/>
      <c r="J58" s="91"/>
      <c r="K58" s="91"/>
      <c r="L58" s="91"/>
      <c r="M58" s="91"/>
      <c r="N58" s="91"/>
    </row>
    <row r="59" spans="1:14" ht="12.75" x14ac:dyDescent="0.2">
      <c r="A59" s="62" t="s">
        <v>238</v>
      </c>
      <c r="C59" s="68"/>
      <c r="H59" s="91"/>
      <c r="I59" s="91"/>
      <c r="J59" s="91"/>
      <c r="K59" s="91"/>
      <c r="L59" s="91"/>
      <c r="M59" s="91"/>
      <c r="N59" s="91"/>
    </row>
    <row r="60" spans="1:14" ht="12.75" x14ac:dyDescent="0.2">
      <c r="C60" s="68"/>
      <c r="H60" s="91"/>
      <c r="I60" s="91" t="s">
        <v>45</v>
      </c>
      <c r="J60" s="91"/>
      <c r="K60" s="91"/>
      <c r="L60" s="91"/>
      <c r="M60" s="91"/>
      <c r="N60" s="91"/>
    </row>
    <row r="61" spans="1:14" ht="12.75" x14ac:dyDescent="0.2">
      <c r="A61" s="62" t="s">
        <v>45</v>
      </c>
      <c r="C61" s="68"/>
      <c r="H61" s="91"/>
      <c r="I61" s="91"/>
      <c r="J61" s="91"/>
      <c r="K61" s="91"/>
      <c r="L61" s="91"/>
      <c r="M61" s="91"/>
      <c r="N61" s="91"/>
    </row>
    <row r="62" spans="1:14" ht="12.75" x14ac:dyDescent="0.2">
      <c r="A62" s="62" t="s">
        <v>45</v>
      </c>
      <c r="B62" s="62" t="s">
        <v>45</v>
      </c>
      <c r="C62" s="68"/>
      <c r="H62" s="91"/>
      <c r="I62" s="91"/>
      <c r="J62" s="91"/>
      <c r="K62" s="91"/>
      <c r="L62" s="91"/>
      <c r="M62" s="91"/>
      <c r="N62" s="91"/>
    </row>
    <row r="63" spans="1:14" ht="12.75" x14ac:dyDescent="0.2">
      <c r="A63" s="62" t="s">
        <v>45</v>
      </c>
      <c r="B63" s="62" t="s">
        <v>45</v>
      </c>
      <c r="C63" s="68"/>
      <c r="H63" s="91"/>
      <c r="I63" s="91"/>
      <c r="J63" s="91"/>
      <c r="K63" s="91"/>
      <c r="L63" s="91"/>
      <c r="M63" s="91"/>
      <c r="N63" s="91"/>
    </row>
    <row r="64" spans="1:14" ht="12.75" x14ac:dyDescent="0.2">
      <c r="C64" s="68"/>
      <c r="H64" s="91"/>
      <c r="I64" s="91"/>
      <c r="J64" s="91"/>
      <c r="K64" s="91"/>
      <c r="L64" s="91"/>
      <c r="M64" s="91"/>
      <c r="N64" s="91"/>
    </row>
    <row r="65" spans="1:14" ht="12.75" x14ac:dyDescent="0.2">
      <c r="C65" s="68"/>
      <c r="H65" s="91"/>
      <c r="I65" s="91"/>
      <c r="J65" s="91"/>
      <c r="K65" s="91"/>
      <c r="L65" s="91"/>
      <c r="M65" s="91"/>
      <c r="N65" s="91"/>
    </row>
    <row r="66" spans="1:14" ht="12.75" x14ac:dyDescent="0.2">
      <c r="C66" s="68"/>
      <c r="H66" s="91"/>
      <c r="I66" s="91"/>
      <c r="J66" s="91"/>
      <c r="K66" s="91"/>
      <c r="L66" s="91"/>
      <c r="M66" s="91"/>
      <c r="N66" s="91"/>
    </row>
    <row r="67" spans="1:14" ht="12.75" x14ac:dyDescent="0.2">
      <c r="C67" s="68"/>
      <c r="H67" s="91"/>
      <c r="I67" s="91"/>
      <c r="J67" s="91"/>
      <c r="K67" s="91"/>
      <c r="L67" s="91"/>
      <c r="M67" s="91"/>
      <c r="N67" s="91"/>
    </row>
    <row r="68" spans="1:14" ht="12.75" x14ac:dyDescent="0.2">
      <c r="A68" s="66" t="s">
        <v>239</v>
      </c>
      <c r="C68" s="103" t="s">
        <v>240</v>
      </c>
      <c r="E68" s="103" t="s">
        <v>241</v>
      </c>
      <c r="G68" s="91"/>
      <c r="H68" s="91"/>
      <c r="I68" s="91"/>
      <c r="J68" s="91"/>
      <c r="K68" s="91"/>
      <c r="L68" s="91"/>
      <c r="M68" s="91"/>
      <c r="N68" s="91"/>
    </row>
    <row r="69" spans="1:14" ht="12.75" x14ac:dyDescent="0.2">
      <c r="A69" s="62" t="s">
        <v>158</v>
      </c>
      <c r="B69" s="62" t="s">
        <v>242</v>
      </c>
      <c r="C69" s="107">
        <v>4.29</v>
      </c>
      <c r="E69" s="107">
        <f>+C75</f>
        <v>4.4634999999999998</v>
      </c>
      <c r="G69" s="91"/>
      <c r="H69" s="91"/>
      <c r="I69" s="91"/>
      <c r="J69" s="91"/>
      <c r="K69" s="91"/>
      <c r="L69" s="91"/>
      <c r="M69" s="91"/>
      <c r="N69" s="91"/>
    </row>
    <row r="70" spans="1:14" ht="12.75" x14ac:dyDescent="0.2">
      <c r="A70" s="62" t="s">
        <v>166</v>
      </c>
      <c r="C70" s="107">
        <v>0.01</v>
      </c>
      <c r="E70" s="107">
        <v>0</v>
      </c>
      <c r="G70" s="91"/>
      <c r="H70" s="91"/>
      <c r="I70" s="91"/>
      <c r="J70" s="91"/>
      <c r="K70" s="91"/>
      <c r="L70" s="91"/>
      <c r="M70" s="91"/>
      <c r="N70" s="91"/>
    </row>
    <row r="71" spans="1:14" ht="12.75" x14ac:dyDescent="0.2">
      <c r="A71" s="62" t="s">
        <v>159</v>
      </c>
      <c r="C71" s="107">
        <v>5.7200000000000001E-2</v>
      </c>
      <c r="E71" s="107">
        <v>1.1000000000000001E-3</v>
      </c>
      <c r="G71" s="91"/>
      <c r="H71" s="91"/>
      <c r="I71" s="91"/>
      <c r="J71" s="91"/>
      <c r="K71" s="91"/>
      <c r="L71" s="91"/>
      <c r="M71" s="91"/>
      <c r="N71" s="91"/>
    </row>
    <row r="72" spans="1:14" ht="12.75" x14ac:dyDescent="0.2">
      <c r="A72" s="62" t="s">
        <v>160</v>
      </c>
      <c r="C72" s="107">
        <v>3.1899999999999998E-2</v>
      </c>
      <c r="E72" s="107">
        <v>9.4000000000000004E-3</v>
      </c>
      <c r="F72" s="62" t="s">
        <v>243</v>
      </c>
      <c r="G72" s="91"/>
      <c r="H72" s="91"/>
      <c r="I72" s="91"/>
      <c r="J72" s="91"/>
      <c r="K72" s="91"/>
      <c r="L72" s="91"/>
      <c r="M72" s="91"/>
      <c r="N72" s="91"/>
    </row>
    <row r="73" spans="1:14" ht="12.75" x14ac:dyDescent="0.2">
      <c r="A73" s="62" t="s">
        <v>161</v>
      </c>
      <c r="C73" s="108">
        <v>1.7000000000000001E-2</v>
      </c>
      <c r="E73" s="108">
        <v>2.1999999999999999E-2</v>
      </c>
      <c r="G73" s="91"/>
      <c r="H73" s="91"/>
      <c r="I73" s="91"/>
      <c r="J73" s="91"/>
      <c r="K73" s="91"/>
      <c r="L73" s="91"/>
      <c r="M73" s="91"/>
      <c r="N73" s="91"/>
    </row>
    <row r="74" spans="1:14" ht="12.75" x14ac:dyDescent="0.2">
      <c r="A74" s="62" t="s">
        <v>162</v>
      </c>
      <c r="C74" s="109">
        <f>ROUND((+C69+C70)/(1-C73)-(C69+C70)+C71+C72,4)</f>
        <v>0.16350000000000001</v>
      </c>
      <c r="E74" s="109">
        <f>ROUND((+E69+E70)/(1-E73)-(E69+E70)+E71+E72,4)</f>
        <v>0.1109</v>
      </c>
      <c r="G74" s="91"/>
      <c r="H74" s="91"/>
      <c r="I74" s="91"/>
      <c r="J74" s="91"/>
      <c r="K74" s="91"/>
      <c r="L74" s="91"/>
      <c r="M74" s="91"/>
      <c r="N74" s="91"/>
    </row>
    <row r="75" spans="1:14" ht="13.5" thickBot="1" x14ac:dyDescent="0.25">
      <c r="A75" s="62" t="s">
        <v>163</v>
      </c>
      <c r="C75" s="110">
        <f>SUM(C74,C69:C70)</f>
        <v>4.4634999999999998</v>
      </c>
      <c r="E75" s="110">
        <f>SUM(E74,E69:E70)</f>
        <v>4.5743999999999998</v>
      </c>
      <c r="F75" s="62" t="s">
        <v>362</v>
      </c>
      <c r="G75" s="91"/>
      <c r="H75" s="91"/>
      <c r="I75" s="91"/>
      <c r="J75" s="91"/>
      <c r="K75" s="91"/>
      <c r="L75" s="91"/>
      <c r="M75" s="91"/>
      <c r="N75" s="91"/>
    </row>
    <row r="76" spans="1:14" ht="13.5" thickTop="1" x14ac:dyDescent="0.2">
      <c r="G76" s="91"/>
      <c r="H76" s="91"/>
      <c r="I76" s="91"/>
      <c r="J76" s="91"/>
      <c r="K76" s="91"/>
      <c r="L76" s="91"/>
      <c r="M76" s="91"/>
      <c r="N76" s="91"/>
    </row>
    <row r="77" spans="1:14" ht="12.75" x14ac:dyDescent="0.2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</row>
    <row r="78" spans="1:14" ht="12.75" x14ac:dyDescent="0.2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</row>
    <row r="79" spans="1:14" ht="12.75" x14ac:dyDescent="0.2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</row>
    <row r="80" spans="1:14" ht="12.75" x14ac:dyDescent="0.2">
      <c r="A80" s="66" t="s">
        <v>244</v>
      </c>
      <c r="C80" s="103" t="s">
        <v>89</v>
      </c>
      <c r="E80" s="103" t="s">
        <v>245</v>
      </c>
      <c r="G80" s="91"/>
      <c r="H80" s="91"/>
      <c r="I80" s="91"/>
      <c r="J80" s="91"/>
      <c r="K80" s="91"/>
      <c r="L80" s="91"/>
      <c r="M80" s="91"/>
      <c r="N80" s="91"/>
    </row>
    <row r="81" spans="1:14" ht="12.75" x14ac:dyDescent="0.2">
      <c r="A81" s="62" t="s">
        <v>158</v>
      </c>
      <c r="B81" s="62" t="s">
        <v>64</v>
      </c>
      <c r="C81" s="107">
        <v>4.5599999999999996</v>
      </c>
      <c r="E81" s="64">
        <v>4.5599999999999996</v>
      </c>
      <c r="G81" s="91"/>
      <c r="H81" s="91"/>
      <c r="I81" s="91"/>
      <c r="J81" s="91"/>
      <c r="K81" s="91"/>
      <c r="L81" s="91"/>
      <c r="M81" s="91"/>
      <c r="N81" s="91"/>
    </row>
    <row r="82" spans="1:14" ht="12.75" x14ac:dyDescent="0.2">
      <c r="A82" s="62" t="s">
        <v>166</v>
      </c>
      <c r="C82" s="107">
        <v>2.75E-2</v>
      </c>
      <c r="E82" s="64">
        <v>2.75E-2</v>
      </c>
      <c r="G82" s="91"/>
      <c r="H82" s="91"/>
      <c r="I82" s="91"/>
      <c r="J82" s="91"/>
      <c r="K82" s="91"/>
      <c r="L82" s="91"/>
      <c r="M82" s="91"/>
      <c r="N82" s="91"/>
    </row>
    <row r="83" spans="1:14" ht="12.75" x14ac:dyDescent="0.2">
      <c r="A83" s="62" t="s">
        <v>159</v>
      </c>
      <c r="C83" s="107">
        <v>9.1999999999999998E-3</v>
      </c>
      <c r="E83" s="107">
        <v>0.2127</v>
      </c>
      <c r="G83" s="91"/>
      <c r="H83" s="91"/>
      <c r="I83" s="91"/>
      <c r="J83" s="91"/>
      <c r="K83" s="91"/>
      <c r="L83" s="91"/>
      <c r="M83" s="91"/>
      <c r="N83" s="91"/>
    </row>
    <row r="84" spans="1:14" ht="12.75" x14ac:dyDescent="0.2">
      <c r="A84" s="62" t="s">
        <v>160</v>
      </c>
      <c r="C84" s="107">
        <v>9.4000000000000004E-3</v>
      </c>
      <c r="E84" s="107">
        <v>9.4000000000000004E-3</v>
      </c>
      <c r="F84" s="91"/>
      <c r="G84" s="91"/>
      <c r="H84" s="91"/>
      <c r="I84" s="91"/>
      <c r="J84" s="91"/>
      <c r="K84" s="91"/>
      <c r="L84" s="91"/>
      <c r="M84" s="91"/>
      <c r="N84" s="91"/>
    </row>
    <row r="85" spans="1:14" ht="12.75" x14ac:dyDescent="0.2">
      <c r="A85" s="62" t="s">
        <v>161</v>
      </c>
      <c r="C85" s="108">
        <v>0.03</v>
      </c>
      <c r="E85" s="108">
        <v>0.03</v>
      </c>
      <c r="F85" s="91"/>
      <c r="G85" s="91"/>
      <c r="H85" s="91"/>
      <c r="I85" s="91"/>
      <c r="J85" s="91"/>
      <c r="K85" s="91"/>
      <c r="L85" s="91"/>
      <c r="M85" s="91"/>
      <c r="N85" s="91"/>
    </row>
    <row r="86" spans="1:14" ht="12.75" x14ac:dyDescent="0.2">
      <c r="A86" s="62" t="s">
        <v>162</v>
      </c>
      <c r="C86" s="109">
        <f>ROUND((+C81+C82)/(1-C85)-(C81+C82)+C83+C84,4)</f>
        <v>0.1605</v>
      </c>
      <c r="E86" s="109">
        <f>ROUND((+E81+E82)/(1-E85)-(E81+E82)+E83+E84,4)</f>
        <v>0.36399999999999999</v>
      </c>
      <c r="F86" s="91"/>
      <c r="G86" s="91"/>
      <c r="H86" s="91"/>
      <c r="I86" s="91"/>
      <c r="J86" s="91"/>
      <c r="K86" s="91"/>
      <c r="L86" s="91"/>
      <c r="M86" s="91"/>
      <c r="N86" s="91"/>
    </row>
    <row r="87" spans="1:14" ht="13.5" thickBot="1" x14ac:dyDescent="0.25">
      <c r="A87" s="62" t="s">
        <v>163</v>
      </c>
      <c r="C87" s="110">
        <f>SUM(C86,C81:C82)</f>
        <v>4.7479999999999993</v>
      </c>
      <c r="E87" s="102">
        <f>SUM(E86,E81:E82)</f>
        <v>4.9514999999999993</v>
      </c>
      <c r="F87" s="91"/>
      <c r="G87" s="91"/>
      <c r="H87" s="91"/>
      <c r="I87" s="91"/>
      <c r="J87" s="91"/>
      <c r="K87" s="91"/>
      <c r="L87" s="91"/>
      <c r="M87" s="91"/>
      <c r="N87" s="91"/>
    </row>
    <row r="88" spans="1:14" ht="13.5" thickTop="1" x14ac:dyDescent="0.2">
      <c r="F88" s="91"/>
      <c r="G88" s="91"/>
      <c r="H88" s="91"/>
      <c r="I88" s="91"/>
      <c r="J88" s="91"/>
      <c r="K88" s="91"/>
      <c r="L88" s="91"/>
      <c r="M88" s="91"/>
      <c r="N88" s="91"/>
    </row>
    <row r="89" spans="1:14" ht="12.75" x14ac:dyDescent="0.2">
      <c r="A89" s="62" t="s">
        <v>320</v>
      </c>
      <c r="F89" s="91"/>
      <c r="G89" s="91"/>
      <c r="H89" s="91"/>
      <c r="I89" s="91"/>
      <c r="J89" s="91"/>
      <c r="K89" s="91"/>
      <c r="L89" s="91"/>
      <c r="M89" s="91"/>
      <c r="N89" s="91"/>
    </row>
    <row r="90" spans="1:14" ht="12.75" x14ac:dyDescent="0.2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</row>
    <row r="91" spans="1:14" ht="12.75" x14ac:dyDescent="0.2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</row>
    <row r="92" spans="1:14" ht="12.75" x14ac:dyDescent="0.2">
      <c r="A92" s="66" t="s">
        <v>246</v>
      </c>
      <c r="F92" s="91"/>
      <c r="G92" s="91"/>
      <c r="H92" s="91"/>
      <c r="I92" s="91"/>
      <c r="J92" s="91"/>
      <c r="K92" s="91"/>
      <c r="L92" s="91"/>
      <c r="M92" s="91"/>
      <c r="N92" s="91"/>
    </row>
    <row r="93" spans="1:14" ht="12.75" x14ac:dyDescent="0.2">
      <c r="A93" s="62" t="s">
        <v>158</v>
      </c>
      <c r="B93" s="62" t="s">
        <v>151</v>
      </c>
      <c r="C93" s="107">
        <v>4.29</v>
      </c>
      <c r="F93" s="91"/>
      <c r="G93" s="91"/>
      <c r="H93" s="91"/>
      <c r="I93" s="91"/>
      <c r="J93" s="91"/>
      <c r="K93" s="91"/>
      <c r="L93" s="91"/>
      <c r="M93" s="91"/>
      <c r="N93" s="91"/>
    </row>
    <row r="94" spans="1:14" ht="12.75" x14ac:dyDescent="0.2">
      <c r="A94" s="62" t="s">
        <v>166</v>
      </c>
      <c r="C94" s="107">
        <v>0.01</v>
      </c>
      <c r="F94" s="91"/>
      <c r="G94" s="91"/>
      <c r="H94" s="91"/>
      <c r="I94" s="91"/>
      <c r="J94" s="91"/>
      <c r="K94" s="91"/>
      <c r="L94" s="91"/>
      <c r="M94" s="91"/>
      <c r="N94" s="91"/>
    </row>
    <row r="95" spans="1:14" ht="12.75" x14ac:dyDescent="0.2">
      <c r="A95" s="62" t="s">
        <v>159</v>
      </c>
      <c r="C95" s="107">
        <v>0.11260000000000001</v>
      </c>
      <c r="F95" s="91"/>
      <c r="G95" s="91"/>
      <c r="H95" s="91"/>
      <c r="I95" s="91"/>
      <c r="J95" s="91"/>
      <c r="K95" s="91"/>
      <c r="L95" s="91"/>
      <c r="M95" s="91"/>
      <c r="N95" s="91"/>
    </row>
    <row r="96" spans="1:14" ht="12.75" x14ac:dyDescent="0.2">
      <c r="A96" s="62" t="s">
        <v>160</v>
      </c>
      <c r="C96" s="107">
        <v>9.4000000000000004E-3</v>
      </c>
      <c r="F96" s="91"/>
      <c r="G96" s="91"/>
      <c r="H96" s="91"/>
      <c r="I96" s="91"/>
      <c r="J96" s="91"/>
      <c r="K96" s="91"/>
      <c r="L96" s="91"/>
      <c r="M96" s="91"/>
      <c r="N96" s="91"/>
    </row>
    <row r="97" spans="1:14" ht="12.75" x14ac:dyDescent="0.2">
      <c r="A97" s="62" t="s">
        <v>161</v>
      </c>
      <c r="C97" s="108">
        <v>5.9700000000000003E-2</v>
      </c>
      <c r="F97" s="91"/>
      <c r="G97" s="91"/>
      <c r="H97" s="91"/>
      <c r="I97" s="91"/>
      <c r="J97" s="91"/>
      <c r="K97" s="91"/>
      <c r="L97" s="91"/>
      <c r="M97" s="91"/>
      <c r="N97" s="91"/>
    </row>
    <row r="98" spans="1:14" ht="12.75" x14ac:dyDescent="0.2">
      <c r="A98" s="62" t="s">
        <v>162</v>
      </c>
      <c r="C98" s="109">
        <f>ROUND((+C93+C94)/(1-C97)-(C93+C94)+C95+C96,4)</f>
        <v>0.39500000000000002</v>
      </c>
      <c r="F98" s="91"/>
      <c r="G98" s="91"/>
      <c r="H98" s="91"/>
      <c r="I98" s="91"/>
      <c r="J98" s="91"/>
      <c r="K98" s="91"/>
      <c r="L98" s="91"/>
      <c r="M98" s="91"/>
      <c r="N98" s="91"/>
    </row>
    <row r="99" spans="1:14" ht="13.5" thickBot="1" x14ac:dyDescent="0.25">
      <c r="C99" s="110">
        <f>SUM(C98,C93:C94)</f>
        <v>4.6950000000000003</v>
      </c>
      <c r="D99" s="62" t="s">
        <v>363</v>
      </c>
      <c r="F99" s="91"/>
      <c r="G99" s="91"/>
      <c r="H99" s="91"/>
      <c r="I99" s="91"/>
      <c r="J99" s="91"/>
      <c r="K99" s="91"/>
      <c r="L99" s="91"/>
      <c r="M99" s="91"/>
      <c r="N99" s="91"/>
    </row>
    <row r="100" spans="1:14" ht="13.5" thickTop="1" x14ac:dyDescent="0.2">
      <c r="E100" s="91"/>
      <c r="F100" s="91"/>
      <c r="G100" s="91"/>
      <c r="H100" s="91"/>
      <c r="I100" s="91"/>
      <c r="J100" s="91"/>
      <c r="K100" s="91"/>
      <c r="L100" s="91"/>
      <c r="M100" s="91"/>
      <c r="N100" s="91"/>
    </row>
    <row r="101" spans="1:14" ht="12.75" x14ac:dyDescent="0.2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</row>
    <row r="102" spans="1:14" ht="12.75" x14ac:dyDescent="0.2">
      <c r="A102" s="66" t="s">
        <v>247</v>
      </c>
      <c r="E102" s="91"/>
      <c r="F102" s="91"/>
      <c r="G102" s="91"/>
      <c r="H102" s="91"/>
      <c r="I102" s="91"/>
      <c r="J102" s="91"/>
      <c r="K102" s="91"/>
      <c r="L102" s="91"/>
      <c r="M102" s="91"/>
      <c r="N102" s="91"/>
    </row>
    <row r="103" spans="1:14" ht="12.75" x14ac:dyDescent="0.2">
      <c r="A103" s="62" t="s">
        <v>158</v>
      </c>
      <c r="B103" s="62" t="s">
        <v>248</v>
      </c>
      <c r="C103" s="107">
        <v>4.3</v>
      </c>
      <c r="E103" s="91"/>
      <c r="F103" s="91"/>
      <c r="G103" s="91"/>
      <c r="H103" s="91"/>
      <c r="I103" s="91"/>
      <c r="J103" s="91"/>
      <c r="K103" s="91"/>
      <c r="L103" s="91"/>
      <c r="M103" s="91"/>
      <c r="N103" s="91"/>
    </row>
    <row r="104" spans="1:14" ht="12.75" x14ac:dyDescent="0.2">
      <c r="A104" s="62" t="s">
        <v>166</v>
      </c>
      <c r="C104" s="107">
        <v>0.01</v>
      </c>
      <c r="E104" s="91"/>
      <c r="F104" s="91"/>
      <c r="G104" s="91"/>
      <c r="H104" s="91"/>
      <c r="I104" s="91"/>
      <c r="J104" s="91"/>
      <c r="K104" s="91"/>
      <c r="L104" s="91"/>
      <c r="M104" s="91"/>
      <c r="N104" s="91"/>
    </row>
    <row r="105" spans="1:14" ht="12.75" x14ac:dyDescent="0.2">
      <c r="A105" s="62" t="s">
        <v>159</v>
      </c>
      <c r="C105" s="107">
        <v>0.1012</v>
      </c>
      <c r="E105" s="91"/>
      <c r="F105" s="91"/>
      <c r="G105" s="91"/>
      <c r="H105" s="91"/>
      <c r="I105" s="91"/>
      <c r="J105" s="91"/>
      <c r="K105" s="91"/>
      <c r="L105" s="91"/>
      <c r="M105" s="91"/>
      <c r="N105" s="91"/>
    </row>
    <row r="106" spans="1:14" ht="12.75" x14ac:dyDescent="0.2">
      <c r="A106" s="62" t="s">
        <v>160</v>
      </c>
      <c r="C106" s="107">
        <v>9.4000000000000004E-3</v>
      </c>
      <c r="E106" s="91"/>
      <c r="F106" s="91"/>
      <c r="G106" s="91"/>
      <c r="H106" s="91"/>
      <c r="I106" s="91"/>
      <c r="J106" s="91"/>
      <c r="K106" s="91"/>
      <c r="L106" s="91"/>
      <c r="M106" s="91"/>
      <c r="N106" s="91"/>
    </row>
    <row r="107" spans="1:14" ht="12.75" x14ac:dyDescent="0.2">
      <c r="A107" s="62" t="s">
        <v>161</v>
      </c>
      <c r="C107" s="108">
        <v>7.0499999999999993E-2</v>
      </c>
      <c r="E107" s="91"/>
      <c r="F107" s="91"/>
      <c r="G107" s="91"/>
      <c r="H107" s="91"/>
      <c r="I107" s="91"/>
      <c r="J107" s="91"/>
      <c r="K107" s="91"/>
      <c r="L107" s="91"/>
      <c r="M107" s="91"/>
      <c r="N107" s="91"/>
    </row>
    <row r="108" spans="1:14" ht="12.75" x14ac:dyDescent="0.2">
      <c r="A108" s="62" t="s">
        <v>162</v>
      </c>
      <c r="C108" s="109">
        <f>ROUND((+C103+C104)/(1-C107)-(C103+C104)+C105+C106,4)</f>
        <v>0.4375</v>
      </c>
      <c r="D108" s="62" t="s">
        <v>316</v>
      </c>
      <c r="E108" s="91"/>
      <c r="F108" s="91"/>
      <c r="G108" s="91"/>
      <c r="H108" s="91"/>
      <c r="I108" s="91"/>
      <c r="J108" s="91"/>
      <c r="K108" s="91"/>
      <c r="L108" s="91"/>
      <c r="M108" s="91"/>
      <c r="N108" s="91"/>
    </row>
    <row r="109" spans="1:14" ht="13.5" thickBot="1" x14ac:dyDescent="0.25">
      <c r="C109" s="110">
        <f>SUM(C108,C103:C104)</f>
        <v>4.7474999999999996</v>
      </c>
      <c r="D109" s="62" t="s">
        <v>317</v>
      </c>
      <c r="E109" s="91"/>
      <c r="F109" s="91"/>
      <c r="G109" s="91"/>
      <c r="H109" s="91"/>
      <c r="I109" s="91"/>
      <c r="J109" s="91"/>
      <c r="K109" s="91"/>
      <c r="L109" s="91"/>
      <c r="M109" s="91"/>
      <c r="N109" s="91"/>
    </row>
    <row r="110" spans="1:14" ht="13.5" thickTop="1" x14ac:dyDescent="0.2">
      <c r="E110" s="91"/>
      <c r="F110" s="91"/>
      <c r="G110" s="91"/>
      <c r="H110" s="91"/>
      <c r="I110" s="91"/>
      <c r="J110" s="91"/>
      <c r="K110" s="91"/>
      <c r="L110" s="91"/>
      <c r="M110" s="91"/>
      <c r="N110" s="91"/>
    </row>
    <row r="111" spans="1:14" ht="12.75" x14ac:dyDescent="0.2">
      <c r="A111" s="62" t="s">
        <v>315</v>
      </c>
      <c r="E111" s="91"/>
      <c r="F111" s="91"/>
      <c r="G111" s="91"/>
      <c r="H111" s="91"/>
      <c r="I111" s="91"/>
      <c r="J111" s="91"/>
      <c r="K111" s="91"/>
      <c r="L111" s="91"/>
      <c r="M111" s="91"/>
      <c r="N111" s="91"/>
    </row>
    <row r="112" spans="1:14" ht="12.75" x14ac:dyDescent="0.2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</row>
    <row r="113" spans="1:14" ht="12.75" x14ac:dyDescent="0.2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</row>
    <row r="114" spans="1:14" ht="12.75" x14ac:dyDescent="0.2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</row>
    <row r="115" spans="1:14" ht="12.75" x14ac:dyDescent="0.2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</row>
    <row r="116" spans="1:14" ht="12.75" x14ac:dyDescent="0.2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</row>
    <row r="117" spans="1:14" ht="12.75" x14ac:dyDescent="0.2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</row>
    <row r="118" spans="1:14" ht="12.75" x14ac:dyDescent="0.2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</row>
    <row r="119" spans="1:14" ht="12.75" x14ac:dyDescent="0.2">
      <c r="A119" s="65" t="s">
        <v>43</v>
      </c>
      <c r="G119" s="25"/>
      <c r="H119" s="25"/>
    </row>
    <row r="120" spans="1:14" ht="12.75" x14ac:dyDescent="0.2">
      <c r="D120" s="94"/>
      <c r="F120" s="93"/>
      <c r="G120" s="25"/>
    </row>
    <row r="121" spans="1:14" x14ac:dyDescent="0.2">
      <c r="A121" s="62" t="s">
        <v>157</v>
      </c>
      <c r="E121" s="67"/>
      <c r="F121" s="67"/>
      <c r="G121" s="67"/>
      <c r="H121" s="67"/>
      <c r="I121" s="67"/>
      <c r="J121" s="67"/>
      <c r="K121" s="67"/>
      <c r="L121" s="67"/>
    </row>
    <row r="122" spans="1:14" ht="12.75" x14ac:dyDescent="0.2">
      <c r="A122" s="62" t="s">
        <v>158</v>
      </c>
      <c r="B122" s="62" t="s">
        <v>142</v>
      </c>
      <c r="C122" s="64">
        <v>4.3600000000000003</v>
      </c>
      <c r="E122" s="67"/>
      <c r="F122" s="67"/>
      <c r="G122" s="68"/>
      <c r="H122" s="67"/>
      <c r="I122" s="67"/>
      <c r="J122" s="67"/>
      <c r="K122" s="68"/>
      <c r="L122" s="34"/>
    </row>
    <row r="123" spans="1:14" ht="12.75" x14ac:dyDescent="0.2">
      <c r="C123" s="64">
        <v>7.4999999999999997E-3</v>
      </c>
      <c r="E123" s="67"/>
      <c r="F123" s="67"/>
      <c r="G123" s="68"/>
      <c r="H123" s="67"/>
      <c r="I123" s="67"/>
      <c r="J123" s="67"/>
      <c r="K123" s="68"/>
      <c r="L123" s="34"/>
    </row>
    <row r="124" spans="1:14" ht="12.75" x14ac:dyDescent="0.2">
      <c r="A124" s="62" t="s">
        <v>159</v>
      </c>
      <c r="B124" s="25"/>
      <c r="C124" s="107">
        <v>2.7400000000000001E-2</v>
      </c>
      <c r="E124" s="67"/>
      <c r="F124" s="34"/>
      <c r="G124" s="68"/>
      <c r="H124" s="67"/>
      <c r="I124" s="67"/>
      <c r="J124" s="34"/>
      <c r="K124" s="68"/>
      <c r="L124" s="34"/>
    </row>
    <row r="125" spans="1:14" ht="12.75" x14ac:dyDescent="0.2">
      <c r="A125" s="62" t="s">
        <v>160</v>
      </c>
      <c r="B125" s="25"/>
      <c r="C125" s="107">
        <v>2.2499999999999999E-2</v>
      </c>
      <c r="E125" s="67"/>
      <c r="F125" s="34"/>
      <c r="G125" s="68"/>
      <c r="H125" s="67"/>
      <c r="I125" s="67"/>
      <c r="J125" s="34"/>
      <c r="K125" s="68"/>
      <c r="L125" s="34"/>
    </row>
    <row r="126" spans="1:14" ht="12.75" x14ac:dyDescent="0.2">
      <c r="A126" s="62" t="s">
        <v>161</v>
      </c>
      <c r="B126" s="87"/>
      <c r="C126" s="108">
        <v>4.7199999999999999E-2</v>
      </c>
      <c r="E126" s="67"/>
      <c r="F126" s="85"/>
      <c r="G126" s="69"/>
      <c r="H126" s="67"/>
      <c r="I126" s="67"/>
      <c r="J126" s="85"/>
      <c r="K126" s="69"/>
      <c r="L126" s="34"/>
    </row>
    <row r="127" spans="1:14" ht="12.75" x14ac:dyDescent="0.2">
      <c r="A127" s="62" t="s">
        <v>162</v>
      </c>
      <c r="C127" s="109">
        <f>ROUND((+C122+C123)/(1-C126)+(C124+C125),4)-C122-C123</f>
        <v>0.26629999999999959</v>
      </c>
      <c r="E127" s="67"/>
      <c r="F127" s="67"/>
      <c r="G127" s="68"/>
      <c r="H127" s="67"/>
      <c r="I127" s="67"/>
      <c r="J127" s="67"/>
      <c r="K127" s="68"/>
      <c r="L127" s="34"/>
    </row>
    <row r="128" spans="1:14" ht="13.5" thickBot="1" x14ac:dyDescent="0.25">
      <c r="C128" s="102">
        <f>SUM(C127,C122:C123)</f>
        <v>4.6337999999999999</v>
      </c>
      <c r="D128" s="62" t="s">
        <v>323</v>
      </c>
      <c r="E128" s="67"/>
      <c r="F128" s="67"/>
      <c r="G128" s="67"/>
      <c r="H128" s="67"/>
      <c r="I128" s="67"/>
      <c r="J128" s="67"/>
      <c r="K128" s="67"/>
      <c r="L128" s="34"/>
      <c r="M128" s="63"/>
      <c r="N128" s="64"/>
    </row>
    <row r="129" spans="1:14" ht="13.5" thickTop="1" x14ac:dyDescent="0.2">
      <c r="B129" s="25"/>
      <c r="C129" s="64"/>
      <c r="G129" s="63"/>
      <c r="H129" s="86"/>
    </row>
    <row r="130" spans="1:14" ht="12.75" x14ac:dyDescent="0.2">
      <c r="K130" s="25"/>
      <c r="L130" s="64"/>
    </row>
    <row r="131" spans="1:14" ht="12.75" x14ac:dyDescent="0.2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</row>
    <row r="132" spans="1:14" x14ac:dyDescent="0.2">
      <c r="A132" s="62" t="s">
        <v>249</v>
      </c>
      <c r="E132" s="67"/>
      <c r="F132" s="67"/>
      <c r="G132" s="67"/>
      <c r="H132" s="67"/>
      <c r="I132" s="67"/>
      <c r="J132" s="67"/>
      <c r="K132" s="67"/>
      <c r="L132" s="67"/>
    </row>
    <row r="133" spans="1:14" ht="12.75" x14ac:dyDescent="0.2">
      <c r="A133" s="62" t="s">
        <v>158</v>
      </c>
      <c r="B133" s="62" t="s">
        <v>142</v>
      </c>
      <c r="C133" s="107">
        <v>4.3600000000000003</v>
      </c>
      <c r="E133" s="67"/>
      <c r="F133" s="67"/>
      <c r="G133" s="68"/>
      <c r="H133" s="67"/>
      <c r="I133" s="67"/>
      <c r="J133" s="67"/>
      <c r="K133" s="68"/>
      <c r="L133" s="34"/>
    </row>
    <row r="134" spans="1:14" ht="12.75" x14ac:dyDescent="0.2">
      <c r="C134" s="107">
        <v>7.4999999999999997E-3</v>
      </c>
      <c r="E134" s="67"/>
      <c r="F134" s="67"/>
      <c r="G134" s="68"/>
      <c r="H134" s="67"/>
      <c r="I134" s="67"/>
      <c r="J134" s="67"/>
      <c r="K134" s="68"/>
      <c r="L134" s="34"/>
    </row>
    <row r="135" spans="1:14" ht="12.75" x14ac:dyDescent="0.2">
      <c r="A135" s="62" t="s">
        <v>159</v>
      </c>
      <c r="B135" s="25"/>
      <c r="C135" s="107">
        <v>1.4E-2</v>
      </c>
      <c r="E135" s="67"/>
      <c r="F135" s="34"/>
      <c r="G135" s="68"/>
      <c r="H135" s="67"/>
      <c r="I135" s="67"/>
      <c r="J135" s="34"/>
      <c r="K135" s="68"/>
      <c r="L135" s="34"/>
    </row>
    <row r="136" spans="1:14" ht="12.75" x14ac:dyDescent="0.2">
      <c r="A136" s="62" t="s">
        <v>160</v>
      </c>
      <c r="B136" s="25"/>
      <c r="C136" s="107">
        <v>2.2499999999999999E-2</v>
      </c>
      <c r="E136" s="67"/>
      <c r="F136" s="34"/>
      <c r="G136" s="68"/>
      <c r="H136" s="67"/>
      <c r="I136" s="67"/>
      <c r="J136" s="34"/>
      <c r="K136" s="68"/>
      <c r="L136" s="34"/>
    </row>
    <row r="137" spans="1:14" ht="12.75" x14ac:dyDescent="0.2">
      <c r="A137" s="62" t="s">
        <v>161</v>
      </c>
      <c r="B137" s="87"/>
      <c r="C137" s="108">
        <v>2.35E-2</v>
      </c>
      <c r="E137" s="67"/>
      <c r="F137" s="85"/>
      <c r="G137" s="69"/>
      <c r="H137" s="67"/>
      <c r="I137" s="67"/>
      <c r="J137" s="85"/>
      <c r="K137" s="69"/>
      <c r="L137" s="34"/>
    </row>
    <row r="138" spans="1:14" ht="12.75" x14ac:dyDescent="0.2">
      <c r="A138" s="62" t="s">
        <v>162</v>
      </c>
      <c r="C138" s="109">
        <f>ROUND((+C133+C134)/(1-C137)+(C135+C136),4)-C133-C134</f>
        <v>0.14159999999999978</v>
      </c>
      <c r="E138" s="67"/>
      <c r="F138" s="67"/>
      <c r="G138" s="68"/>
      <c r="H138" s="67"/>
      <c r="I138" s="67"/>
      <c r="J138" s="67"/>
      <c r="K138" s="68"/>
      <c r="L138" s="34"/>
    </row>
    <row r="139" spans="1:14" ht="13.5" thickBot="1" x14ac:dyDescent="0.25">
      <c r="C139" s="110">
        <f>SUM(C138,C133:C134)</f>
        <v>4.5091000000000001</v>
      </c>
      <c r="D139" s="62" t="s">
        <v>321</v>
      </c>
      <c r="E139" s="67"/>
      <c r="F139" s="67"/>
      <c r="G139" s="67"/>
      <c r="H139" s="67"/>
      <c r="I139" s="67"/>
      <c r="J139" s="67"/>
      <c r="K139" s="67"/>
      <c r="L139" s="34"/>
      <c r="M139" s="63"/>
      <c r="N139" s="64"/>
    </row>
    <row r="140" spans="1:14" ht="13.5" thickTop="1" x14ac:dyDescent="0.2">
      <c r="B140" s="25"/>
      <c r="C140" s="64"/>
      <c r="G140" s="63"/>
      <c r="H140" s="86"/>
    </row>
    <row r="141" spans="1:14" ht="12.75" x14ac:dyDescent="0.2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</row>
    <row r="142" spans="1:14" ht="12.75" x14ac:dyDescent="0.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</row>
    <row r="143" spans="1:14" x14ac:dyDescent="0.2">
      <c r="A143" s="62" t="s">
        <v>250</v>
      </c>
      <c r="I143" s="62" t="s">
        <v>251</v>
      </c>
    </row>
    <row r="144" spans="1:14" ht="12.75" x14ac:dyDescent="0.2">
      <c r="A144" s="62" t="s">
        <v>158</v>
      </c>
      <c r="B144" s="62" t="s">
        <v>252</v>
      </c>
      <c r="C144" s="107">
        <v>4.37</v>
      </c>
      <c r="I144" s="62" t="s">
        <v>158</v>
      </c>
      <c r="J144" s="62" t="s">
        <v>252</v>
      </c>
      <c r="K144" s="107">
        <v>4.37</v>
      </c>
      <c r="L144" s="25"/>
    </row>
    <row r="145" spans="1:14" ht="12.75" x14ac:dyDescent="0.2">
      <c r="A145" s="62" t="s">
        <v>166</v>
      </c>
      <c r="C145" s="107">
        <v>1.7500000000000002E-2</v>
      </c>
      <c r="K145" s="107">
        <v>1.7500000000000002E-2</v>
      </c>
      <c r="L145" s="25"/>
    </row>
    <row r="146" spans="1:14" ht="12.75" x14ac:dyDescent="0.2">
      <c r="A146" s="62" t="s">
        <v>159</v>
      </c>
      <c r="B146" s="25"/>
      <c r="C146" s="107">
        <v>1.15E-2</v>
      </c>
      <c r="I146" s="62" t="s">
        <v>159</v>
      </c>
      <c r="J146" s="25"/>
      <c r="K146" s="107">
        <v>2.3E-3</v>
      </c>
      <c r="L146" s="25"/>
    </row>
    <row r="147" spans="1:14" ht="12.75" x14ac:dyDescent="0.2">
      <c r="A147" s="62" t="s">
        <v>160</v>
      </c>
      <c r="B147" s="25"/>
      <c r="C147" s="107">
        <v>9.4000000000000004E-3</v>
      </c>
      <c r="D147" s="62" t="s">
        <v>253</v>
      </c>
      <c r="I147" s="62" t="s">
        <v>160</v>
      </c>
      <c r="J147" s="25"/>
      <c r="K147" s="107">
        <v>9.4000000000000004E-3</v>
      </c>
      <c r="L147" s="62" t="s">
        <v>253</v>
      </c>
    </row>
    <row r="148" spans="1:14" ht="12.75" x14ac:dyDescent="0.2">
      <c r="A148" s="62" t="s">
        <v>161</v>
      </c>
      <c r="B148" s="87"/>
      <c r="C148" s="108">
        <v>1.9E-2</v>
      </c>
      <c r="I148" s="62" t="s">
        <v>161</v>
      </c>
      <c r="J148" s="87"/>
      <c r="K148" s="108">
        <v>1.9E-2</v>
      </c>
      <c r="L148" s="25"/>
    </row>
    <row r="149" spans="1:14" ht="12.75" x14ac:dyDescent="0.2">
      <c r="A149" s="62" t="s">
        <v>162</v>
      </c>
      <c r="C149" s="109">
        <f>ROUND((+C144+C145)/(1-C148)+(C146+C147),4)-C144-C145</f>
        <v>0.10590000000000017</v>
      </c>
      <c r="I149" s="62" t="s">
        <v>162</v>
      </c>
      <c r="K149" s="109">
        <f>ROUND((+K144+K145)/(1-K148)+(K146+K147),4)-K144-K145</f>
        <v>9.67000000000003E-2</v>
      </c>
      <c r="L149" s="25"/>
    </row>
    <row r="150" spans="1:14" ht="13.5" thickBot="1" x14ac:dyDescent="0.25">
      <c r="A150" s="62" t="s">
        <v>163</v>
      </c>
      <c r="C150" s="110">
        <f>SUM(C149,C144:C145)</f>
        <v>4.4934000000000003</v>
      </c>
      <c r="D150" s="62" t="s">
        <v>322</v>
      </c>
      <c r="I150" s="67" t="s">
        <v>163</v>
      </c>
      <c r="J150" s="67"/>
      <c r="K150" s="110">
        <f>SUM(K149,K144:K145)</f>
        <v>4.4842000000000004</v>
      </c>
      <c r="L150" s="25" t="s">
        <v>262</v>
      </c>
      <c r="M150" s="63"/>
      <c r="N150" s="64"/>
    </row>
    <row r="151" spans="1:14" ht="13.5" thickTop="1" x14ac:dyDescent="0.2">
      <c r="B151" s="25"/>
      <c r="C151" s="64"/>
      <c r="G151" s="63"/>
      <c r="H151" s="86"/>
    </row>
    <row r="152" spans="1:14" ht="12.75" x14ac:dyDescent="0.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</row>
    <row r="153" spans="1:14" x14ac:dyDescent="0.2">
      <c r="A153" s="62" t="s">
        <v>254</v>
      </c>
    </row>
    <row r="154" spans="1:14" x14ac:dyDescent="0.2">
      <c r="A154" s="62" t="s">
        <v>158</v>
      </c>
      <c r="B154" s="62" t="s">
        <v>252</v>
      </c>
      <c r="C154" s="107">
        <v>4.37</v>
      </c>
      <c r="D154" s="62" t="s">
        <v>255</v>
      </c>
    </row>
    <row r="155" spans="1:14" ht="12.75" x14ac:dyDescent="0.2">
      <c r="A155" s="62" t="s">
        <v>159</v>
      </c>
      <c r="B155" s="25"/>
      <c r="C155" s="107">
        <v>2.0299999999999999E-2</v>
      </c>
    </row>
    <row r="156" spans="1:14" ht="12.75" x14ac:dyDescent="0.2">
      <c r="A156" s="62" t="s">
        <v>160</v>
      </c>
      <c r="B156" s="25"/>
      <c r="C156" s="107">
        <v>2.2499999999999999E-2</v>
      </c>
    </row>
    <row r="157" spans="1:14" x14ac:dyDescent="0.2">
      <c r="A157" s="62" t="s">
        <v>161</v>
      </c>
      <c r="B157" s="87"/>
      <c r="C157" s="108">
        <v>3.4299999999999997E-2</v>
      </c>
    </row>
    <row r="158" spans="1:14" x14ac:dyDescent="0.2">
      <c r="A158" s="62" t="s">
        <v>162</v>
      </c>
      <c r="C158" s="109">
        <v>0.14280000000000026</v>
      </c>
    </row>
    <row r="159" spans="1:14" x14ac:dyDescent="0.2">
      <c r="A159" s="62" t="s">
        <v>256</v>
      </c>
      <c r="C159" s="112">
        <v>0.27</v>
      </c>
    </row>
    <row r="160" spans="1:14" ht="12.75" thickBot="1" x14ac:dyDescent="0.25">
      <c r="A160" s="62" t="s">
        <v>163</v>
      </c>
      <c r="C160" s="110">
        <v>3.0428000000000002</v>
      </c>
      <c r="D160" s="62" t="s">
        <v>257</v>
      </c>
    </row>
    <row r="161" spans="1:4" ht="12.75" thickTop="1" x14ac:dyDescent="0.2">
      <c r="D161" s="62" t="s">
        <v>258</v>
      </c>
    </row>
    <row r="162" spans="1:4" x14ac:dyDescent="0.2">
      <c r="D162" s="62" t="s">
        <v>259</v>
      </c>
    </row>
    <row r="166" spans="1:4" x14ac:dyDescent="0.2">
      <c r="A166" s="62" t="s">
        <v>364</v>
      </c>
    </row>
    <row r="167" spans="1:4" x14ac:dyDescent="0.2">
      <c r="A167" s="62" t="s">
        <v>158</v>
      </c>
      <c r="B167" s="62" t="s">
        <v>142</v>
      </c>
      <c r="C167" s="107">
        <v>4.3600000000000003</v>
      </c>
    </row>
    <row r="168" spans="1:4" x14ac:dyDescent="0.2">
      <c r="C168" s="107">
        <v>7.4999999999999997E-3</v>
      </c>
    </row>
    <row r="169" spans="1:4" ht="12.75" x14ac:dyDescent="0.2">
      <c r="A169" s="62" t="s">
        <v>159</v>
      </c>
      <c r="B169" s="25"/>
      <c r="C169" s="107">
        <v>2.2800000000000001E-2</v>
      </c>
    </row>
    <row r="170" spans="1:4" ht="12.75" x14ac:dyDescent="0.2">
      <c r="A170" s="62" t="s">
        <v>160</v>
      </c>
      <c r="B170" s="25"/>
      <c r="C170" s="107">
        <v>2.2499999999999999E-2</v>
      </c>
    </row>
    <row r="171" spans="1:4" x14ac:dyDescent="0.2">
      <c r="A171" s="62" t="s">
        <v>161</v>
      </c>
      <c r="B171" s="87"/>
      <c r="C171" s="108">
        <v>3.8800000000000001E-2</v>
      </c>
    </row>
    <row r="172" spans="1:4" x14ac:dyDescent="0.2">
      <c r="A172" s="62" t="s">
        <v>162</v>
      </c>
      <c r="C172" s="109">
        <f>ROUND((+C167+C168)/(1-C171)+(C169+C170),4)-C167-C168</f>
        <v>0.22159999999999985</v>
      </c>
    </row>
    <row r="173" spans="1:4" ht="12.75" thickBot="1" x14ac:dyDescent="0.25">
      <c r="A173" s="62" t="s">
        <v>163</v>
      </c>
      <c r="C173" s="110">
        <f>SUM(C172,C167:C168)</f>
        <v>4.5891000000000002</v>
      </c>
      <c r="D173" s="62" t="s">
        <v>365</v>
      </c>
    </row>
    <row r="174" spans="1:4" ht="12.75" thickTop="1" x14ac:dyDescent="0.2"/>
    <row r="180" spans="1:4" x14ac:dyDescent="0.2">
      <c r="A180" s="66" t="s">
        <v>131</v>
      </c>
    </row>
    <row r="181" spans="1:4" x14ac:dyDescent="0.2">
      <c r="A181" s="62" t="s">
        <v>158</v>
      </c>
      <c r="B181" s="62" t="s">
        <v>366</v>
      </c>
      <c r="C181" s="107">
        <v>4.33</v>
      </c>
    </row>
    <row r="182" spans="1:4" x14ac:dyDescent="0.2">
      <c r="A182" s="62" t="s">
        <v>166</v>
      </c>
      <c r="C182" s="107">
        <v>-0.01</v>
      </c>
    </row>
    <row r="183" spans="1:4" x14ac:dyDescent="0.2">
      <c r="A183" s="62" t="s">
        <v>159</v>
      </c>
      <c r="C183" s="107">
        <v>3.2300000000000002E-2</v>
      </c>
    </row>
    <row r="184" spans="1:4" x14ac:dyDescent="0.2">
      <c r="A184" s="62" t="s">
        <v>160</v>
      </c>
      <c r="C184" s="107">
        <v>9.4000000000000004E-3</v>
      </c>
    </row>
    <row r="185" spans="1:4" x14ac:dyDescent="0.2">
      <c r="A185" s="62" t="s">
        <v>161</v>
      </c>
      <c r="C185" s="108">
        <v>2.6800000000000001E-2</v>
      </c>
    </row>
    <row r="186" spans="1:4" x14ac:dyDescent="0.2">
      <c r="A186" s="62" t="s">
        <v>162</v>
      </c>
      <c r="C186" s="109">
        <f>ROUND((+C181+C182)/(1-C185)+(C183+C184),4)-C181-C182</f>
        <v>0.16069999999999962</v>
      </c>
    </row>
    <row r="187" spans="1:4" ht="12.75" thickBot="1" x14ac:dyDescent="0.25">
      <c r="A187" s="62" t="s">
        <v>163</v>
      </c>
      <c r="C187" s="110">
        <f>SUM(C186,C181:C182)</f>
        <v>4.4806999999999997</v>
      </c>
      <c r="D187" s="62" t="s">
        <v>45</v>
      </c>
    </row>
    <row r="188" spans="1:4" ht="12.75" thickTop="1" x14ac:dyDescent="0.2"/>
    <row r="190" spans="1:4" x14ac:dyDescent="0.2">
      <c r="A190" s="66" t="s">
        <v>294</v>
      </c>
    </row>
    <row r="191" spans="1:4" x14ac:dyDescent="0.2">
      <c r="A191" s="62" t="s">
        <v>158</v>
      </c>
      <c r="B191" s="62" t="s">
        <v>367</v>
      </c>
      <c r="C191" s="107">
        <v>4.3499999999999996</v>
      </c>
    </row>
    <row r="192" spans="1:4" x14ac:dyDescent="0.2">
      <c r="A192" s="62" t="s">
        <v>166</v>
      </c>
      <c r="C192" s="107">
        <v>7.4999999999999997E-3</v>
      </c>
    </row>
    <row r="193" spans="1:4" x14ac:dyDescent="0.2">
      <c r="A193" s="62" t="s">
        <v>159</v>
      </c>
      <c r="C193" s="107">
        <v>2.1000000000000001E-2</v>
      </c>
    </row>
    <row r="194" spans="1:4" x14ac:dyDescent="0.2">
      <c r="A194" s="62" t="s">
        <v>160</v>
      </c>
      <c r="C194" s="107">
        <f>0.0022+0.0072</f>
        <v>9.4000000000000004E-3</v>
      </c>
    </row>
    <row r="195" spans="1:4" x14ac:dyDescent="0.2">
      <c r="A195" s="62" t="s">
        <v>161</v>
      </c>
      <c r="C195" s="108">
        <v>2.5999999999999999E-2</v>
      </c>
    </row>
    <row r="196" spans="1:4" x14ac:dyDescent="0.2">
      <c r="A196" s="62" t="s">
        <v>162</v>
      </c>
      <c r="C196" s="109">
        <f>ROUND((+C191+C192)/(1-C195)-(C191+C192)+C193+C194,4)</f>
        <v>0.1467</v>
      </c>
    </row>
    <row r="197" spans="1:4" ht="12.75" thickBot="1" x14ac:dyDescent="0.25">
      <c r="A197" s="62" t="s">
        <v>163</v>
      </c>
      <c r="C197" s="110">
        <f>SUM(C196,C191:C192)</f>
        <v>4.5042</v>
      </c>
      <c r="D197" s="62" t="s">
        <v>368</v>
      </c>
    </row>
    <row r="198" spans="1:4" ht="12.75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1"/>
  <sheetViews>
    <sheetView tabSelected="1" topLeftCell="C1" workbookViewId="0">
      <selection activeCell="Q24" sqref="Q24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394</v>
      </c>
      <c r="C1" s="3"/>
      <c r="D1" s="3"/>
      <c r="E1" s="4"/>
      <c r="F1" s="4"/>
      <c r="G1" s="1"/>
      <c r="H1" s="1"/>
      <c r="I1" s="3" t="s">
        <v>61</v>
      </c>
      <c r="J1" s="7">
        <v>31</v>
      </c>
      <c r="K1" s="47" t="s">
        <v>74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">
      <c r="B2" s="1" t="s">
        <v>69</v>
      </c>
      <c r="C2" s="1"/>
      <c r="D2" s="1"/>
      <c r="E2" s="4"/>
      <c r="F2" s="4"/>
      <c r="G2" s="1"/>
      <c r="H2" s="1"/>
      <c r="I2" s="3"/>
      <c r="J2" s="7"/>
      <c r="K2" s="47" t="s">
        <v>75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">
      <c r="B3" s="1" t="s">
        <v>70</v>
      </c>
      <c r="C3" s="1"/>
      <c r="D3" s="1"/>
      <c r="E3" s="4"/>
      <c r="F3" s="4"/>
      <c r="G3" s="6" t="s">
        <v>45</v>
      </c>
      <c r="H3" s="1" t="s">
        <v>45</v>
      </c>
      <c r="I3" s="2" t="s">
        <v>45</v>
      </c>
      <c r="J3" s="8"/>
      <c r="K3" s="31" t="s">
        <v>45</v>
      </c>
      <c r="L3" s="5"/>
      <c r="M3" s="31" t="s">
        <v>45</v>
      </c>
      <c r="N3" s="5"/>
      <c r="O3" s="42"/>
      <c r="P3" s="31" t="s">
        <v>45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">
      <c r="B5" s="1" t="s">
        <v>76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">
      <c r="B6" s="1"/>
      <c r="C6" s="3" t="s">
        <v>171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">
      <c r="B11" s="16" t="s">
        <v>46</v>
      </c>
      <c r="C11" s="17" t="s">
        <v>47</v>
      </c>
      <c r="D11" s="17" t="s">
        <v>48</v>
      </c>
      <c r="E11" s="18" t="s">
        <v>49</v>
      </c>
      <c r="F11" s="18"/>
      <c r="G11" s="16" t="s">
        <v>50</v>
      </c>
      <c r="H11" s="16" t="s">
        <v>51</v>
      </c>
      <c r="I11" s="17" t="s">
        <v>85</v>
      </c>
      <c r="J11" s="19" t="s">
        <v>52</v>
      </c>
      <c r="K11" s="17" t="s">
        <v>53</v>
      </c>
      <c r="L11" s="17" t="s">
        <v>54</v>
      </c>
      <c r="M11" s="17" t="s">
        <v>55</v>
      </c>
      <c r="N11" s="17" t="s">
        <v>56</v>
      </c>
      <c r="O11" s="43" t="s">
        <v>57</v>
      </c>
      <c r="P11" s="17" t="s">
        <v>58</v>
      </c>
      <c r="Q11" s="20" t="s">
        <v>168</v>
      </c>
      <c r="R11" s="17" t="s">
        <v>59</v>
      </c>
      <c r="S11" s="16" t="s">
        <v>60</v>
      </c>
      <c r="T11" s="21" t="s">
        <v>84</v>
      </c>
      <c r="U11" s="21" t="s">
        <v>83</v>
      </c>
      <c r="V11" s="53" t="s">
        <v>169</v>
      </c>
      <c r="W11" s="58" t="e">
        <f>+#REF!</f>
        <v>#REF!</v>
      </c>
      <c r="X11" s="36"/>
      <c r="Y11" s="36"/>
    </row>
    <row r="12" spans="2:25" s="115" customFormat="1" x14ac:dyDescent="0.2">
      <c r="B12" s="114" t="s">
        <v>170</v>
      </c>
      <c r="C12" s="116" t="s">
        <v>72</v>
      </c>
      <c r="D12" s="116" t="s">
        <v>129</v>
      </c>
      <c r="E12" s="117">
        <v>36678</v>
      </c>
      <c r="F12" s="117">
        <v>37042</v>
      </c>
      <c r="G12" s="114" t="s">
        <v>73</v>
      </c>
      <c r="H12" s="114" t="s">
        <v>66</v>
      </c>
      <c r="I12" s="116" t="s">
        <v>128</v>
      </c>
      <c r="J12" s="118">
        <f t="shared" ref="J12:J18" si="0">3.145/J$1</f>
        <v>0.10145161290322581</v>
      </c>
      <c r="K12" s="119">
        <v>1.32E-2</v>
      </c>
      <c r="L12" s="119">
        <v>2.2000000000000001E-3</v>
      </c>
      <c r="M12" s="119">
        <v>0</v>
      </c>
      <c r="N12" s="119">
        <v>0</v>
      </c>
      <c r="O12" s="120">
        <v>2.1160000000000002E-2</v>
      </c>
      <c r="P12" s="119">
        <f t="shared" ref="P12:P18" si="1">SUM(J12:N12)</f>
        <v>0.11685161290322581</v>
      </c>
      <c r="Q12" s="121">
        <v>68360</v>
      </c>
      <c r="R12" s="116">
        <v>291</v>
      </c>
      <c r="S12" s="114"/>
      <c r="T12" s="122">
        <f t="shared" ref="T12:T20" si="2">J12*J$1*R12</f>
        <v>915.19500000000005</v>
      </c>
      <c r="U12" s="122"/>
      <c r="V12" s="123">
        <v>271311</v>
      </c>
      <c r="W12" s="114"/>
      <c r="X12" s="124"/>
      <c r="Y12" s="124"/>
    </row>
    <row r="13" spans="2:25" s="115" customFormat="1" x14ac:dyDescent="0.2">
      <c r="B13" s="114" t="s">
        <v>170</v>
      </c>
      <c r="C13" s="116" t="s">
        <v>72</v>
      </c>
      <c r="D13" s="116" t="s">
        <v>82</v>
      </c>
      <c r="E13" s="117">
        <v>36678</v>
      </c>
      <c r="F13" s="117">
        <v>37042</v>
      </c>
      <c r="G13" s="114" t="s">
        <v>73</v>
      </c>
      <c r="H13" s="114" t="s">
        <v>66</v>
      </c>
      <c r="I13" s="116" t="s">
        <v>128</v>
      </c>
      <c r="J13" s="118">
        <f t="shared" si="0"/>
        <v>0.10145161290322581</v>
      </c>
      <c r="K13" s="119">
        <v>1.32E-2</v>
      </c>
      <c r="L13" s="119">
        <v>2.2000000000000001E-3</v>
      </c>
      <c r="M13" s="119">
        <v>0</v>
      </c>
      <c r="N13" s="119">
        <v>0</v>
      </c>
      <c r="O13" s="120">
        <v>2.1160000000000002E-2</v>
      </c>
      <c r="P13" s="119">
        <f t="shared" si="1"/>
        <v>0.11685161290322581</v>
      </c>
      <c r="Q13" s="121">
        <v>68385</v>
      </c>
      <c r="R13" s="116">
        <v>223</v>
      </c>
      <c r="S13" s="114"/>
      <c r="T13" s="122">
        <f t="shared" si="2"/>
        <v>701.33500000000004</v>
      </c>
      <c r="U13" s="122"/>
      <c r="V13" s="123">
        <v>280550</v>
      </c>
      <c r="W13" s="114"/>
      <c r="X13" s="124"/>
      <c r="Y13" s="124"/>
    </row>
    <row r="14" spans="2:25" s="115" customFormat="1" x14ac:dyDescent="0.2">
      <c r="B14" s="114" t="s">
        <v>170</v>
      </c>
      <c r="C14" s="116" t="s">
        <v>72</v>
      </c>
      <c r="D14" s="116" t="s">
        <v>129</v>
      </c>
      <c r="E14" s="117">
        <v>36708</v>
      </c>
      <c r="F14" s="117">
        <v>37072</v>
      </c>
      <c r="G14" s="114" t="s">
        <v>73</v>
      </c>
      <c r="H14" s="114" t="s">
        <v>66</v>
      </c>
      <c r="I14" s="116" t="s">
        <v>128</v>
      </c>
      <c r="J14" s="118">
        <f t="shared" si="0"/>
        <v>0.10145161290322581</v>
      </c>
      <c r="K14" s="119">
        <v>1.32E-2</v>
      </c>
      <c r="L14" s="119">
        <v>2.2000000000000001E-3</v>
      </c>
      <c r="M14" s="119">
        <v>0</v>
      </c>
      <c r="N14" s="119">
        <v>0</v>
      </c>
      <c r="O14" s="120">
        <v>2.1160000000000002E-2</v>
      </c>
      <c r="P14" s="119">
        <f t="shared" si="1"/>
        <v>0.11685161290322581</v>
      </c>
      <c r="Q14" s="121">
        <v>68615</v>
      </c>
      <c r="R14" s="116">
        <v>920</v>
      </c>
      <c r="S14" s="114"/>
      <c r="T14" s="122">
        <f t="shared" si="2"/>
        <v>2893.4</v>
      </c>
      <c r="U14" s="122"/>
      <c r="V14" s="123">
        <v>309873</v>
      </c>
      <c r="W14" s="114"/>
      <c r="X14" s="124"/>
      <c r="Y14" s="124"/>
    </row>
    <row r="15" spans="2:25" s="115" customFormat="1" x14ac:dyDescent="0.2">
      <c r="B15" s="114" t="s">
        <v>170</v>
      </c>
      <c r="C15" s="116" t="s">
        <v>72</v>
      </c>
      <c r="D15" s="116" t="s">
        <v>82</v>
      </c>
      <c r="E15" s="117">
        <v>36404</v>
      </c>
      <c r="F15" s="117">
        <v>36769</v>
      </c>
      <c r="G15" s="114" t="s">
        <v>73</v>
      </c>
      <c r="H15" s="114" t="s">
        <v>66</v>
      </c>
      <c r="I15" s="116" t="s">
        <v>128</v>
      </c>
      <c r="J15" s="118">
        <f t="shared" si="0"/>
        <v>0.10145161290322581</v>
      </c>
      <c r="K15" s="119">
        <v>1.32E-2</v>
      </c>
      <c r="L15" s="119">
        <v>2.2000000000000001E-3</v>
      </c>
      <c r="M15" s="119">
        <v>0</v>
      </c>
      <c r="N15" s="119">
        <v>0</v>
      </c>
      <c r="O15" s="120">
        <v>2.1160000000000002E-2</v>
      </c>
      <c r="P15" s="119">
        <f t="shared" si="1"/>
        <v>0.11685161290322581</v>
      </c>
      <c r="Q15" s="121">
        <v>64652</v>
      </c>
      <c r="R15" s="116">
        <v>65</v>
      </c>
      <c r="S15" s="114"/>
      <c r="T15" s="122">
        <f t="shared" si="2"/>
        <v>204.42500000000001</v>
      </c>
      <c r="U15" s="122"/>
      <c r="V15" s="123">
        <v>156623</v>
      </c>
      <c r="W15" s="114"/>
      <c r="X15" s="124"/>
      <c r="Y15" s="124"/>
    </row>
    <row r="16" spans="2:25" s="115" customFormat="1" x14ac:dyDescent="0.2">
      <c r="B16" s="114" t="s">
        <v>170</v>
      </c>
      <c r="C16" s="116" t="s">
        <v>72</v>
      </c>
      <c r="D16" s="116" t="s">
        <v>82</v>
      </c>
      <c r="E16" s="117">
        <v>36434</v>
      </c>
      <c r="F16" s="117">
        <v>36799</v>
      </c>
      <c r="G16" s="114" t="s">
        <v>73</v>
      </c>
      <c r="H16" s="114" t="s">
        <v>66</v>
      </c>
      <c r="I16" s="116" t="s">
        <v>128</v>
      </c>
      <c r="J16" s="118">
        <f t="shared" si="0"/>
        <v>0.10145161290322581</v>
      </c>
      <c r="K16" s="119">
        <v>1.32E-2</v>
      </c>
      <c r="L16" s="119">
        <v>2.2000000000000001E-3</v>
      </c>
      <c r="M16" s="119">
        <v>0</v>
      </c>
      <c r="N16" s="119">
        <v>0</v>
      </c>
      <c r="O16" s="120">
        <v>2.1160000000000002E-2</v>
      </c>
      <c r="P16" s="119">
        <f t="shared" si="1"/>
        <v>0.11685161290322581</v>
      </c>
      <c r="Q16" s="121">
        <v>64863</v>
      </c>
      <c r="R16" s="116">
        <v>13</v>
      </c>
      <c r="S16" s="114"/>
      <c r="T16" s="122">
        <f t="shared" si="2"/>
        <v>40.884999999999998</v>
      </c>
      <c r="U16" s="122"/>
      <c r="V16" s="123">
        <v>156625</v>
      </c>
      <c r="W16" s="114"/>
      <c r="X16" s="124"/>
      <c r="Y16" s="124"/>
    </row>
    <row r="17" spans="2:25" s="115" customFormat="1" x14ac:dyDescent="0.2">
      <c r="B17" s="114" t="s">
        <v>170</v>
      </c>
      <c r="C17" s="116" t="s">
        <v>72</v>
      </c>
      <c r="D17" s="116" t="s">
        <v>82</v>
      </c>
      <c r="E17" s="117">
        <v>36465</v>
      </c>
      <c r="F17" s="117">
        <v>36830</v>
      </c>
      <c r="G17" s="114" t="s">
        <v>73</v>
      </c>
      <c r="H17" s="114" t="s">
        <v>66</v>
      </c>
      <c r="I17" s="116" t="s">
        <v>128</v>
      </c>
      <c r="J17" s="118">
        <f t="shared" si="0"/>
        <v>0.10145161290322581</v>
      </c>
      <c r="K17" s="119">
        <v>1.32E-2</v>
      </c>
      <c r="L17" s="119">
        <v>2.2000000000000001E-3</v>
      </c>
      <c r="M17" s="119">
        <v>0</v>
      </c>
      <c r="N17" s="119">
        <v>0</v>
      </c>
      <c r="O17" s="120">
        <v>2.1160000000000002E-2</v>
      </c>
      <c r="P17" s="119">
        <f t="shared" si="1"/>
        <v>0.11685161290322581</v>
      </c>
      <c r="Q17" s="121">
        <v>65027</v>
      </c>
      <c r="R17" s="116">
        <v>131</v>
      </c>
      <c r="S17" s="114" t="s">
        <v>79</v>
      </c>
      <c r="T17" s="122">
        <f t="shared" si="2"/>
        <v>411.995</v>
      </c>
      <c r="U17" s="122"/>
      <c r="V17" s="123">
        <v>156666</v>
      </c>
      <c r="W17" s="114" t="s">
        <v>78</v>
      </c>
      <c r="X17" s="124"/>
      <c r="Y17" s="124"/>
    </row>
    <row r="18" spans="2:25" s="115" customFormat="1" x14ac:dyDescent="0.2">
      <c r="B18" s="114" t="s">
        <v>170</v>
      </c>
      <c r="C18" s="116" t="s">
        <v>72</v>
      </c>
      <c r="D18" s="116" t="s">
        <v>82</v>
      </c>
      <c r="E18" s="117">
        <v>36495</v>
      </c>
      <c r="F18" s="117">
        <v>36860</v>
      </c>
      <c r="G18" s="114" t="s">
        <v>73</v>
      </c>
      <c r="H18" s="114" t="s">
        <v>66</v>
      </c>
      <c r="I18" s="116" t="s">
        <v>128</v>
      </c>
      <c r="J18" s="118">
        <f t="shared" si="0"/>
        <v>0.10145161290322581</v>
      </c>
      <c r="K18" s="119">
        <v>1.32E-2</v>
      </c>
      <c r="L18" s="119">
        <v>2.2000000000000001E-3</v>
      </c>
      <c r="M18" s="119">
        <v>0</v>
      </c>
      <c r="N18" s="119">
        <v>0</v>
      </c>
      <c r="O18" s="120">
        <v>2.1160000000000002E-2</v>
      </c>
      <c r="P18" s="119">
        <f t="shared" si="1"/>
        <v>0.11685161290322581</v>
      </c>
      <c r="Q18" s="121">
        <v>65557</v>
      </c>
      <c r="R18" s="116">
        <v>3</v>
      </c>
      <c r="S18" s="114"/>
      <c r="T18" s="122">
        <f t="shared" si="2"/>
        <v>9.4350000000000005</v>
      </c>
      <c r="U18" s="122"/>
      <c r="V18" s="123">
        <v>156669</v>
      </c>
      <c r="W18" s="114"/>
      <c r="X18" s="124"/>
      <c r="Y18" s="124"/>
    </row>
    <row r="19" spans="2:25" s="115" customFormat="1" x14ac:dyDescent="0.2">
      <c r="B19" s="114" t="s">
        <v>170</v>
      </c>
      <c r="C19" s="116" t="s">
        <v>72</v>
      </c>
      <c r="D19" s="116" t="s">
        <v>129</v>
      </c>
      <c r="E19" s="117">
        <v>36708</v>
      </c>
      <c r="F19" s="117" t="s">
        <v>396</v>
      </c>
      <c r="G19" s="114" t="s">
        <v>73</v>
      </c>
      <c r="H19" s="114" t="s">
        <v>66</v>
      </c>
      <c r="I19" s="116" t="s">
        <v>128</v>
      </c>
      <c r="J19" s="118">
        <f>3.145/J1</f>
        <v>0.10145161290322581</v>
      </c>
      <c r="K19" s="119"/>
      <c r="L19" s="119"/>
      <c r="M19" s="119"/>
      <c r="N19" s="119"/>
      <c r="O19" s="120"/>
      <c r="P19" s="119"/>
      <c r="Q19" s="121">
        <v>68634</v>
      </c>
      <c r="R19" s="116">
        <v>1</v>
      </c>
      <c r="S19" s="114"/>
      <c r="T19" s="122">
        <f t="shared" si="2"/>
        <v>3.145</v>
      </c>
      <c r="U19" s="122"/>
      <c r="V19" s="123">
        <v>312338</v>
      </c>
      <c r="W19" s="114"/>
      <c r="X19" s="124"/>
      <c r="Y19" s="124"/>
    </row>
    <row r="20" spans="2:25" s="115" customFormat="1" x14ac:dyDescent="0.2">
      <c r="B20" s="114" t="s">
        <v>170</v>
      </c>
      <c r="C20" s="116" t="s">
        <v>72</v>
      </c>
      <c r="D20" s="116" t="s">
        <v>82</v>
      </c>
      <c r="E20" s="117">
        <v>36617</v>
      </c>
      <c r="F20" s="117">
        <v>36981</v>
      </c>
      <c r="G20" s="114" t="s">
        <v>73</v>
      </c>
      <c r="H20" s="114" t="s">
        <v>66</v>
      </c>
      <c r="I20" s="116" t="s">
        <v>128</v>
      </c>
      <c r="J20" s="118">
        <f>3.145/J1</f>
        <v>0.10145161290322581</v>
      </c>
      <c r="K20" s="119"/>
      <c r="L20" s="119"/>
      <c r="M20" s="119"/>
      <c r="N20" s="119"/>
      <c r="O20" s="120"/>
      <c r="P20" s="119"/>
      <c r="Q20" s="121">
        <v>66941</v>
      </c>
      <c r="R20" s="116">
        <v>53</v>
      </c>
      <c r="S20" s="114"/>
      <c r="T20" s="122">
        <f t="shared" si="2"/>
        <v>166.685</v>
      </c>
      <c r="U20" s="122"/>
      <c r="V20" s="123">
        <v>228122</v>
      </c>
      <c r="W20" s="114"/>
      <c r="X20" s="124"/>
      <c r="Y20" s="124"/>
    </row>
    <row r="21" spans="2:25" s="115" customFormat="1" x14ac:dyDescent="0.2">
      <c r="B21" s="114" t="s">
        <v>170</v>
      </c>
      <c r="C21" s="116" t="s">
        <v>72</v>
      </c>
      <c r="D21" s="116" t="s">
        <v>82</v>
      </c>
      <c r="E21" s="117">
        <v>36557</v>
      </c>
      <c r="F21" s="117">
        <v>36922</v>
      </c>
      <c r="G21" s="114" t="s">
        <v>73</v>
      </c>
      <c r="H21" s="114" t="s">
        <v>66</v>
      </c>
      <c r="I21" s="116" t="s">
        <v>128</v>
      </c>
      <c r="J21" s="118">
        <f>3.145/31</f>
        <v>0.10145161290322581</v>
      </c>
      <c r="K21" s="119"/>
      <c r="L21" s="119"/>
      <c r="M21" s="119"/>
      <c r="N21" s="119"/>
      <c r="O21" s="120"/>
      <c r="P21" s="119"/>
      <c r="Q21" s="121">
        <v>66283</v>
      </c>
      <c r="R21" s="116">
        <v>5</v>
      </c>
      <c r="S21" s="114"/>
      <c r="T21" s="125">
        <f>+J21*R21*31</f>
        <v>15.725000000000001</v>
      </c>
      <c r="U21" s="122"/>
      <c r="V21" s="123">
        <v>156674</v>
      </c>
      <c r="W21" s="114"/>
      <c r="X21" s="124"/>
      <c r="Y21" s="124"/>
    </row>
    <row r="22" spans="2:25" s="115" customFormat="1" x14ac:dyDescent="0.2">
      <c r="B22" s="114" t="s">
        <v>170</v>
      </c>
      <c r="C22" s="116" t="s">
        <v>72</v>
      </c>
      <c r="D22" s="116" t="s">
        <v>82</v>
      </c>
      <c r="E22" s="117">
        <v>36617</v>
      </c>
      <c r="F22" s="117">
        <v>36981</v>
      </c>
      <c r="G22" s="114" t="s">
        <v>73</v>
      </c>
      <c r="H22" s="114" t="s">
        <v>66</v>
      </c>
      <c r="I22" s="116" t="s">
        <v>128</v>
      </c>
      <c r="J22" s="118">
        <f>3.15/J1</f>
        <v>0.10161290322580645</v>
      </c>
      <c r="K22" s="119"/>
      <c r="L22" s="119"/>
      <c r="M22" s="119"/>
      <c r="N22" s="119"/>
      <c r="O22" s="120"/>
      <c r="P22" s="119"/>
      <c r="Q22" s="121">
        <v>66941</v>
      </c>
      <c r="R22" s="116">
        <v>53</v>
      </c>
      <c r="S22" s="114"/>
      <c r="T22" s="125">
        <f>+J22*R22*31</f>
        <v>166.95</v>
      </c>
      <c r="U22" s="122"/>
      <c r="V22" s="123">
        <v>228122</v>
      </c>
      <c r="W22" s="114"/>
      <c r="X22" s="124"/>
      <c r="Y22" s="124"/>
    </row>
    <row r="23" spans="2:25" s="115" customFormat="1" x14ac:dyDescent="0.2">
      <c r="B23" s="114" t="s">
        <v>170</v>
      </c>
      <c r="C23" s="116" t="s">
        <v>72</v>
      </c>
      <c r="D23" s="116" t="s">
        <v>82</v>
      </c>
      <c r="E23" s="117">
        <v>36656</v>
      </c>
      <c r="F23" s="117">
        <v>36950</v>
      </c>
      <c r="G23" s="114" t="s">
        <v>73</v>
      </c>
      <c r="H23" s="114" t="s">
        <v>66</v>
      </c>
      <c r="I23" s="116" t="s">
        <v>128</v>
      </c>
      <c r="J23" s="118">
        <f>3.145/J1</f>
        <v>0.10145161290322581</v>
      </c>
      <c r="K23" s="119"/>
      <c r="L23" s="119"/>
      <c r="M23" s="119"/>
      <c r="N23" s="119"/>
      <c r="O23" s="120"/>
      <c r="P23" s="119"/>
      <c r="Q23" s="121">
        <v>68309</v>
      </c>
      <c r="R23" s="116">
        <v>9</v>
      </c>
      <c r="S23" s="114"/>
      <c r="T23" s="122">
        <f>+R23*J23*$J$1</f>
        <v>28.305</v>
      </c>
      <c r="U23" s="122"/>
      <c r="V23" s="123">
        <v>262090</v>
      </c>
      <c r="W23" s="114" t="s">
        <v>186</v>
      </c>
      <c r="X23" s="124"/>
      <c r="Y23" s="124"/>
    </row>
    <row r="24" spans="2:25" s="115" customFormat="1" x14ac:dyDescent="0.2">
      <c r="B24" s="114" t="s">
        <v>170</v>
      </c>
      <c r="C24" s="116" t="s">
        <v>72</v>
      </c>
      <c r="D24" s="116" t="s">
        <v>82</v>
      </c>
      <c r="E24" s="117">
        <v>36739</v>
      </c>
      <c r="F24" s="117">
        <v>36738</v>
      </c>
      <c r="G24" s="114" t="s">
        <v>73</v>
      </c>
      <c r="H24" s="114" t="s">
        <v>66</v>
      </c>
      <c r="I24" s="116" t="s">
        <v>128</v>
      </c>
      <c r="J24" s="118">
        <f>3.145/J1</f>
        <v>0.10145161290322581</v>
      </c>
      <c r="K24" s="119"/>
      <c r="L24" s="119"/>
      <c r="M24" s="119"/>
      <c r="N24" s="119"/>
      <c r="O24" s="120"/>
      <c r="P24" s="119"/>
      <c r="Q24" s="121">
        <v>68929</v>
      </c>
      <c r="R24" s="116">
        <v>48</v>
      </c>
      <c r="S24" s="114" t="s">
        <v>12</v>
      </c>
      <c r="T24" s="122">
        <f>+R24*J24*$J$1</f>
        <v>150.96</v>
      </c>
      <c r="U24" s="122"/>
      <c r="V24" s="123">
        <v>345091</v>
      </c>
      <c r="W24" s="114"/>
      <c r="X24" s="124"/>
      <c r="Y24" s="124"/>
    </row>
    <row r="25" spans="2:25" s="115" customFormat="1" x14ac:dyDescent="0.2">
      <c r="B25" s="114" t="s">
        <v>170</v>
      </c>
      <c r="C25" s="116" t="s">
        <v>72</v>
      </c>
      <c r="D25" s="116" t="s">
        <v>82</v>
      </c>
      <c r="E25" s="117">
        <v>36739</v>
      </c>
      <c r="F25" s="117">
        <v>37103</v>
      </c>
      <c r="G25" s="114" t="s">
        <v>73</v>
      </c>
      <c r="H25" s="114" t="s">
        <v>66</v>
      </c>
      <c r="I25" s="116" t="s">
        <v>128</v>
      </c>
      <c r="J25" s="118">
        <f>3.145/J1</f>
        <v>0.10145161290322581</v>
      </c>
      <c r="K25" s="119"/>
      <c r="L25" s="119"/>
      <c r="M25" s="119"/>
      <c r="N25" s="119"/>
      <c r="O25" s="120"/>
      <c r="P25" s="119"/>
      <c r="Q25" s="121">
        <v>68927</v>
      </c>
      <c r="R25" s="116">
        <v>4</v>
      </c>
      <c r="S25" s="114" t="s">
        <v>11</v>
      </c>
      <c r="T25" s="122">
        <f>+R25*J25*$J$1</f>
        <v>12.58</v>
      </c>
      <c r="U25" s="122"/>
      <c r="V25" s="123">
        <v>345112</v>
      </c>
      <c r="W25" s="114"/>
      <c r="X25" s="124"/>
      <c r="Y25" s="124"/>
    </row>
    <row r="26" spans="2:25" s="115" customFormat="1" x14ac:dyDescent="0.2">
      <c r="B26" s="114" t="s">
        <v>170</v>
      </c>
      <c r="C26" s="116" t="s">
        <v>72</v>
      </c>
      <c r="D26" s="116" t="s">
        <v>129</v>
      </c>
      <c r="E26" s="117">
        <v>36647</v>
      </c>
      <c r="F26" s="117">
        <v>37011</v>
      </c>
      <c r="G26" s="114" t="s">
        <v>73</v>
      </c>
      <c r="H26" s="114" t="s">
        <v>66</v>
      </c>
      <c r="I26" s="116" t="s">
        <v>128</v>
      </c>
      <c r="J26" s="118">
        <f>3.154/J1</f>
        <v>0.10174193548387096</v>
      </c>
      <c r="K26" s="119"/>
      <c r="L26" s="119"/>
      <c r="M26" s="119"/>
      <c r="N26" s="119"/>
      <c r="O26" s="120"/>
      <c r="P26" s="119"/>
      <c r="Q26" s="121">
        <v>68281</v>
      </c>
      <c r="R26" s="116">
        <v>21</v>
      </c>
      <c r="S26" s="114" t="s">
        <v>333</v>
      </c>
      <c r="T26" s="122">
        <f>+R26*J26*$J$1</f>
        <v>66.233999999999995</v>
      </c>
      <c r="U26" s="122"/>
      <c r="V26" s="123">
        <v>256413</v>
      </c>
      <c r="W26" s="114"/>
      <c r="X26" s="124"/>
      <c r="Y26" s="124"/>
    </row>
    <row r="28" spans="2:25" s="61" customFormat="1" x14ac:dyDescent="0.2">
      <c r="B28" s="1"/>
      <c r="C28" s="3"/>
      <c r="D28" s="3"/>
      <c r="E28" s="4"/>
      <c r="F28" s="4"/>
      <c r="G28" s="1"/>
      <c r="H28" s="1"/>
      <c r="I28" s="3"/>
      <c r="J28" s="8"/>
      <c r="K28" s="5"/>
      <c r="L28" s="5"/>
      <c r="M28" s="5"/>
      <c r="N28" s="5"/>
      <c r="O28" s="42"/>
      <c r="P28" s="5"/>
      <c r="Q28" s="24"/>
      <c r="R28" s="3"/>
      <c r="S28" s="1"/>
      <c r="T28" s="9"/>
      <c r="U28" s="9"/>
      <c r="V28" s="55"/>
      <c r="W28" s="1"/>
      <c r="X28" s="36"/>
      <c r="Y28" s="36"/>
    </row>
    <row r="29" spans="2:25" x14ac:dyDescent="0.2">
      <c r="B29" s="1"/>
      <c r="C29" s="3"/>
      <c r="D29" s="3"/>
      <c r="E29" s="4"/>
      <c r="F29" s="4"/>
      <c r="G29" s="1"/>
      <c r="H29" s="1"/>
      <c r="I29" s="3"/>
      <c r="J29" s="8"/>
      <c r="K29" s="5"/>
      <c r="L29" s="23"/>
      <c r="M29" s="5"/>
      <c r="N29" s="5"/>
      <c r="O29" s="42"/>
      <c r="P29" s="5"/>
      <c r="Q29" s="24"/>
      <c r="R29" s="2">
        <f>SUM(R12:R27)</f>
        <v>1840</v>
      </c>
      <c r="S29" s="3"/>
      <c r="T29" s="9">
        <f>SUM(T12:T28)</f>
        <v>5787.2540000000026</v>
      </c>
      <c r="U29" s="9"/>
      <c r="V29" s="55"/>
      <c r="W29" s="1"/>
      <c r="X29" s="36"/>
      <c r="Y29" s="36"/>
    </row>
    <row r="30" spans="2:25" x14ac:dyDescent="0.2">
      <c r="B30" s="16" t="s">
        <v>46</v>
      </c>
      <c r="C30" s="17" t="s">
        <v>47</v>
      </c>
      <c r="D30" s="17" t="s">
        <v>48</v>
      </c>
      <c r="E30" s="18" t="s">
        <v>49</v>
      </c>
      <c r="F30" s="18"/>
      <c r="G30" s="16" t="s">
        <v>50</v>
      </c>
      <c r="H30" s="16" t="s">
        <v>51</v>
      </c>
      <c r="I30" s="17" t="s">
        <v>85</v>
      </c>
      <c r="J30" s="19" t="s">
        <v>52</v>
      </c>
      <c r="K30" s="17" t="s">
        <v>53</v>
      </c>
      <c r="L30" s="17" t="s">
        <v>54</v>
      </c>
      <c r="M30" s="17" t="s">
        <v>55</v>
      </c>
      <c r="N30" s="17" t="s">
        <v>56</v>
      </c>
      <c r="O30" s="43" t="s">
        <v>57</v>
      </c>
      <c r="P30" s="17" t="s">
        <v>58</v>
      </c>
      <c r="Q30" s="20" t="s">
        <v>168</v>
      </c>
      <c r="R30" s="17" t="s">
        <v>59</v>
      </c>
      <c r="S30" s="16" t="s">
        <v>60</v>
      </c>
      <c r="T30" s="21" t="s">
        <v>84</v>
      </c>
      <c r="U30" s="21" t="s">
        <v>83</v>
      </c>
      <c r="V30" s="53" t="s">
        <v>169</v>
      </c>
      <c r="W30" s="58" t="e">
        <f>+#REF!</f>
        <v>#REF!</v>
      </c>
      <c r="X30" s="36"/>
      <c r="Y30" s="36"/>
    </row>
    <row r="31" spans="2:25" s="115" customFormat="1" ht="12" customHeight="1" x14ac:dyDescent="0.2">
      <c r="B31" s="114" t="s">
        <v>170</v>
      </c>
      <c r="C31" s="116" t="s">
        <v>179</v>
      </c>
      <c r="D31" s="116" t="s">
        <v>180</v>
      </c>
      <c r="E31" s="117">
        <v>36739</v>
      </c>
      <c r="F31" s="117">
        <v>36769</v>
      </c>
      <c r="G31" s="126"/>
      <c r="H31" s="126"/>
      <c r="I31" s="116" t="s">
        <v>181</v>
      </c>
      <c r="J31" s="118">
        <v>2.8340000000000001E-2</v>
      </c>
      <c r="K31" s="119">
        <v>0</v>
      </c>
      <c r="L31" s="119">
        <v>2.2000000000000001E-3</v>
      </c>
      <c r="M31" s="119">
        <v>7.1999999999999998E-3</v>
      </c>
      <c r="N31" s="119">
        <v>0</v>
      </c>
      <c r="O31" s="120">
        <v>0</v>
      </c>
      <c r="P31" s="119">
        <f>SUM(J31:N31)</f>
        <v>3.7740000000000003E-2</v>
      </c>
      <c r="Q31" s="121" t="s">
        <v>314</v>
      </c>
      <c r="R31" s="116">
        <v>793167</v>
      </c>
      <c r="S31" s="114" t="s">
        <v>96</v>
      </c>
      <c r="T31" s="122">
        <f>+J31*R31</f>
        <v>22478.352780000001</v>
      </c>
      <c r="U31" s="122"/>
      <c r="V31" s="123">
        <v>345057</v>
      </c>
      <c r="W31" s="114"/>
      <c r="X31" s="124"/>
      <c r="Y31" s="124"/>
    </row>
    <row r="32" spans="2:25" s="115" customFormat="1" ht="12" customHeight="1" x14ac:dyDescent="0.2">
      <c r="B32" s="114" t="s">
        <v>170</v>
      </c>
      <c r="C32" s="116" t="s">
        <v>179</v>
      </c>
      <c r="D32" s="116" t="s">
        <v>180</v>
      </c>
      <c r="E32" s="117">
        <v>36739</v>
      </c>
      <c r="F32" s="117">
        <v>36769</v>
      </c>
      <c r="G32" s="126"/>
      <c r="H32" s="126"/>
      <c r="I32" s="116" t="s">
        <v>181</v>
      </c>
      <c r="J32" s="118">
        <f>1.544/J1</f>
        <v>4.980645161290323E-2</v>
      </c>
      <c r="K32" s="119">
        <v>0</v>
      </c>
      <c r="L32" s="119">
        <v>2.2000000000000001E-3</v>
      </c>
      <c r="M32" s="119">
        <v>7.1999999999999998E-3</v>
      </c>
      <c r="N32" s="119">
        <v>0</v>
      </c>
      <c r="O32" s="120">
        <v>0</v>
      </c>
      <c r="P32" s="119">
        <f>SUM(J32:N32)</f>
        <v>5.9206451612903228E-2</v>
      </c>
      <c r="Q32" s="121" t="s">
        <v>314</v>
      </c>
      <c r="R32" s="116">
        <v>16015</v>
      </c>
      <c r="S32" s="114" t="s">
        <v>97</v>
      </c>
      <c r="T32" s="122">
        <f>+J32*R32*30</f>
        <v>23929.509677419359</v>
      </c>
      <c r="U32" s="122"/>
      <c r="V32" s="123">
        <v>345057</v>
      </c>
      <c r="W32" s="114"/>
      <c r="X32" s="124"/>
      <c r="Y32" s="124"/>
    </row>
    <row r="33" spans="2:25" s="115" customFormat="1" ht="12" customHeight="1" x14ac:dyDescent="0.2">
      <c r="B33" s="114" t="s">
        <v>170</v>
      </c>
      <c r="C33" s="116" t="s">
        <v>179</v>
      </c>
      <c r="D33" s="116" t="s">
        <v>180</v>
      </c>
      <c r="E33" s="117">
        <v>36739</v>
      </c>
      <c r="F33" s="117">
        <v>36769</v>
      </c>
      <c r="G33" s="126"/>
      <c r="H33" s="126"/>
      <c r="I33" s="116" t="s">
        <v>181</v>
      </c>
      <c r="J33" s="118">
        <v>2.8340000000000001E-2</v>
      </c>
      <c r="K33" s="119">
        <v>0</v>
      </c>
      <c r="L33" s="119">
        <v>2.2000000000000001E-3</v>
      </c>
      <c r="M33" s="119">
        <v>7.1999999999999998E-3</v>
      </c>
      <c r="N33" s="119">
        <v>0</v>
      </c>
      <c r="O33" s="120">
        <v>0</v>
      </c>
      <c r="P33" s="119">
        <f>SUM(J33:N33)</f>
        <v>3.7740000000000003E-2</v>
      </c>
      <c r="Q33" s="121" t="s">
        <v>314</v>
      </c>
      <c r="R33" s="116">
        <v>12073</v>
      </c>
      <c r="S33" s="114" t="s">
        <v>96</v>
      </c>
      <c r="T33" s="122">
        <f>+J33*R33</f>
        <v>342.14882</v>
      </c>
      <c r="U33" s="122"/>
      <c r="V33" s="123">
        <v>345053</v>
      </c>
      <c r="W33" s="114"/>
      <c r="X33" s="124"/>
      <c r="Y33" s="124"/>
    </row>
    <row r="34" spans="2:25" s="115" customFormat="1" ht="12" customHeight="1" x14ac:dyDescent="0.2">
      <c r="B34" s="114" t="s">
        <v>170</v>
      </c>
      <c r="C34" s="116" t="s">
        <v>179</v>
      </c>
      <c r="D34" s="116" t="s">
        <v>180</v>
      </c>
      <c r="E34" s="117">
        <v>36739</v>
      </c>
      <c r="F34" s="117">
        <v>36769</v>
      </c>
      <c r="G34" s="126"/>
      <c r="H34" s="126"/>
      <c r="I34" s="116" t="s">
        <v>181</v>
      </c>
      <c r="J34" s="118">
        <f>1.544/31</f>
        <v>4.980645161290323E-2</v>
      </c>
      <c r="K34" s="119">
        <v>0</v>
      </c>
      <c r="L34" s="119">
        <v>2.2000000000000001E-3</v>
      </c>
      <c r="M34" s="119">
        <v>7.1999999999999998E-3</v>
      </c>
      <c r="N34" s="119">
        <v>0</v>
      </c>
      <c r="O34" s="120">
        <v>0</v>
      </c>
      <c r="P34" s="119">
        <f>SUM(J34:N34)</f>
        <v>5.9206451612903228E-2</v>
      </c>
      <c r="Q34" s="121" t="s">
        <v>314</v>
      </c>
      <c r="R34" s="116">
        <v>244</v>
      </c>
      <c r="S34" s="114" t="s">
        <v>97</v>
      </c>
      <c r="T34" s="122">
        <f>+J34*R34*30</f>
        <v>364.58322580645165</v>
      </c>
      <c r="U34" s="122"/>
      <c r="V34" s="123">
        <v>345053</v>
      </c>
      <c r="W34" s="114"/>
      <c r="X34" s="124"/>
      <c r="Y34" s="124"/>
    </row>
    <row r="35" spans="2:25" s="115" customFormat="1" ht="12" customHeight="1" x14ac:dyDescent="0.2">
      <c r="B35" s="114" t="s">
        <v>170</v>
      </c>
      <c r="C35" s="116" t="s">
        <v>179</v>
      </c>
      <c r="D35" s="116" t="s">
        <v>180</v>
      </c>
      <c r="E35" s="117">
        <v>36739</v>
      </c>
      <c r="F35" s="117">
        <v>36769</v>
      </c>
      <c r="G35" s="126"/>
      <c r="H35" s="126"/>
      <c r="I35" s="116" t="s">
        <v>133</v>
      </c>
      <c r="J35" s="118">
        <f>10.913/J1</f>
        <v>0.35203225806451616</v>
      </c>
      <c r="K35" s="119"/>
      <c r="L35" s="119"/>
      <c r="M35" s="119"/>
      <c r="N35" s="119"/>
      <c r="O35" s="120"/>
      <c r="P35" s="119"/>
      <c r="Q35" s="121" t="s">
        <v>268</v>
      </c>
      <c r="R35" s="116">
        <v>30059</v>
      </c>
      <c r="S35" s="114"/>
      <c r="T35" s="122">
        <f>J35*J$1*R35</f>
        <v>328033.86700000003</v>
      </c>
      <c r="U35" s="122"/>
      <c r="V35" s="123">
        <v>345028</v>
      </c>
      <c r="W35" s="114"/>
      <c r="X35" s="124"/>
      <c r="Y35" s="124"/>
    </row>
    <row r="36" spans="2:25" s="115" customFormat="1" ht="12" customHeight="1" x14ac:dyDescent="0.2">
      <c r="B36" s="114" t="s">
        <v>170</v>
      </c>
      <c r="C36" s="116" t="s">
        <v>179</v>
      </c>
      <c r="D36" s="116" t="s">
        <v>180</v>
      </c>
      <c r="E36" s="117">
        <v>36739</v>
      </c>
      <c r="F36" s="117">
        <v>36769</v>
      </c>
      <c r="G36" s="126"/>
      <c r="H36" s="126"/>
      <c r="I36" s="116" t="s">
        <v>133</v>
      </c>
      <c r="J36" s="118">
        <f>8.223/31</f>
        <v>0.26525806451612904</v>
      </c>
      <c r="K36" s="119"/>
      <c r="L36" s="119"/>
      <c r="M36" s="119"/>
      <c r="N36" s="119"/>
      <c r="O36" s="120"/>
      <c r="P36" s="119"/>
      <c r="Q36" s="121" t="s">
        <v>268</v>
      </c>
      <c r="R36" s="116">
        <v>496</v>
      </c>
      <c r="S36" s="114"/>
      <c r="T36" s="122">
        <f>J36*J$1*R36</f>
        <v>4078.6080000000002</v>
      </c>
      <c r="U36" s="122"/>
      <c r="V36" s="123">
        <v>345041</v>
      </c>
      <c r="W36" s="114"/>
      <c r="X36" s="124"/>
      <c r="Y36" s="124"/>
    </row>
    <row r="37" spans="2:25" s="115" customFormat="1" ht="12" customHeight="1" x14ac:dyDescent="0.2">
      <c r="B37" s="114" t="s">
        <v>170</v>
      </c>
      <c r="C37" s="116" t="s">
        <v>179</v>
      </c>
      <c r="D37" s="116" t="s">
        <v>180</v>
      </c>
      <c r="E37" s="117">
        <v>36739</v>
      </c>
      <c r="F37" s="117">
        <v>36769</v>
      </c>
      <c r="G37" s="126"/>
      <c r="H37" s="126"/>
      <c r="I37" s="116" t="s">
        <v>133</v>
      </c>
      <c r="J37" s="118">
        <f>8.5094/J1</f>
        <v>0.27449677419354834</v>
      </c>
      <c r="K37" s="119"/>
      <c r="L37" s="119"/>
      <c r="M37" s="119"/>
      <c r="N37" s="119"/>
      <c r="O37" s="120"/>
      <c r="P37" s="119"/>
      <c r="Q37" s="121" t="s">
        <v>268</v>
      </c>
      <c r="R37" s="116">
        <v>6534</v>
      </c>
      <c r="S37" s="114"/>
      <c r="T37" s="122">
        <f>J37*J$1*R37</f>
        <v>55600.419599999994</v>
      </c>
      <c r="U37" s="122"/>
      <c r="V37" s="123">
        <v>345046</v>
      </c>
      <c r="W37" s="114"/>
      <c r="X37" s="124"/>
      <c r="Y37" s="124"/>
    </row>
    <row r="38" spans="2:25" s="115" customFormat="1" ht="12" customHeight="1" x14ac:dyDescent="0.2">
      <c r="B38" s="114" t="s">
        <v>170</v>
      </c>
      <c r="C38" s="116" t="s">
        <v>187</v>
      </c>
      <c r="D38" s="116" t="s">
        <v>180</v>
      </c>
      <c r="E38" s="117">
        <v>36739</v>
      </c>
      <c r="F38" s="117">
        <v>36769</v>
      </c>
      <c r="G38" s="114" t="s">
        <v>151</v>
      </c>
      <c r="H38" s="114" t="s">
        <v>151</v>
      </c>
      <c r="I38" s="116" t="s">
        <v>133</v>
      </c>
      <c r="J38" s="118">
        <f>10.913/31</f>
        <v>0.35203225806451616</v>
      </c>
      <c r="K38" s="119"/>
      <c r="L38" s="119"/>
      <c r="M38" s="119"/>
      <c r="N38" s="119"/>
      <c r="O38" s="120"/>
      <c r="P38" s="119"/>
      <c r="Q38" s="121" t="s">
        <v>337</v>
      </c>
      <c r="R38" s="116">
        <f>431+67</f>
        <v>498</v>
      </c>
      <c r="S38" s="114"/>
      <c r="T38" s="122">
        <f>J38*J$1*R38</f>
        <v>5434.674</v>
      </c>
      <c r="U38" s="122"/>
      <c r="V38" s="123">
        <v>345006</v>
      </c>
      <c r="W38" s="114"/>
      <c r="X38" s="124"/>
      <c r="Y38" s="124"/>
    </row>
    <row r="39" spans="2:25" s="61" customFormat="1" ht="12" customHeight="1" x14ac:dyDescent="0.2">
      <c r="B39" s="1"/>
      <c r="C39" s="3"/>
      <c r="D39" s="3"/>
      <c r="E39" s="4"/>
      <c r="F39" s="4"/>
      <c r="G39" s="1"/>
      <c r="H39" s="1"/>
      <c r="I39" s="3"/>
      <c r="J39" s="8"/>
      <c r="K39" s="5"/>
      <c r="L39" s="5"/>
      <c r="M39" s="5"/>
      <c r="N39" s="5"/>
      <c r="O39" s="42"/>
      <c r="P39" s="5"/>
      <c r="Q39" s="24"/>
      <c r="R39" s="3"/>
      <c r="S39" s="1"/>
      <c r="T39" s="9"/>
      <c r="U39" s="9"/>
      <c r="V39" s="55"/>
      <c r="W39" s="1"/>
      <c r="X39" s="36"/>
      <c r="Y39" s="36"/>
    </row>
    <row r="40" spans="2:25" s="61" customFormat="1" x14ac:dyDescent="0.2">
      <c r="B40" s="1"/>
      <c r="C40" s="3"/>
      <c r="D40" s="3"/>
      <c r="E40" s="4"/>
      <c r="F40" s="4"/>
      <c r="G40" s="29"/>
      <c r="H40" s="29"/>
      <c r="I40" s="3"/>
      <c r="J40" s="8"/>
      <c r="K40" s="5"/>
      <c r="L40" s="5"/>
      <c r="M40" s="5"/>
      <c r="N40" s="5"/>
      <c r="O40" s="42"/>
      <c r="P40" s="5"/>
      <c r="Q40" s="24"/>
      <c r="R40" s="3"/>
      <c r="S40" s="1"/>
      <c r="T40" s="9">
        <f>SUM(T31:T39)</f>
        <v>440262.16310322587</v>
      </c>
      <c r="U40" s="9"/>
      <c r="V40" s="55"/>
      <c r="W40" s="1"/>
      <c r="X40" s="36"/>
      <c r="Y40" s="36"/>
    </row>
    <row r="41" spans="2:25" x14ac:dyDescent="0.2">
      <c r="B41" s="16" t="s">
        <v>46</v>
      </c>
      <c r="C41" s="17" t="s">
        <v>47</v>
      </c>
      <c r="D41" s="17" t="s">
        <v>48</v>
      </c>
      <c r="E41" s="18" t="s">
        <v>49</v>
      </c>
      <c r="F41" s="18"/>
      <c r="G41" s="16" t="s">
        <v>50</v>
      </c>
      <c r="H41" s="16" t="s">
        <v>51</v>
      </c>
      <c r="I41" s="17" t="s">
        <v>85</v>
      </c>
      <c r="J41" s="19" t="s">
        <v>52</v>
      </c>
      <c r="K41" s="17" t="s">
        <v>53</v>
      </c>
      <c r="L41" s="17" t="s">
        <v>54</v>
      </c>
      <c r="M41" s="17" t="s">
        <v>55</v>
      </c>
      <c r="N41" s="17" t="s">
        <v>56</v>
      </c>
      <c r="O41" s="43" t="s">
        <v>57</v>
      </c>
      <c r="P41" s="17" t="s">
        <v>58</v>
      </c>
      <c r="Q41" s="20" t="s">
        <v>168</v>
      </c>
      <c r="R41" s="17" t="s">
        <v>59</v>
      </c>
      <c r="S41" s="16" t="s">
        <v>60</v>
      </c>
      <c r="T41" s="21" t="s">
        <v>84</v>
      </c>
      <c r="U41" s="21" t="s">
        <v>83</v>
      </c>
      <c r="V41" s="53" t="s">
        <v>169</v>
      </c>
      <c r="W41" s="58" t="e">
        <f>+#REF!</f>
        <v>#REF!</v>
      </c>
      <c r="X41" s="36"/>
      <c r="Y41" s="36"/>
    </row>
    <row r="42" spans="2:25" s="115" customFormat="1" x14ac:dyDescent="0.2">
      <c r="B42" s="114" t="s">
        <v>170</v>
      </c>
      <c r="C42" s="116" t="s">
        <v>44</v>
      </c>
      <c r="D42" s="116" t="s">
        <v>124</v>
      </c>
      <c r="E42" s="117">
        <v>36739</v>
      </c>
      <c r="F42" s="117">
        <v>36769</v>
      </c>
      <c r="G42" s="114" t="s">
        <v>125</v>
      </c>
      <c r="H42" s="126" t="s">
        <v>126</v>
      </c>
      <c r="I42" s="116" t="s">
        <v>123</v>
      </c>
      <c r="J42" s="118">
        <f>5.17/+J1</f>
        <v>0.1667741935483871</v>
      </c>
      <c r="K42" s="119">
        <v>7.6300000000000007E-2</v>
      </c>
      <c r="L42" s="119">
        <v>2.2000000000000001E-3</v>
      </c>
      <c r="M42" s="119">
        <v>7.1999999999999998E-3</v>
      </c>
      <c r="N42" s="119">
        <v>0</v>
      </c>
      <c r="O42" s="120">
        <v>2.7900000000000001E-2</v>
      </c>
      <c r="P42" s="119">
        <f>SUM(J42:N42)</f>
        <v>0.25247419354838713</v>
      </c>
      <c r="Q42" s="121">
        <v>34319</v>
      </c>
      <c r="R42" s="116">
        <v>3512</v>
      </c>
      <c r="S42" s="114" t="s">
        <v>65</v>
      </c>
      <c r="T42" s="122">
        <f>J42*J$1*R42</f>
        <v>18157.04</v>
      </c>
      <c r="U42" s="122"/>
      <c r="V42" s="123">
        <v>345210</v>
      </c>
      <c r="W42" s="114" t="s">
        <v>127</v>
      </c>
      <c r="X42" s="124"/>
      <c r="Y42" s="124"/>
    </row>
    <row r="43" spans="2:25" s="115" customFormat="1" x14ac:dyDescent="0.2">
      <c r="B43" s="114" t="s">
        <v>170</v>
      </c>
      <c r="C43" s="116" t="s">
        <v>149</v>
      </c>
      <c r="D43" s="116" t="s">
        <v>124</v>
      </c>
      <c r="E43" s="117">
        <v>36739</v>
      </c>
      <c r="F43" s="117">
        <v>36769</v>
      </c>
      <c r="G43" s="114" t="s">
        <v>150</v>
      </c>
      <c r="H43" s="114" t="s">
        <v>124</v>
      </c>
      <c r="I43" s="116" t="s">
        <v>123</v>
      </c>
      <c r="J43" s="118">
        <f>11.95/J1</f>
        <v>0.38548387096774189</v>
      </c>
      <c r="K43" s="119">
        <v>0</v>
      </c>
      <c r="L43" s="119">
        <v>2.2000000000000001E-3</v>
      </c>
      <c r="M43" s="119">
        <v>7.1999999999999998E-3</v>
      </c>
      <c r="N43" s="119">
        <v>0</v>
      </c>
      <c r="O43" s="120">
        <v>2.2200000000000001E-2</v>
      </c>
      <c r="P43" s="119">
        <f>SUM(J43:N43)</f>
        <v>0.39488387096774186</v>
      </c>
      <c r="Q43" s="121">
        <v>34332</v>
      </c>
      <c r="R43" s="116">
        <v>3918</v>
      </c>
      <c r="S43" s="114" t="s">
        <v>65</v>
      </c>
      <c r="T43" s="122">
        <f>J43*J$1*R43</f>
        <v>46820.1</v>
      </c>
      <c r="U43" s="122"/>
      <c r="V43" s="123">
        <v>345291</v>
      </c>
      <c r="W43" s="114" t="s">
        <v>127</v>
      </c>
      <c r="X43" s="124"/>
      <c r="Y43" s="124"/>
    </row>
    <row r="44" spans="2:25" s="115" customFormat="1" x14ac:dyDescent="0.2">
      <c r="B44" s="114" t="s">
        <v>170</v>
      </c>
      <c r="C44" s="116" t="s">
        <v>44</v>
      </c>
      <c r="D44" s="116" t="s">
        <v>124</v>
      </c>
      <c r="E44" s="117">
        <v>36739</v>
      </c>
      <c r="F44" s="117">
        <v>36769</v>
      </c>
      <c r="G44" s="114" t="s">
        <v>184</v>
      </c>
      <c r="H44" s="114"/>
      <c r="I44" s="116" t="s">
        <v>185</v>
      </c>
      <c r="J44" s="118">
        <v>2.4799999999999999E-2</v>
      </c>
      <c r="K44" s="119"/>
      <c r="L44" s="119"/>
      <c r="M44" s="119"/>
      <c r="N44" s="119"/>
      <c r="O44" s="120"/>
      <c r="P44" s="119"/>
      <c r="Q44" s="121">
        <v>34309</v>
      </c>
      <c r="R44" s="116">
        <v>209605</v>
      </c>
      <c r="S44" s="114"/>
      <c r="T44" s="122">
        <f>J44*R44</f>
        <v>5198.2039999999997</v>
      </c>
      <c r="U44" s="122"/>
      <c r="V44" s="123">
        <v>345289</v>
      </c>
      <c r="W44" s="114" t="s">
        <v>127</v>
      </c>
      <c r="X44" s="124"/>
      <c r="Y44" s="124"/>
    </row>
    <row r="45" spans="2:25" s="115" customFormat="1" x14ac:dyDescent="0.2">
      <c r="B45" s="114" t="s">
        <v>170</v>
      </c>
      <c r="C45" s="116" t="s">
        <v>44</v>
      </c>
      <c r="D45" s="116" t="s">
        <v>124</v>
      </c>
      <c r="E45" s="117">
        <v>36739</v>
      </c>
      <c r="F45" s="117">
        <v>36769</v>
      </c>
      <c r="G45" s="114" t="s">
        <v>184</v>
      </c>
      <c r="H45" s="114"/>
      <c r="I45" s="116" t="s">
        <v>185</v>
      </c>
      <c r="J45" s="118">
        <f>2.02/J1</f>
        <v>6.5161290322580639E-2</v>
      </c>
      <c r="K45" s="119"/>
      <c r="L45" s="119"/>
      <c r="M45" s="119"/>
      <c r="N45" s="119"/>
      <c r="O45" s="120"/>
      <c r="P45" s="119"/>
      <c r="Q45" s="121">
        <v>34309</v>
      </c>
      <c r="R45" s="116">
        <v>1402</v>
      </c>
      <c r="S45" s="114"/>
      <c r="T45" s="122">
        <f>J45*J$1*R45</f>
        <v>2832.04</v>
      </c>
      <c r="U45" s="122"/>
      <c r="V45" s="123">
        <v>345289</v>
      </c>
      <c r="W45" s="114" t="s">
        <v>127</v>
      </c>
      <c r="X45" s="124"/>
      <c r="Y45" s="124"/>
    </row>
    <row r="46" spans="2:25" s="115" customFormat="1" x14ac:dyDescent="0.2">
      <c r="B46" s="114" t="s">
        <v>170</v>
      </c>
      <c r="C46" s="116" t="s">
        <v>44</v>
      </c>
      <c r="D46" s="116" t="s">
        <v>124</v>
      </c>
      <c r="E46" s="117">
        <v>36739</v>
      </c>
      <c r="F46" s="117">
        <v>36769</v>
      </c>
      <c r="G46" s="114" t="s">
        <v>227</v>
      </c>
      <c r="H46" s="114"/>
      <c r="I46" s="116" t="s">
        <v>228</v>
      </c>
      <c r="J46" s="118">
        <v>1.8700000000000001E-2</v>
      </c>
      <c r="K46" s="119"/>
      <c r="L46" s="119"/>
      <c r="M46" s="119"/>
      <c r="N46" s="119"/>
      <c r="O46" s="120"/>
      <c r="P46" s="119"/>
      <c r="Q46" s="121">
        <v>34295</v>
      </c>
      <c r="R46" s="127">
        <v>75224</v>
      </c>
      <c r="S46" s="114"/>
      <c r="T46" s="122">
        <f>+R46*J46</f>
        <v>1406.6888000000001</v>
      </c>
      <c r="U46" s="122"/>
      <c r="V46" s="123">
        <v>345280</v>
      </c>
      <c r="W46" s="114" t="s">
        <v>127</v>
      </c>
      <c r="X46" s="124"/>
      <c r="Y46" s="124"/>
    </row>
    <row r="47" spans="2:25" s="115" customFormat="1" x14ac:dyDescent="0.2">
      <c r="B47" s="114" t="s">
        <v>170</v>
      </c>
      <c r="C47" s="116" t="s">
        <v>44</v>
      </c>
      <c r="D47" s="116" t="s">
        <v>124</v>
      </c>
      <c r="E47" s="117">
        <v>36739</v>
      </c>
      <c r="F47" s="117">
        <v>36769</v>
      </c>
      <c r="G47" s="114" t="s">
        <v>227</v>
      </c>
      <c r="H47" s="114"/>
      <c r="I47" s="116" t="s">
        <v>228</v>
      </c>
      <c r="J47" s="118">
        <v>1.17</v>
      </c>
      <c r="K47" s="119"/>
      <c r="L47" s="119"/>
      <c r="M47" s="119"/>
      <c r="N47" s="119"/>
      <c r="O47" s="120"/>
      <c r="P47" s="119"/>
      <c r="Q47" s="121">
        <v>34295</v>
      </c>
      <c r="R47" s="127">
        <v>557</v>
      </c>
      <c r="S47" s="114"/>
      <c r="T47" s="122">
        <f>+R47*J47</f>
        <v>651.68999999999994</v>
      </c>
      <c r="U47" s="122"/>
      <c r="V47" s="123">
        <v>345280</v>
      </c>
      <c r="W47" s="114" t="s">
        <v>127</v>
      </c>
      <c r="X47" s="124"/>
      <c r="Y47" s="124"/>
    </row>
    <row r="48" spans="2:25" x14ac:dyDescent="0.2">
      <c r="B48" s="1"/>
      <c r="C48" s="3"/>
      <c r="D48" s="3"/>
      <c r="E48" s="4"/>
      <c r="F48" s="4"/>
      <c r="G48" s="1"/>
      <c r="H48" s="1"/>
      <c r="I48" s="3"/>
      <c r="J48" s="8"/>
      <c r="K48" s="5"/>
      <c r="L48" s="23"/>
      <c r="M48" s="5"/>
      <c r="N48" s="5"/>
      <c r="O48" s="42"/>
      <c r="P48" s="5"/>
      <c r="Q48" s="24"/>
      <c r="R48" s="2"/>
      <c r="S48" s="3"/>
      <c r="T48" s="9"/>
      <c r="U48" s="9"/>
      <c r="V48" s="55"/>
      <c r="W48" s="1"/>
      <c r="X48" s="36"/>
      <c r="Y48" s="36"/>
    </row>
    <row r="49" spans="2:25" x14ac:dyDescent="0.2">
      <c r="B49" s="1"/>
      <c r="C49" s="3"/>
      <c r="D49" s="3"/>
      <c r="E49" s="4"/>
      <c r="F49" s="4"/>
      <c r="G49" s="1"/>
      <c r="H49" s="1"/>
      <c r="I49" s="3"/>
      <c r="J49" s="8"/>
      <c r="K49" s="5"/>
      <c r="L49" s="23"/>
      <c r="M49" s="5"/>
      <c r="N49" s="5"/>
      <c r="O49" s="45"/>
      <c r="P49" s="5"/>
      <c r="Q49" s="24"/>
      <c r="R49" s="3"/>
      <c r="S49" s="3"/>
      <c r="T49" s="70">
        <f>SUM(T42:T48)</f>
        <v>75065.762799999997</v>
      </c>
      <c r="W49" s="29"/>
      <c r="X49" s="37"/>
      <c r="Y49" s="37"/>
    </row>
    <row r="50" spans="2:25" x14ac:dyDescent="0.2">
      <c r="B50" s="16" t="s">
        <v>46</v>
      </c>
      <c r="C50" s="17" t="s">
        <v>47</v>
      </c>
      <c r="D50" s="17" t="s">
        <v>48</v>
      </c>
      <c r="E50" s="18" t="s">
        <v>49</v>
      </c>
      <c r="F50" s="18"/>
      <c r="G50" s="16" t="s">
        <v>50</v>
      </c>
      <c r="H50" s="16" t="s">
        <v>51</v>
      </c>
      <c r="I50" s="17" t="s">
        <v>85</v>
      </c>
      <c r="J50" s="19" t="s">
        <v>52</v>
      </c>
      <c r="K50" s="17" t="s">
        <v>53</v>
      </c>
      <c r="L50" s="17" t="s">
        <v>54</v>
      </c>
      <c r="M50" s="17" t="s">
        <v>55</v>
      </c>
      <c r="N50" s="17" t="s">
        <v>56</v>
      </c>
      <c r="O50" s="43" t="s">
        <v>57</v>
      </c>
      <c r="P50" s="17" t="s">
        <v>58</v>
      </c>
      <c r="Q50" s="20" t="s">
        <v>168</v>
      </c>
      <c r="R50" s="17" t="s">
        <v>59</v>
      </c>
      <c r="S50" s="16" t="s">
        <v>60</v>
      </c>
      <c r="T50" s="21" t="s">
        <v>84</v>
      </c>
      <c r="U50" s="21" t="s">
        <v>83</v>
      </c>
      <c r="V50" s="53" t="s">
        <v>169</v>
      </c>
      <c r="W50" s="58"/>
      <c r="X50" s="36"/>
      <c r="Y50" s="36"/>
    </row>
    <row r="51" spans="2:25" ht="11.25" customHeight="1" x14ac:dyDescent="0.2">
      <c r="B51" s="1"/>
      <c r="C51" s="3" t="s">
        <v>387</v>
      </c>
      <c r="D51" s="3"/>
      <c r="E51" s="4"/>
      <c r="F51" s="4" t="s">
        <v>388</v>
      </c>
      <c r="G51" s="1"/>
      <c r="H51" s="1"/>
      <c r="I51" s="3"/>
      <c r="J51" s="8"/>
      <c r="K51" s="5"/>
      <c r="L51" s="23"/>
      <c r="M51" s="5"/>
      <c r="N51" s="5"/>
      <c r="O51" s="42"/>
      <c r="P51" s="5"/>
      <c r="Q51" s="24"/>
      <c r="R51" s="2"/>
      <c r="S51" s="3"/>
      <c r="T51" s="9"/>
      <c r="U51" s="9"/>
      <c r="V51" s="55"/>
      <c r="W51" s="1"/>
      <c r="X51" s="36"/>
      <c r="Y51" s="36"/>
    </row>
    <row r="52" spans="2:25" x14ac:dyDescent="0.2">
      <c r="B52" s="16" t="s">
        <v>46</v>
      </c>
      <c r="C52" s="17" t="s">
        <v>47</v>
      </c>
      <c r="D52" s="17" t="s">
        <v>48</v>
      </c>
      <c r="E52" s="18" t="s">
        <v>49</v>
      </c>
      <c r="F52" s="18"/>
      <c r="G52" s="16" t="s">
        <v>50</v>
      </c>
      <c r="H52" s="16" t="s">
        <v>51</v>
      </c>
      <c r="I52" s="17" t="s">
        <v>85</v>
      </c>
      <c r="J52" s="19" t="s">
        <v>52</v>
      </c>
      <c r="K52" s="17" t="s">
        <v>53</v>
      </c>
      <c r="L52" s="17" t="s">
        <v>54</v>
      </c>
      <c r="M52" s="17" t="s">
        <v>55</v>
      </c>
      <c r="N52" s="17" t="s">
        <v>56</v>
      </c>
      <c r="O52" s="43" t="s">
        <v>57</v>
      </c>
      <c r="P52" s="17" t="s">
        <v>58</v>
      </c>
      <c r="Q52" s="20" t="s">
        <v>168</v>
      </c>
      <c r="R52" s="17" t="s">
        <v>59</v>
      </c>
      <c r="S52" s="16" t="s">
        <v>60</v>
      </c>
      <c r="T52" s="21" t="s">
        <v>84</v>
      </c>
      <c r="U52" s="21" t="s">
        <v>83</v>
      </c>
      <c r="V52" s="53" t="s">
        <v>169</v>
      </c>
      <c r="W52" s="58">
        <f>+W12</f>
        <v>0</v>
      </c>
      <c r="X52" s="36"/>
      <c r="Y52" s="36"/>
    </row>
    <row r="53" spans="2:25" s="61" customFormat="1" x14ac:dyDescent="0.2">
      <c r="B53" s="1" t="s">
        <v>170</v>
      </c>
      <c r="C53" s="3" t="s">
        <v>131</v>
      </c>
      <c r="D53" s="3" t="s">
        <v>130</v>
      </c>
      <c r="E53" s="4">
        <v>36220</v>
      </c>
      <c r="F53" s="4">
        <v>36707</v>
      </c>
      <c r="G53" s="1" t="s">
        <v>134</v>
      </c>
      <c r="H53" s="1" t="s">
        <v>132</v>
      </c>
      <c r="I53" s="3" t="s">
        <v>133</v>
      </c>
      <c r="J53" s="8">
        <v>0.30330000000000001</v>
      </c>
      <c r="K53" s="5">
        <v>0</v>
      </c>
      <c r="L53" s="5">
        <v>2.2000000000000001E-3</v>
      </c>
      <c r="M53" s="5">
        <v>0</v>
      </c>
      <c r="N53" s="5">
        <v>0</v>
      </c>
      <c r="O53" s="42">
        <v>0</v>
      </c>
      <c r="P53" s="5">
        <f>SUM(J53:N53)</f>
        <v>0.30549999999999999</v>
      </c>
      <c r="Q53" s="24" t="s">
        <v>178</v>
      </c>
      <c r="R53" s="3">
        <v>0</v>
      </c>
      <c r="S53" s="1" t="s">
        <v>176</v>
      </c>
      <c r="T53" s="9">
        <f>J53*J$1*R53</f>
        <v>0</v>
      </c>
      <c r="U53" s="9"/>
      <c r="V53" s="55">
        <v>157260</v>
      </c>
      <c r="W53" s="1" t="s">
        <v>386</v>
      </c>
      <c r="X53" s="36"/>
      <c r="Y53" s="36"/>
    </row>
    <row r="54" spans="2:25" s="61" customFormat="1" x14ac:dyDescent="0.2">
      <c r="B54" s="1" t="s">
        <v>170</v>
      </c>
      <c r="C54" s="3" t="s">
        <v>131</v>
      </c>
      <c r="D54" s="3" t="s">
        <v>130</v>
      </c>
      <c r="E54" s="4">
        <v>36220</v>
      </c>
      <c r="F54" s="4">
        <v>36707</v>
      </c>
      <c r="G54" s="1" t="s">
        <v>135</v>
      </c>
      <c r="H54" s="1" t="s">
        <v>132</v>
      </c>
      <c r="I54" s="3" t="s">
        <v>133</v>
      </c>
      <c r="J54" s="8">
        <v>0.30330000000000001</v>
      </c>
      <c r="K54" s="5">
        <v>0</v>
      </c>
      <c r="L54" s="5">
        <v>2.2000000000000001E-3</v>
      </c>
      <c r="M54" s="5">
        <v>0</v>
      </c>
      <c r="N54" s="5">
        <v>0</v>
      </c>
      <c r="O54" s="42">
        <v>0</v>
      </c>
      <c r="P54" s="5">
        <f>SUM(J54:N54)</f>
        <v>0.30549999999999999</v>
      </c>
      <c r="Q54" s="24" t="s">
        <v>178</v>
      </c>
      <c r="R54" s="3">
        <v>0</v>
      </c>
      <c r="S54" s="1" t="s">
        <v>176</v>
      </c>
      <c r="T54" s="9">
        <f>J54*J$1*R54</f>
        <v>0</v>
      </c>
      <c r="U54" s="9"/>
      <c r="V54" s="55">
        <v>157260</v>
      </c>
      <c r="W54" s="1" t="s">
        <v>386</v>
      </c>
      <c r="X54" s="36"/>
      <c r="Y54" s="36"/>
    </row>
    <row r="55" spans="2:25" x14ac:dyDescent="0.2">
      <c r="B55" s="1"/>
      <c r="C55" s="3"/>
      <c r="D55" s="3"/>
      <c r="E55" s="4" t="s">
        <v>45</v>
      </c>
      <c r="F55" s="4"/>
      <c r="G55" s="1"/>
      <c r="H55" s="1"/>
      <c r="I55" s="3"/>
      <c r="J55" s="8"/>
      <c r="K55" s="5"/>
      <c r="L55" s="23"/>
      <c r="M55" s="5"/>
      <c r="N55" s="5"/>
      <c r="O55" s="42"/>
      <c r="P55" s="5"/>
      <c r="Q55" s="48"/>
      <c r="R55" s="49">
        <f>SUM(R53:R54)</f>
        <v>0</v>
      </c>
      <c r="S55" s="40"/>
      <c r="T55" s="39">
        <f>SUM(T53:T54)</f>
        <v>0</v>
      </c>
      <c r="U55" s="39"/>
      <c r="V55" s="56"/>
      <c r="W55" s="59"/>
      <c r="X55" s="35"/>
      <c r="Y55" s="35"/>
    </row>
    <row r="56" spans="2:25" ht="11.25" customHeight="1" x14ac:dyDescent="0.2">
      <c r="B56" s="16" t="s">
        <v>46</v>
      </c>
      <c r="C56" s="17" t="s">
        <v>47</v>
      </c>
      <c r="D56" s="17" t="s">
        <v>48</v>
      </c>
      <c r="E56" s="18" t="s">
        <v>49</v>
      </c>
      <c r="F56" s="18"/>
      <c r="G56" s="16" t="s">
        <v>50</v>
      </c>
      <c r="H56" s="16" t="s">
        <v>51</v>
      </c>
      <c r="I56" s="17" t="s">
        <v>85</v>
      </c>
      <c r="J56" s="19" t="s">
        <v>52</v>
      </c>
      <c r="K56" s="17" t="s">
        <v>53</v>
      </c>
      <c r="L56" s="17" t="s">
        <v>54</v>
      </c>
      <c r="M56" s="17" t="s">
        <v>55</v>
      </c>
      <c r="N56" s="17" t="s">
        <v>56</v>
      </c>
      <c r="O56" s="43" t="s">
        <v>57</v>
      </c>
      <c r="P56" s="17" t="s">
        <v>58</v>
      </c>
      <c r="Q56" s="20" t="s">
        <v>168</v>
      </c>
      <c r="R56" s="17" t="s">
        <v>59</v>
      </c>
      <c r="S56" s="16" t="s">
        <v>60</v>
      </c>
      <c r="T56" s="21" t="s">
        <v>84</v>
      </c>
      <c r="U56" s="21" t="s">
        <v>83</v>
      </c>
      <c r="V56" s="53" t="s">
        <v>169</v>
      </c>
      <c r="W56" s="58" t="e">
        <f>+#REF!</f>
        <v>#REF!</v>
      </c>
      <c r="X56" s="36"/>
      <c r="Y56" s="36"/>
    </row>
    <row r="57" spans="2:25" s="115" customFormat="1" x14ac:dyDescent="0.2">
      <c r="B57" s="114" t="s">
        <v>170</v>
      </c>
      <c r="C57" s="116" t="s">
        <v>43</v>
      </c>
      <c r="D57" s="116" t="s">
        <v>124</v>
      </c>
      <c r="E57" s="117">
        <v>36739</v>
      </c>
      <c r="F57" s="117">
        <v>36769</v>
      </c>
      <c r="G57" s="114" t="s">
        <v>68</v>
      </c>
      <c r="H57" s="126" t="s">
        <v>139</v>
      </c>
      <c r="I57" s="116" t="s">
        <v>136</v>
      </c>
      <c r="J57" s="118">
        <f>7.5654/J$1</f>
        <v>0.24404516129032258</v>
      </c>
      <c r="K57" s="119">
        <v>0</v>
      </c>
      <c r="L57" s="119">
        <v>2.2000000000000001E-3</v>
      </c>
      <c r="M57" s="119">
        <v>0</v>
      </c>
      <c r="N57" s="119">
        <v>0</v>
      </c>
      <c r="O57" s="120">
        <v>0</v>
      </c>
      <c r="P57" s="119">
        <f t="shared" ref="P57:P63" si="3">SUM(J57:N57)</f>
        <v>0.24624516129032259</v>
      </c>
      <c r="Q57" s="121" t="s">
        <v>4</v>
      </c>
      <c r="R57" s="116">
        <v>1094</v>
      </c>
      <c r="S57" s="114" t="s">
        <v>5</v>
      </c>
      <c r="T57" s="122">
        <f t="shared" ref="T57:T63" si="4">J57*J$1*R57</f>
        <v>8276.5475999999999</v>
      </c>
      <c r="U57" s="122"/>
      <c r="V57" s="123">
        <v>346441</v>
      </c>
      <c r="W57" s="114"/>
      <c r="X57" s="124"/>
      <c r="Y57" s="124"/>
    </row>
    <row r="58" spans="2:25" s="115" customFormat="1" x14ac:dyDescent="0.2">
      <c r="B58" s="114" t="s">
        <v>170</v>
      </c>
      <c r="C58" s="116" t="s">
        <v>43</v>
      </c>
      <c r="D58" s="116" t="s">
        <v>124</v>
      </c>
      <c r="E58" s="117">
        <v>36739</v>
      </c>
      <c r="F58" s="117">
        <v>36769</v>
      </c>
      <c r="G58" s="114" t="s">
        <v>137</v>
      </c>
      <c r="H58" s="126" t="s">
        <v>139</v>
      </c>
      <c r="I58" s="116" t="s">
        <v>136</v>
      </c>
      <c r="J58" s="118">
        <f>+J57</f>
        <v>0.24404516129032258</v>
      </c>
      <c r="K58" s="119">
        <v>0</v>
      </c>
      <c r="L58" s="119">
        <v>2.2000000000000001E-3</v>
      </c>
      <c r="M58" s="119">
        <v>0</v>
      </c>
      <c r="N58" s="119">
        <v>0</v>
      </c>
      <c r="O58" s="120">
        <v>0</v>
      </c>
      <c r="P58" s="119">
        <f t="shared" si="3"/>
        <v>0.24624516129032259</v>
      </c>
      <c r="Q58" s="121" t="s">
        <v>4</v>
      </c>
      <c r="R58" s="116">
        <v>1608</v>
      </c>
      <c r="S58" s="114" t="str">
        <f>+S57</f>
        <v>#020970</v>
      </c>
      <c r="T58" s="122">
        <f t="shared" si="4"/>
        <v>12165.163200000001</v>
      </c>
      <c r="U58" s="122"/>
      <c r="V58" s="123">
        <f>+V57</f>
        <v>346441</v>
      </c>
      <c r="W58" s="114"/>
      <c r="X58" s="124"/>
      <c r="Y58" s="124"/>
    </row>
    <row r="59" spans="2:25" s="115" customFormat="1" x14ac:dyDescent="0.2">
      <c r="B59" s="114" t="s">
        <v>170</v>
      </c>
      <c r="C59" s="116" t="s">
        <v>43</v>
      </c>
      <c r="D59" s="116" t="s">
        <v>124</v>
      </c>
      <c r="E59" s="117">
        <v>36739</v>
      </c>
      <c r="F59" s="117">
        <v>36769</v>
      </c>
      <c r="G59" s="114" t="s">
        <v>138</v>
      </c>
      <c r="H59" s="126" t="s">
        <v>139</v>
      </c>
      <c r="I59" s="116" t="s">
        <v>136</v>
      </c>
      <c r="J59" s="118">
        <f>+J58</f>
        <v>0.24404516129032258</v>
      </c>
      <c r="K59" s="119">
        <v>0</v>
      </c>
      <c r="L59" s="119">
        <v>2.2000000000000001E-3</v>
      </c>
      <c r="M59" s="119">
        <v>0</v>
      </c>
      <c r="N59" s="119">
        <v>0</v>
      </c>
      <c r="O59" s="120">
        <v>0</v>
      </c>
      <c r="P59" s="119">
        <f t="shared" si="3"/>
        <v>0.24624516129032259</v>
      </c>
      <c r="Q59" s="121" t="s">
        <v>4</v>
      </c>
      <c r="R59" s="116">
        <f>1223+2510</f>
        <v>3733</v>
      </c>
      <c r="S59" s="114" t="str">
        <f>+S58</f>
        <v>#020970</v>
      </c>
      <c r="T59" s="122">
        <f t="shared" si="4"/>
        <v>28241.638200000001</v>
      </c>
      <c r="U59" s="122"/>
      <c r="V59" s="123">
        <f>+V58</f>
        <v>346441</v>
      </c>
      <c r="W59" s="114"/>
      <c r="X59" s="124"/>
      <c r="Y59" s="124"/>
    </row>
    <row r="60" spans="2:25" s="115" customFormat="1" x14ac:dyDescent="0.2">
      <c r="B60" s="114" t="s">
        <v>170</v>
      </c>
      <c r="C60" s="116" t="s">
        <v>43</v>
      </c>
      <c r="D60" s="116" t="s">
        <v>124</v>
      </c>
      <c r="E60" s="117">
        <v>36739</v>
      </c>
      <c r="F60" s="117">
        <v>36769</v>
      </c>
      <c r="G60" s="114" t="s">
        <v>68</v>
      </c>
      <c r="H60" s="126" t="s">
        <v>139</v>
      </c>
      <c r="I60" s="116" t="s">
        <v>136</v>
      </c>
      <c r="J60" s="118">
        <f>7.5654/J$1</f>
        <v>0.24404516129032258</v>
      </c>
      <c r="K60" s="119">
        <v>0</v>
      </c>
      <c r="L60" s="119">
        <v>2.2000000000000001E-3</v>
      </c>
      <c r="M60" s="119">
        <v>0</v>
      </c>
      <c r="N60" s="119">
        <v>0</v>
      </c>
      <c r="O60" s="120">
        <v>0</v>
      </c>
      <c r="P60" s="119">
        <f t="shared" si="3"/>
        <v>0.24624516129032259</v>
      </c>
      <c r="Q60" s="121" t="s">
        <v>0</v>
      </c>
      <c r="R60" s="128">
        <v>66</v>
      </c>
      <c r="S60" s="114" t="s">
        <v>1</v>
      </c>
      <c r="T60" s="122">
        <f t="shared" si="4"/>
        <v>499.31640000000004</v>
      </c>
      <c r="U60" s="122"/>
      <c r="V60" s="123">
        <v>346469</v>
      </c>
      <c r="W60" s="114"/>
      <c r="X60" s="124"/>
      <c r="Y60" s="124"/>
    </row>
    <row r="61" spans="2:25" s="115" customFormat="1" x14ac:dyDescent="0.2">
      <c r="B61" s="114" t="s">
        <v>170</v>
      </c>
      <c r="C61" s="116" t="s">
        <v>43</v>
      </c>
      <c r="D61" s="116" t="s">
        <v>124</v>
      </c>
      <c r="E61" s="117">
        <v>36739</v>
      </c>
      <c r="F61" s="117">
        <v>36769</v>
      </c>
      <c r="G61" s="114" t="s">
        <v>137</v>
      </c>
      <c r="H61" s="126" t="s">
        <v>139</v>
      </c>
      <c r="I61" s="116" t="s">
        <v>136</v>
      </c>
      <c r="J61" s="118">
        <f>7.5654/J$1</f>
        <v>0.24404516129032258</v>
      </c>
      <c r="K61" s="119">
        <v>0</v>
      </c>
      <c r="L61" s="119">
        <v>2.2000000000000001E-3</v>
      </c>
      <c r="M61" s="119">
        <v>0</v>
      </c>
      <c r="N61" s="119">
        <v>0</v>
      </c>
      <c r="O61" s="120">
        <v>0</v>
      </c>
      <c r="P61" s="119">
        <f t="shared" si="3"/>
        <v>0.24624516129032259</v>
      </c>
      <c r="Q61" s="121" t="str">
        <f>+Q60</f>
        <v>3.6280/.7537</v>
      </c>
      <c r="R61" s="116">
        <v>97</v>
      </c>
      <c r="S61" s="114" t="str">
        <f>+S60</f>
        <v>#020969</v>
      </c>
      <c r="T61" s="122">
        <f t="shared" si="4"/>
        <v>733.84379999999999</v>
      </c>
      <c r="U61" s="122"/>
      <c r="V61" s="123">
        <v>346469</v>
      </c>
      <c r="W61" s="114"/>
      <c r="X61" s="124"/>
      <c r="Y61" s="124"/>
    </row>
    <row r="62" spans="2:25" s="115" customFormat="1" x14ac:dyDescent="0.2">
      <c r="B62" s="114" t="s">
        <v>170</v>
      </c>
      <c r="C62" s="116" t="s">
        <v>43</v>
      </c>
      <c r="D62" s="116" t="s">
        <v>124</v>
      </c>
      <c r="E62" s="117">
        <v>36739</v>
      </c>
      <c r="F62" s="117">
        <v>36769</v>
      </c>
      <c r="G62" s="114" t="s">
        <v>138</v>
      </c>
      <c r="H62" s="126" t="s">
        <v>139</v>
      </c>
      <c r="I62" s="116" t="s">
        <v>136</v>
      </c>
      <c r="J62" s="118">
        <f>7.5654/J$1</f>
        <v>0.24404516129032258</v>
      </c>
      <c r="K62" s="119">
        <v>0</v>
      </c>
      <c r="L62" s="119">
        <v>2.2000000000000001E-3</v>
      </c>
      <c r="M62" s="119">
        <v>0</v>
      </c>
      <c r="N62" s="119">
        <v>0</v>
      </c>
      <c r="O62" s="120">
        <v>0</v>
      </c>
      <c r="P62" s="119">
        <f t="shared" si="3"/>
        <v>0.24624516129032259</v>
      </c>
      <c r="Q62" s="121" t="str">
        <f>+Q61</f>
        <v>3.6280/.7537</v>
      </c>
      <c r="R62" s="116">
        <f>74+151</f>
        <v>225</v>
      </c>
      <c r="S62" s="114" t="str">
        <f>+S61</f>
        <v>#020969</v>
      </c>
      <c r="T62" s="122">
        <f t="shared" si="4"/>
        <v>1702.2150000000001</v>
      </c>
      <c r="U62" s="122"/>
      <c r="V62" s="123">
        <v>346469</v>
      </c>
      <c r="W62" s="114"/>
      <c r="X62" s="124"/>
      <c r="Y62" s="124"/>
    </row>
    <row r="63" spans="2:25" s="115" customFormat="1" x14ac:dyDescent="0.2">
      <c r="B63" s="114" t="s">
        <v>170</v>
      </c>
      <c r="C63" s="116" t="s">
        <v>43</v>
      </c>
      <c r="D63" s="116" t="s">
        <v>124</v>
      </c>
      <c r="E63" s="117">
        <v>36739</v>
      </c>
      <c r="F63" s="117">
        <v>36769</v>
      </c>
      <c r="G63" s="114" t="s">
        <v>140</v>
      </c>
      <c r="H63" s="126" t="s">
        <v>139</v>
      </c>
      <c r="I63" s="116" t="s">
        <v>141</v>
      </c>
      <c r="J63" s="118">
        <f>14.18/30</f>
        <v>0.47266666666666668</v>
      </c>
      <c r="K63" s="119">
        <v>0</v>
      </c>
      <c r="L63" s="119">
        <v>2.2000000000000001E-3</v>
      </c>
      <c r="M63" s="119">
        <v>0</v>
      </c>
      <c r="N63" s="119">
        <v>0</v>
      </c>
      <c r="O63" s="120">
        <v>0</v>
      </c>
      <c r="P63" s="119">
        <f t="shared" si="3"/>
        <v>0.47486666666666666</v>
      </c>
      <c r="Q63" s="129" t="s">
        <v>2</v>
      </c>
      <c r="R63" s="116">
        <v>5118</v>
      </c>
      <c r="S63" s="114" t="s">
        <v>3</v>
      </c>
      <c r="T63" s="122">
        <f t="shared" si="4"/>
        <v>74992.347999999998</v>
      </c>
      <c r="U63" s="122"/>
      <c r="V63" s="123">
        <v>346458</v>
      </c>
      <c r="W63" s="114"/>
      <c r="X63" s="124"/>
      <c r="Y63" s="124"/>
    </row>
    <row r="64" spans="2:25" s="115" customFormat="1" x14ac:dyDescent="0.2">
      <c r="B64" s="114" t="s">
        <v>170</v>
      </c>
      <c r="C64" s="116" t="s">
        <v>43</v>
      </c>
      <c r="D64" s="116" t="s">
        <v>124</v>
      </c>
      <c r="E64" s="117">
        <v>36739</v>
      </c>
      <c r="F64" s="117">
        <v>36769</v>
      </c>
      <c r="G64" s="114" t="s">
        <v>145</v>
      </c>
      <c r="H64" s="126"/>
      <c r="I64" s="116" t="s">
        <v>144</v>
      </c>
      <c r="J64" s="118">
        <v>7.9000000000000008E-3</v>
      </c>
      <c r="K64" s="119">
        <v>0</v>
      </c>
      <c r="L64" s="119">
        <v>2.2000000000000001E-3</v>
      </c>
      <c r="M64" s="119">
        <v>0</v>
      </c>
      <c r="N64" s="119">
        <v>0</v>
      </c>
      <c r="O64" s="120">
        <v>0</v>
      </c>
      <c r="P64" s="119">
        <f>SUM(J64:N64)</f>
        <v>1.0100000000000001E-2</v>
      </c>
      <c r="R64" s="116">
        <v>373932</v>
      </c>
      <c r="S64" s="114" t="s">
        <v>8</v>
      </c>
      <c r="T64" s="125">
        <f>+R64*J64</f>
        <v>2954.0628000000002</v>
      </c>
      <c r="U64" s="122"/>
      <c r="V64" s="123">
        <v>345185</v>
      </c>
      <c r="W64" s="114"/>
      <c r="X64" s="124"/>
      <c r="Y64" s="124"/>
    </row>
    <row r="65" spans="2:25" s="115" customFormat="1" x14ac:dyDescent="0.2">
      <c r="B65" s="114" t="s">
        <v>170</v>
      </c>
      <c r="C65" s="116" t="s">
        <v>43</v>
      </c>
      <c r="D65" s="116" t="s">
        <v>124</v>
      </c>
      <c r="E65" s="117">
        <v>36739</v>
      </c>
      <c r="F65" s="117">
        <v>36769</v>
      </c>
      <c r="G65" s="114" t="s">
        <v>143</v>
      </c>
      <c r="H65" s="126"/>
      <c r="I65" s="116" t="s">
        <v>144</v>
      </c>
      <c r="J65" s="118">
        <v>0.6673</v>
      </c>
      <c r="K65" s="119">
        <v>0</v>
      </c>
      <c r="L65" s="119">
        <v>2.2000000000000001E-3</v>
      </c>
      <c r="M65" s="119">
        <v>0</v>
      </c>
      <c r="N65" s="119">
        <v>0</v>
      </c>
      <c r="O65" s="120">
        <v>0</v>
      </c>
      <c r="P65" s="119">
        <f>SUM(J65:N65)</f>
        <v>0.66949999999999998</v>
      </c>
      <c r="R65" s="116">
        <v>4399</v>
      </c>
      <c r="S65" s="114" t="s">
        <v>8</v>
      </c>
      <c r="T65" s="125">
        <f>+R65*J65</f>
        <v>2935.4526999999998</v>
      </c>
      <c r="U65" s="122"/>
      <c r="V65" s="123">
        <v>345185</v>
      </c>
      <c r="W65" s="114"/>
      <c r="X65" s="124"/>
      <c r="Y65" s="124"/>
    </row>
    <row r="66" spans="2:25" s="115" customFormat="1" x14ac:dyDescent="0.2">
      <c r="B66" s="114" t="s">
        <v>170</v>
      </c>
      <c r="C66" s="116" t="s">
        <v>43</v>
      </c>
      <c r="D66" s="116" t="s">
        <v>124</v>
      </c>
      <c r="E66" s="117">
        <v>36739</v>
      </c>
      <c r="F66" s="117">
        <v>36769</v>
      </c>
      <c r="G66" s="114" t="s">
        <v>146</v>
      </c>
      <c r="H66" s="126"/>
      <c r="I66" s="116" t="s">
        <v>148</v>
      </c>
      <c r="J66" s="118">
        <v>4.8099999999999997E-2</v>
      </c>
      <c r="K66" s="119">
        <v>0</v>
      </c>
      <c r="L66" s="119">
        <v>2.2000000000000001E-3</v>
      </c>
      <c r="M66" s="119">
        <v>0</v>
      </c>
      <c r="N66" s="119">
        <v>0</v>
      </c>
      <c r="O66" s="120">
        <v>0</v>
      </c>
      <c r="P66" s="119">
        <f>SUM(J66:N66)</f>
        <v>5.0299999999999997E-2</v>
      </c>
      <c r="R66" s="116">
        <v>18997</v>
      </c>
      <c r="S66" s="114" t="s">
        <v>6</v>
      </c>
      <c r="T66" s="125">
        <f>+J66*R66</f>
        <v>913.75569999999993</v>
      </c>
      <c r="U66" s="122"/>
      <c r="V66" s="123">
        <v>345192</v>
      </c>
      <c r="W66" s="114"/>
      <c r="X66" s="124"/>
      <c r="Y66" s="124"/>
    </row>
    <row r="67" spans="2:25" s="115" customFormat="1" x14ac:dyDescent="0.2">
      <c r="B67" s="114" t="s">
        <v>170</v>
      </c>
      <c r="C67" s="116" t="s">
        <v>43</v>
      </c>
      <c r="D67" s="116" t="s">
        <v>124</v>
      </c>
      <c r="E67" s="117">
        <v>36739</v>
      </c>
      <c r="F67" s="117">
        <v>36769</v>
      </c>
      <c r="G67" s="114" t="s">
        <v>147</v>
      </c>
      <c r="H67" s="126"/>
      <c r="I67" s="116" t="s">
        <v>148</v>
      </c>
      <c r="J67" s="118">
        <v>0.48399999999999999</v>
      </c>
      <c r="K67" s="119">
        <v>0</v>
      </c>
      <c r="L67" s="119">
        <v>2.2000000000000001E-3</v>
      </c>
      <c r="M67" s="119">
        <v>0</v>
      </c>
      <c r="N67" s="119">
        <v>0</v>
      </c>
      <c r="O67" s="120">
        <v>0</v>
      </c>
      <c r="P67" s="119">
        <f>SUM(J67:N67)</f>
        <v>0.48619999999999997</v>
      </c>
      <c r="R67" s="116">
        <v>1888</v>
      </c>
      <c r="S67" s="114" t="s">
        <v>7</v>
      </c>
      <c r="T67" s="125">
        <f>+J67*R67</f>
        <v>913.79199999999992</v>
      </c>
      <c r="U67" s="122"/>
      <c r="V67" s="123">
        <v>345192</v>
      </c>
      <c r="W67" s="114"/>
      <c r="X67" s="124"/>
      <c r="Y67" s="124"/>
    </row>
    <row r="68" spans="2:25" x14ac:dyDescent="0.2">
      <c r="B68" s="27"/>
      <c r="C68" s="3"/>
      <c r="D68" s="3"/>
      <c r="E68" s="4"/>
      <c r="F68" s="4"/>
      <c r="G68" s="1"/>
      <c r="H68" s="1"/>
      <c r="I68" s="3"/>
      <c r="J68" s="8"/>
      <c r="K68" s="5"/>
      <c r="L68" s="5"/>
      <c r="M68" s="5"/>
      <c r="N68" s="5"/>
      <c r="O68" s="42"/>
      <c r="P68" s="5"/>
      <c r="Q68" s="48"/>
      <c r="R68" s="49"/>
      <c r="S68" s="28"/>
      <c r="T68" s="28">
        <f>SUM(T57:T67)</f>
        <v>134328.1354</v>
      </c>
      <c r="U68" s="28"/>
      <c r="V68" s="51"/>
      <c r="W68" s="57"/>
      <c r="X68" s="35"/>
      <c r="Y68" s="35"/>
    </row>
    <row r="69" spans="2:25" x14ac:dyDescent="0.2">
      <c r="B69" s="27"/>
      <c r="C69" s="3"/>
      <c r="D69" s="3"/>
      <c r="E69" s="4"/>
      <c r="F69" s="4"/>
      <c r="G69" s="1"/>
      <c r="H69" s="1"/>
      <c r="I69" s="3"/>
      <c r="J69" s="5"/>
      <c r="K69" s="5"/>
      <c r="L69" s="5"/>
      <c r="M69" s="5"/>
      <c r="N69" s="5"/>
      <c r="O69" s="42"/>
      <c r="P69" s="5"/>
      <c r="Q69" s="48"/>
      <c r="R69" s="49"/>
      <c r="S69" s="28"/>
      <c r="T69" s="28"/>
      <c r="U69" s="28"/>
      <c r="V69" s="51"/>
      <c r="W69" s="57"/>
      <c r="X69" s="35"/>
      <c r="Y69" s="35"/>
    </row>
    <row r="70" spans="2:25" x14ac:dyDescent="0.2">
      <c r="B70" s="27"/>
      <c r="C70" s="3"/>
      <c r="D70" s="3"/>
      <c r="E70" s="4"/>
      <c r="F70" s="4"/>
      <c r="G70" s="1"/>
      <c r="H70" s="1"/>
      <c r="I70" s="3"/>
      <c r="J70" s="8"/>
      <c r="K70" s="5"/>
      <c r="L70" s="5"/>
      <c r="M70" s="5"/>
      <c r="N70" s="5"/>
      <c r="O70" s="42"/>
      <c r="P70" s="5"/>
      <c r="Q70" s="48"/>
      <c r="R70" s="49"/>
      <c r="S70" s="28"/>
      <c r="T70" s="28"/>
      <c r="U70" s="28"/>
      <c r="V70" s="51"/>
      <c r="W70" s="57"/>
      <c r="X70" s="35"/>
      <c r="Y70" s="35"/>
    </row>
    <row r="71" spans="2:25" ht="13.5" thickBot="1" x14ac:dyDescent="0.25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2"/>
      <c r="P71" s="5"/>
      <c r="Q71" s="48"/>
      <c r="R71" s="49"/>
      <c r="S71" s="28"/>
      <c r="T71" s="83">
        <f>SUM(T68,T55,T51,T49,T40,T29)</f>
        <v>655443.31530322577</v>
      </c>
      <c r="U71" s="28" t="s">
        <v>183</v>
      </c>
      <c r="V71" s="51"/>
      <c r="W71" s="57"/>
      <c r="X71" s="35"/>
      <c r="Y71" s="35"/>
    </row>
    <row r="72" spans="2:25" ht="13.5" thickTop="1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2"/>
      <c r="P72" s="5"/>
      <c r="Q72" s="48"/>
      <c r="R72" s="49"/>
      <c r="S72" s="28"/>
      <c r="T72" s="28"/>
      <c r="U72" s="57" t="s">
        <v>233</v>
      </c>
      <c r="V72" s="51"/>
      <c r="W72" s="57"/>
      <c r="X72" s="40"/>
      <c r="Y72" s="35"/>
    </row>
    <row r="73" spans="2:25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2"/>
      <c r="P73" s="5"/>
      <c r="Q73" s="48"/>
      <c r="R73" s="49"/>
      <c r="S73" s="28"/>
      <c r="T73" s="28"/>
      <c r="U73" s="28"/>
      <c r="V73" s="51"/>
      <c r="W73" s="57"/>
      <c r="X73" s="35"/>
      <c r="Y73" s="35"/>
    </row>
    <row r="74" spans="2:25" x14ac:dyDescent="0.2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2"/>
      <c r="P74" s="5"/>
      <c r="Q74" s="48"/>
      <c r="R74" s="49"/>
      <c r="S74" s="28"/>
      <c r="T74" s="28"/>
      <c r="U74" s="28"/>
      <c r="V74" s="51"/>
      <c r="W74" s="57"/>
      <c r="X74" s="35"/>
      <c r="Y74" s="35"/>
    </row>
    <row r="75" spans="2:25" x14ac:dyDescent="0.2">
      <c r="B75" s="27"/>
      <c r="C75" s="3"/>
      <c r="D75" s="3"/>
      <c r="E75" s="36"/>
      <c r="F75" s="4"/>
      <c r="G75" s="1"/>
      <c r="H75" s="1"/>
      <c r="I75" s="3"/>
      <c r="J75" s="8"/>
      <c r="K75" s="5"/>
      <c r="L75" s="5"/>
      <c r="M75" s="5"/>
      <c r="N75" s="5"/>
      <c r="O75" s="42"/>
      <c r="P75" s="5"/>
      <c r="Q75" s="48"/>
      <c r="R75" s="49"/>
      <c r="S75" s="40"/>
      <c r="T75" s="28"/>
      <c r="U75" s="28"/>
      <c r="V75" s="51"/>
      <c r="W75" s="57"/>
      <c r="X75" s="35"/>
      <c r="Y75" s="35"/>
    </row>
    <row r="76" spans="2:25" x14ac:dyDescent="0.2">
      <c r="B76" s="27"/>
      <c r="C76" s="3"/>
      <c r="D76" s="3"/>
      <c r="E76" s="36"/>
      <c r="F76" s="4"/>
      <c r="G76" s="1"/>
      <c r="H76" s="1"/>
      <c r="I76" s="3"/>
      <c r="J76" s="8"/>
      <c r="K76" s="5"/>
      <c r="L76" s="5"/>
      <c r="M76" s="5"/>
      <c r="N76" s="5"/>
      <c r="O76" s="42"/>
      <c r="P76" s="5"/>
      <c r="Q76" s="48"/>
      <c r="R76" s="49"/>
      <c r="S76" s="40"/>
      <c r="T76" s="28"/>
      <c r="U76" s="28"/>
      <c r="V76" s="51"/>
      <c r="W76" s="57"/>
      <c r="X76" s="35"/>
      <c r="Y76" s="35"/>
    </row>
    <row r="77" spans="2:25" x14ac:dyDescent="0.2">
      <c r="E77" s="38"/>
      <c r="Q77" s="34"/>
      <c r="R77" s="34"/>
      <c r="S77" s="34"/>
      <c r="T77" s="34"/>
      <c r="U77" s="34"/>
      <c r="V77" s="50"/>
      <c r="W77" s="60"/>
      <c r="X77" s="50"/>
    </row>
    <row r="78" spans="2:25" x14ac:dyDescent="0.2">
      <c r="E78" s="38"/>
      <c r="Q78" s="34"/>
      <c r="R78" s="34"/>
      <c r="S78" s="34"/>
      <c r="T78" s="34"/>
      <c r="U78" s="34"/>
      <c r="V78" s="50"/>
      <c r="W78" s="60"/>
      <c r="X78" s="50"/>
    </row>
    <row r="79" spans="2:25" x14ac:dyDescent="0.2">
      <c r="E79" s="38"/>
    </row>
    <row r="80" spans="2:25" x14ac:dyDescent="0.2">
      <c r="E80" s="38"/>
    </row>
    <row r="81" spans="5:5" x14ac:dyDescent="0.2">
      <c r="E81" s="38"/>
    </row>
  </sheetData>
  <pageMargins left="0.75" right="0.75" top="1" bottom="1" header="0.5" footer="0.5"/>
  <pageSetup scale="33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8"/>
  <sheetViews>
    <sheetView topLeftCell="A47" workbookViewId="0">
      <selection activeCell="Q62" sqref="Q62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6.5703125" style="25" customWidth="1"/>
    <col min="10" max="10" width="7.710937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394</v>
      </c>
      <c r="C1" s="3"/>
      <c r="D1" s="3"/>
      <c r="E1" s="4"/>
      <c r="F1" s="4"/>
      <c r="G1" s="1"/>
      <c r="H1" s="1"/>
      <c r="I1" s="3" t="s">
        <v>61</v>
      </c>
      <c r="J1" s="7">
        <v>31</v>
      </c>
      <c r="K1" s="47" t="s">
        <v>74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">
      <c r="B2" s="1" t="s">
        <v>69</v>
      </c>
      <c r="C2" s="1"/>
      <c r="D2" s="1"/>
      <c r="E2" s="4"/>
      <c r="F2" s="4"/>
      <c r="G2" s="1"/>
      <c r="H2" s="1"/>
      <c r="I2" s="3"/>
      <c r="J2" s="7"/>
      <c r="K2" s="47" t="s">
        <v>75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">
      <c r="B3" s="1" t="s">
        <v>70</v>
      </c>
      <c r="C3" s="1"/>
      <c r="D3" s="1"/>
      <c r="E3" s="4"/>
      <c r="F3" s="4"/>
      <c r="G3" s="6" t="s">
        <v>45</v>
      </c>
      <c r="H3" s="1" t="s">
        <v>45</v>
      </c>
      <c r="I3" s="2" t="s">
        <v>45</v>
      </c>
      <c r="J3" s="8"/>
      <c r="K3" s="31" t="s">
        <v>45</v>
      </c>
      <c r="L3" s="5"/>
      <c r="M3" s="31" t="s">
        <v>45</v>
      </c>
      <c r="N3" s="5"/>
      <c r="O3" s="42"/>
      <c r="P3" s="31" t="s">
        <v>45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">
      <c r="B5" s="1" t="s">
        <v>76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">
      <c r="B6" s="1"/>
      <c r="C6" s="3" t="s">
        <v>171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">
      <c r="B11" s="16" t="s">
        <v>46</v>
      </c>
      <c r="C11" s="17" t="s">
        <v>47</v>
      </c>
      <c r="D11" s="17" t="s">
        <v>113</v>
      </c>
      <c r="E11" s="18" t="s">
        <v>49</v>
      </c>
      <c r="F11" s="18"/>
      <c r="G11" s="16" t="s">
        <v>50</v>
      </c>
      <c r="H11" s="16" t="s">
        <v>51</v>
      </c>
      <c r="I11" s="17" t="s">
        <v>85</v>
      </c>
      <c r="J11" s="19" t="s">
        <v>52</v>
      </c>
      <c r="K11" s="17" t="s">
        <v>53</v>
      </c>
      <c r="L11" s="17" t="s">
        <v>54</v>
      </c>
      <c r="M11" s="17" t="s">
        <v>55</v>
      </c>
      <c r="N11" s="17" t="s">
        <v>56</v>
      </c>
      <c r="O11" s="43" t="s">
        <v>57</v>
      </c>
      <c r="P11" s="17" t="s">
        <v>58</v>
      </c>
      <c r="Q11" s="20" t="s">
        <v>168</v>
      </c>
      <c r="R11" s="17" t="s">
        <v>59</v>
      </c>
      <c r="S11" s="16" t="s">
        <v>60</v>
      </c>
      <c r="T11" s="21" t="s">
        <v>84</v>
      </c>
      <c r="U11" s="21" t="s">
        <v>83</v>
      </c>
      <c r="V11" s="53" t="s">
        <v>169</v>
      </c>
      <c r="W11" s="58" t="s">
        <v>77</v>
      </c>
      <c r="X11" s="36"/>
      <c r="Y11" s="36"/>
    </row>
    <row r="12" spans="2:25" x14ac:dyDescent="0.2">
      <c r="B12" s="16" t="s">
        <v>46</v>
      </c>
      <c r="C12" s="17" t="s">
        <v>47</v>
      </c>
      <c r="D12" s="17" t="s">
        <v>113</v>
      </c>
      <c r="E12" s="18" t="s">
        <v>49</v>
      </c>
      <c r="F12" s="18"/>
      <c r="G12" s="16" t="s">
        <v>50</v>
      </c>
      <c r="H12" s="16" t="s">
        <v>51</v>
      </c>
      <c r="I12" s="17" t="s">
        <v>85</v>
      </c>
      <c r="J12" s="19" t="s">
        <v>52</v>
      </c>
      <c r="K12" s="17" t="s">
        <v>53</v>
      </c>
      <c r="L12" s="17" t="s">
        <v>54</v>
      </c>
      <c r="M12" s="17" t="s">
        <v>55</v>
      </c>
      <c r="N12" s="17" t="s">
        <v>56</v>
      </c>
      <c r="O12" s="43" t="s">
        <v>57</v>
      </c>
      <c r="P12" s="17" t="s">
        <v>58</v>
      </c>
      <c r="Q12" s="20" t="s">
        <v>168</v>
      </c>
      <c r="R12" s="17" t="s">
        <v>59</v>
      </c>
      <c r="S12" s="16" t="s">
        <v>60</v>
      </c>
      <c r="T12" s="21" t="s">
        <v>84</v>
      </c>
      <c r="U12" s="21" t="s">
        <v>83</v>
      </c>
      <c r="V12" s="53" t="s">
        <v>169</v>
      </c>
      <c r="W12" s="58" t="s">
        <v>77</v>
      </c>
      <c r="X12" s="36"/>
      <c r="Y12" s="36"/>
    </row>
    <row r="13" spans="2:25" s="115" customFormat="1" x14ac:dyDescent="0.2">
      <c r="B13" s="114" t="s">
        <v>170</v>
      </c>
      <c r="C13" s="116" t="s">
        <v>64</v>
      </c>
      <c r="D13" s="116" t="s">
        <v>124</v>
      </c>
      <c r="E13" s="117">
        <v>36739</v>
      </c>
      <c r="F13" s="117">
        <v>36769</v>
      </c>
      <c r="G13" s="141">
        <v>10001</v>
      </c>
      <c r="H13" s="141">
        <v>10001</v>
      </c>
      <c r="I13" s="116" t="s">
        <v>114</v>
      </c>
      <c r="J13" s="118">
        <v>1.37E-2</v>
      </c>
      <c r="K13" s="119"/>
      <c r="L13" s="119"/>
      <c r="M13" s="119"/>
      <c r="N13" s="119"/>
      <c r="O13" s="120"/>
      <c r="P13" s="119"/>
      <c r="Q13" s="121">
        <v>530720</v>
      </c>
      <c r="R13" s="116">
        <v>13414</v>
      </c>
      <c r="S13" s="114" t="s">
        <v>9</v>
      </c>
      <c r="T13" s="122">
        <f>J13*1*R13</f>
        <v>183.77180000000001</v>
      </c>
      <c r="U13" s="122"/>
      <c r="V13" s="123">
        <v>345175</v>
      </c>
      <c r="W13" s="114"/>
      <c r="X13" s="124"/>
      <c r="Y13" s="124"/>
    </row>
    <row r="14" spans="2:25" s="115" customFormat="1" x14ac:dyDescent="0.2">
      <c r="B14" s="114" t="s">
        <v>170</v>
      </c>
      <c r="C14" s="116" t="s">
        <v>64</v>
      </c>
      <c r="D14" s="116" t="s">
        <v>124</v>
      </c>
      <c r="E14" s="117">
        <v>36739</v>
      </c>
      <c r="F14" s="117">
        <v>36769</v>
      </c>
      <c r="G14" s="141">
        <v>10001</v>
      </c>
      <c r="H14" s="141">
        <v>10001</v>
      </c>
      <c r="I14" s="116" t="s">
        <v>114</v>
      </c>
      <c r="J14" s="118">
        <v>1.8372999999999999</v>
      </c>
      <c r="K14" s="119"/>
      <c r="L14" s="119"/>
      <c r="M14" s="119"/>
      <c r="N14" s="119"/>
      <c r="O14" s="120"/>
      <c r="P14" s="119"/>
      <c r="Q14" s="121">
        <v>530720</v>
      </c>
      <c r="R14" s="116">
        <v>219</v>
      </c>
      <c r="S14" s="114" t="s">
        <v>9</v>
      </c>
      <c r="T14" s="122">
        <f>J14*1*R14</f>
        <v>402.36869999999999</v>
      </c>
      <c r="U14" s="122"/>
      <c r="V14" s="123">
        <v>345175</v>
      </c>
      <c r="W14" s="114"/>
      <c r="X14" s="124"/>
      <c r="Y14" s="124"/>
    </row>
    <row r="15" spans="2:25" x14ac:dyDescent="0.2">
      <c r="B15" s="10" t="s">
        <v>45</v>
      </c>
      <c r="C15" s="11" t="s">
        <v>45</v>
      </c>
      <c r="D15" s="12" t="s">
        <v>45</v>
      </c>
      <c r="E15" s="13" t="s">
        <v>45</v>
      </c>
      <c r="F15" s="13"/>
      <c r="G15" s="10" t="s">
        <v>45</v>
      </c>
      <c r="H15" s="30" t="s">
        <v>45</v>
      </c>
      <c r="I15" s="11" t="s">
        <v>45</v>
      </c>
      <c r="J15" s="14"/>
      <c r="K15" s="15"/>
      <c r="L15" s="15"/>
      <c r="M15" s="15"/>
      <c r="N15" s="15"/>
      <c r="O15" s="44"/>
      <c r="P15" s="15"/>
      <c r="Q15" s="26" t="s">
        <v>45</v>
      </c>
      <c r="R15" s="11">
        <f>SUM(R13:R14)</f>
        <v>13633</v>
      </c>
      <c r="S15" s="10" t="s">
        <v>45</v>
      </c>
      <c r="T15" s="22">
        <f>SUM(T13:T14)</f>
        <v>586.14049999999997</v>
      </c>
      <c r="U15" s="22"/>
      <c r="V15" s="54"/>
      <c r="W15" s="10"/>
      <c r="X15" s="36"/>
      <c r="Y15" s="36"/>
    </row>
    <row r="16" spans="2:25" x14ac:dyDescent="0.2">
      <c r="B16" s="16" t="s">
        <v>46</v>
      </c>
      <c r="C16" s="17" t="s">
        <v>47</v>
      </c>
      <c r="D16" s="17" t="s">
        <v>48</v>
      </c>
      <c r="E16" s="18" t="s">
        <v>49</v>
      </c>
      <c r="F16" s="18"/>
      <c r="G16" s="16" t="s">
        <v>50</v>
      </c>
      <c r="H16" s="16" t="s">
        <v>51</v>
      </c>
      <c r="I16" s="17" t="s">
        <v>85</v>
      </c>
      <c r="J16" s="19" t="s">
        <v>52</v>
      </c>
      <c r="K16" s="17" t="s">
        <v>53</v>
      </c>
      <c r="L16" s="17" t="s">
        <v>54</v>
      </c>
      <c r="M16" s="17" t="s">
        <v>55</v>
      </c>
      <c r="N16" s="17" t="s">
        <v>56</v>
      </c>
      <c r="O16" s="43" t="s">
        <v>57</v>
      </c>
      <c r="P16" s="17" t="s">
        <v>58</v>
      </c>
      <c r="Q16" s="20" t="s">
        <v>168</v>
      </c>
      <c r="R16" s="17" t="s">
        <v>59</v>
      </c>
      <c r="S16" s="16" t="s">
        <v>60</v>
      </c>
      <c r="T16" s="21" t="s">
        <v>84</v>
      </c>
      <c r="U16" s="21" t="s">
        <v>83</v>
      </c>
      <c r="V16" s="53" t="s">
        <v>169</v>
      </c>
      <c r="W16" s="58" t="str">
        <f>+W12</f>
        <v>Questions</v>
      </c>
      <c r="X16" s="36"/>
      <c r="Y16" s="36"/>
    </row>
    <row r="17" spans="2:25" s="115" customFormat="1" x14ac:dyDescent="0.2">
      <c r="B17" s="114" t="s">
        <v>170</v>
      </c>
      <c r="C17" s="116" t="s">
        <v>80</v>
      </c>
      <c r="D17" s="116" t="s">
        <v>93</v>
      </c>
      <c r="E17" s="117">
        <v>36617</v>
      </c>
      <c r="F17" s="117">
        <v>36830</v>
      </c>
      <c r="G17" s="114" t="s">
        <v>94</v>
      </c>
      <c r="H17" s="114" t="s">
        <v>96</v>
      </c>
      <c r="I17" s="116" t="s">
        <v>95</v>
      </c>
      <c r="J17" s="118">
        <f>6.238/J1</f>
        <v>0.20122580645161292</v>
      </c>
      <c r="K17" s="119">
        <v>0</v>
      </c>
      <c r="L17" s="119">
        <v>0</v>
      </c>
      <c r="M17" s="119">
        <v>0</v>
      </c>
      <c r="N17" s="119">
        <v>0</v>
      </c>
      <c r="O17" s="120">
        <v>0</v>
      </c>
      <c r="P17" s="119">
        <f t="shared" ref="P17:P47" si="0">SUM(J17:N17)</f>
        <v>0.20122580645161292</v>
      </c>
      <c r="Q17" s="121">
        <v>51407</v>
      </c>
      <c r="R17" s="116">
        <v>73754</v>
      </c>
      <c r="S17" s="114" t="s">
        <v>338</v>
      </c>
      <c r="T17" s="122"/>
      <c r="U17" s="122"/>
      <c r="V17" s="123">
        <v>156569</v>
      </c>
      <c r="W17" s="114"/>
      <c r="X17" s="124"/>
      <c r="Y17" s="124"/>
    </row>
    <row r="18" spans="2:25" s="115" customFormat="1" x14ac:dyDescent="0.2">
      <c r="B18" s="114" t="s">
        <v>170</v>
      </c>
      <c r="C18" s="116" t="s">
        <v>80</v>
      </c>
      <c r="D18" s="116" t="s">
        <v>93</v>
      </c>
      <c r="E18" s="117">
        <v>36617</v>
      </c>
      <c r="F18" s="117">
        <v>36830</v>
      </c>
      <c r="G18" s="114" t="s">
        <v>94</v>
      </c>
      <c r="H18" s="114" t="s">
        <v>97</v>
      </c>
      <c r="I18" s="116" t="s">
        <v>95</v>
      </c>
      <c r="J18" s="118">
        <f>1.512/J1</f>
        <v>4.87741935483871E-2</v>
      </c>
      <c r="K18" s="119">
        <v>0</v>
      </c>
      <c r="L18" s="119">
        <v>0</v>
      </c>
      <c r="M18" s="119">
        <v>0</v>
      </c>
      <c r="N18" s="119">
        <v>0</v>
      </c>
      <c r="O18" s="120">
        <v>0</v>
      </c>
      <c r="P18" s="119">
        <f t="shared" si="0"/>
        <v>4.87741935483871E-2</v>
      </c>
      <c r="Q18" s="121">
        <v>51407</v>
      </c>
      <c r="R18" s="116">
        <v>73754</v>
      </c>
      <c r="S18" s="114" t="s">
        <v>338</v>
      </c>
      <c r="T18" s="122"/>
      <c r="U18" s="122"/>
      <c r="V18" s="123">
        <v>156569</v>
      </c>
      <c r="W18" s="114"/>
      <c r="X18" s="124"/>
      <c r="Y18" s="124"/>
    </row>
    <row r="19" spans="2:25" s="115" customFormat="1" x14ac:dyDescent="0.2">
      <c r="B19" s="114" t="s">
        <v>170</v>
      </c>
      <c r="C19" s="116" t="s">
        <v>80</v>
      </c>
      <c r="D19" s="116"/>
      <c r="E19" s="117">
        <v>36100</v>
      </c>
      <c r="F19" s="117">
        <v>36830</v>
      </c>
      <c r="G19" s="126" t="s">
        <v>115</v>
      </c>
      <c r="H19" s="114" t="s">
        <v>116</v>
      </c>
      <c r="I19" s="116" t="s">
        <v>89</v>
      </c>
      <c r="J19" s="118">
        <f t="shared" ref="J19:J24" si="1">4.56/J$1</f>
        <v>0.14709677419354839</v>
      </c>
      <c r="K19" s="119">
        <v>1.32E-2</v>
      </c>
      <c r="L19" s="119">
        <v>2.2000000000000001E-3</v>
      </c>
      <c r="M19" s="119">
        <v>7.1999999999999998E-3</v>
      </c>
      <c r="N19" s="119">
        <v>0</v>
      </c>
      <c r="O19" s="120">
        <v>2.1160000000000002E-2</v>
      </c>
      <c r="P19" s="119">
        <f t="shared" si="0"/>
        <v>0.16969677419354839</v>
      </c>
      <c r="Q19" s="121">
        <v>61822</v>
      </c>
      <c r="R19" s="116">
        <v>4000</v>
      </c>
      <c r="S19" s="114" t="s">
        <v>117</v>
      </c>
      <c r="T19" s="122">
        <f t="shared" ref="T19:T25" si="2">J19*J$1*R19</f>
        <v>18240</v>
      </c>
      <c r="U19" s="122"/>
      <c r="V19" s="123">
        <v>162284</v>
      </c>
      <c r="W19" s="114"/>
      <c r="X19" s="124"/>
      <c r="Y19" s="124"/>
    </row>
    <row r="20" spans="2:25" s="115" customFormat="1" x14ac:dyDescent="0.2">
      <c r="B20" s="114" t="s">
        <v>170</v>
      </c>
      <c r="C20" s="116" t="s">
        <v>80</v>
      </c>
      <c r="D20" s="116" t="s">
        <v>71</v>
      </c>
      <c r="E20" s="117">
        <v>36526</v>
      </c>
      <c r="F20" s="117">
        <v>36830</v>
      </c>
      <c r="G20" s="114" t="s">
        <v>118</v>
      </c>
      <c r="H20" s="114" t="s">
        <v>154</v>
      </c>
      <c r="I20" s="116" t="s">
        <v>89</v>
      </c>
      <c r="J20" s="118">
        <f t="shared" si="1"/>
        <v>0.14709677419354839</v>
      </c>
      <c r="K20" s="119">
        <v>1.32E-2</v>
      </c>
      <c r="L20" s="119">
        <v>2.2000000000000001E-3</v>
      </c>
      <c r="M20" s="119">
        <v>7.4999999999999997E-3</v>
      </c>
      <c r="N20" s="119">
        <v>0</v>
      </c>
      <c r="O20" s="120">
        <v>2.1160000000000002E-2</v>
      </c>
      <c r="P20" s="119">
        <f>SUM(J20:N20)</f>
        <v>0.16999677419354839</v>
      </c>
      <c r="Q20" s="121">
        <v>61825</v>
      </c>
      <c r="R20" s="116">
        <v>2000</v>
      </c>
      <c r="S20" s="126" t="s">
        <v>152</v>
      </c>
      <c r="T20" s="122">
        <f t="shared" si="2"/>
        <v>9120</v>
      </c>
      <c r="U20" s="122"/>
      <c r="V20" s="123">
        <v>156570</v>
      </c>
      <c r="W20" s="122"/>
      <c r="X20" s="124"/>
      <c r="Y20" s="124"/>
    </row>
    <row r="21" spans="2:25" s="115" customFormat="1" x14ac:dyDescent="0.2">
      <c r="B21" s="114" t="s">
        <v>170</v>
      </c>
      <c r="C21" s="116" t="s">
        <v>80</v>
      </c>
      <c r="D21" s="116" t="s">
        <v>71</v>
      </c>
      <c r="E21" s="117">
        <v>36526</v>
      </c>
      <c r="F21" s="117">
        <v>36830</v>
      </c>
      <c r="G21" s="114" t="s">
        <v>121</v>
      </c>
      <c r="H21" s="114" t="s">
        <v>154</v>
      </c>
      <c r="I21" s="116" t="s">
        <v>89</v>
      </c>
      <c r="J21" s="118">
        <f t="shared" si="1"/>
        <v>0.14709677419354839</v>
      </c>
      <c r="K21" s="119">
        <v>1.32E-2</v>
      </c>
      <c r="L21" s="119">
        <v>2.2000000000000001E-3</v>
      </c>
      <c r="M21" s="119">
        <v>7.4999999999999997E-3</v>
      </c>
      <c r="N21" s="119">
        <v>0</v>
      </c>
      <c r="O21" s="120">
        <v>2.1160000000000002E-2</v>
      </c>
      <c r="P21" s="119">
        <f>SUM(J21:N21)</f>
        <v>0.16999677419354839</v>
      </c>
      <c r="Q21" s="121">
        <v>61825</v>
      </c>
      <c r="R21" s="116">
        <v>5000</v>
      </c>
      <c r="S21" s="126" t="s">
        <v>152</v>
      </c>
      <c r="T21" s="122">
        <f t="shared" si="2"/>
        <v>22799.999999999996</v>
      </c>
      <c r="U21" s="122"/>
      <c r="V21" s="123">
        <v>156570</v>
      </c>
      <c r="W21" s="122"/>
      <c r="X21" s="124"/>
      <c r="Y21" s="124"/>
    </row>
    <row r="22" spans="2:25" s="115" customFormat="1" x14ac:dyDescent="0.2">
      <c r="B22" s="114" t="s">
        <v>170</v>
      </c>
      <c r="C22" s="116" t="s">
        <v>80</v>
      </c>
      <c r="D22" s="116" t="s">
        <v>71</v>
      </c>
      <c r="E22" s="117">
        <v>36526</v>
      </c>
      <c r="F22" s="117">
        <v>36830</v>
      </c>
      <c r="G22" s="114" t="s">
        <v>153</v>
      </c>
      <c r="H22" s="114" t="s">
        <v>154</v>
      </c>
      <c r="I22" s="116" t="s">
        <v>89</v>
      </c>
      <c r="J22" s="118">
        <f t="shared" si="1"/>
        <v>0.14709677419354839</v>
      </c>
      <c r="K22" s="119">
        <v>1.32E-2</v>
      </c>
      <c r="L22" s="119">
        <v>2.2000000000000001E-3</v>
      </c>
      <c r="M22" s="119">
        <v>7.4999999999999997E-3</v>
      </c>
      <c r="N22" s="119">
        <v>0</v>
      </c>
      <c r="O22" s="120">
        <v>2.1160000000000002E-2</v>
      </c>
      <c r="P22" s="119">
        <f>SUM(J22:N22)</f>
        <v>0.16999677419354839</v>
      </c>
      <c r="Q22" s="121">
        <v>61825</v>
      </c>
      <c r="R22" s="116">
        <v>1000</v>
      </c>
      <c r="S22" s="126" t="s">
        <v>152</v>
      </c>
      <c r="T22" s="122">
        <f t="shared" si="2"/>
        <v>4560</v>
      </c>
      <c r="U22" s="122"/>
      <c r="V22" s="123">
        <v>156570</v>
      </c>
      <c r="W22" s="122"/>
      <c r="X22" s="124"/>
      <c r="Y22" s="124"/>
    </row>
    <row r="23" spans="2:25" s="115" customFormat="1" x14ac:dyDescent="0.2">
      <c r="B23" s="114" t="s">
        <v>170</v>
      </c>
      <c r="C23" s="116" t="s">
        <v>80</v>
      </c>
      <c r="D23" s="116"/>
      <c r="E23" s="117">
        <v>36100</v>
      </c>
      <c r="F23" s="117">
        <v>36830</v>
      </c>
      <c r="G23" s="114" t="s">
        <v>118</v>
      </c>
      <c r="H23" s="126" t="s">
        <v>119</v>
      </c>
      <c r="I23" s="116" t="s">
        <v>89</v>
      </c>
      <c r="J23" s="118">
        <f t="shared" si="1"/>
        <v>0.14709677419354839</v>
      </c>
      <c r="K23" s="119">
        <v>1.32E-2</v>
      </c>
      <c r="L23" s="119">
        <v>2.2000000000000001E-3</v>
      </c>
      <c r="M23" s="119">
        <v>7.1999999999999998E-3</v>
      </c>
      <c r="N23" s="119">
        <v>0</v>
      </c>
      <c r="O23" s="120">
        <v>2.1160000000000002E-2</v>
      </c>
      <c r="P23" s="119">
        <f t="shared" si="0"/>
        <v>0.16969677419354839</v>
      </c>
      <c r="Q23" s="121">
        <v>61838</v>
      </c>
      <c r="R23" s="116">
        <v>1000</v>
      </c>
      <c r="S23" s="114" t="s">
        <v>120</v>
      </c>
      <c r="T23" s="122">
        <f t="shared" si="2"/>
        <v>4560</v>
      </c>
      <c r="U23" s="122"/>
      <c r="V23" s="123">
        <v>156571</v>
      </c>
      <c r="W23" s="114"/>
      <c r="X23" s="124"/>
      <c r="Y23" s="124"/>
    </row>
    <row r="24" spans="2:25" s="115" customFormat="1" x14ac:dyDescent="0.2">
      <c r="B24" s="114" t="s">
        <v>170</v>
      </c>
      <c r="C24" s="116" t="s">
        <v>80</v>
      </c>
      <c r="D24" s="116" t="s">
        <v>71</v>
      </c>
      <c r="E24" s="117">
        <v>36526</v>
      </c>
      <c r="F24" s="117">
        <v>36830</v>
      </c>
      <c r="G24" s="114" t="s">
        <v>118</v>
      </c>
      <c r="H24" s="114" t="s">
        <v>156</v>
      </c>
      <c r="I24" s="116" t="s">
        <v>89</v>
      </c>
      <c r="J24" s="118">
        <f t="shared" si="1"/>
        <v>0.14709677419354839</v>
      </c>
      <c r="K24" s="119">
        <v>1.32E-2</v>
      </c>
      <c r="L24" s="119">
        <v>2.2000000000000001E-3</v>
      </c>
      <c r="M24" s="119">
        <v>7.4999999999999997E-3</v>
      </c>
      <c r="N24" s="119">
        <v>0</v>
      </c>
      <c r="O24" s="120">
        <v>2.1160000000000002E-2</v>
      </c>
      <c r="P24" s="119">
        <f>SUM(J24:N24)</f>
        <v>0.16999677419354839</v>
      </c>
      <c r="Q24" s="121">
        <v>61990</v>
      </c>
      <c r="R24" s="116">
        <v>2000</v>
      </c>
      <c r="S24" s="126" t="s">
        <v>155</v>
      </c>
      <c r="T24" s="122">
        <f t="shared" si="2"/>
        <v>9120</v>
      </c>
      <c r="U24" s="122"/>
      <c r="V24" s="123">
        <v>156573</v>
      </c>
      <c r="W24" s="122"/>
      <c r="X24" s="124"/>
      <c r="Y24" s="124"/>
    </row>
    <row r="25" spans="2:25" s="115" customFormat="1" x14ac:dyDescent="0.2">
      <c r="B25" s="114" t="s">
        <v>170</v>
      </c>
      <c r="C25" s="116" t="s">
        <v>80</v>
      </c>
      <c r="D25" s="116" t="s">
        <v>71</v>
      </c>
      <c r="E25" s="117">
        <v>36465</v>
      </c>
      <c r="F25" s="117">
        <v>36891</v>
      </c>
      <c r="G25" s="114"/>
      <c r="H25" s="114" t="s">
        <v>371</v>
      </c>
      <c r="I25" s="116" t="s">
        <v>89</v>
      </c>
      <c r="J25" s="118">
        <f>3.0417/30.417</f>
        <v>9.9999999999999992E-2</v>
      </c>
      <c r="K25" s="119">
        <v>1.32E-2</v>
      </c>
      <c r="L25" s="119">
        <v>2.2000000000000001E-3</v>
      </c>
      <c r="M25" s="119">
        <v>7.4999999999999997E-3</v>
      </c>
      <c r="N25" s="119">
        <v>0</v>
      </c>
      <c r="O25" s="120">
        <v>2.1160000000000002E-2</v>
      </c>
      <c r="P25" s="119">
        <f>SUM(J25:N25)</f>
        <v>0.12289999999999998</v>
      </c>
      <c r="Q25" s="121">
        <v>62164</v>
      </c>
      <c r="R25" s="127">
        <v>2000</v>
      </c>
      <c r="S25" s="126" t="s">
        <v>260</v>
      </c>
      <c r="T25" s="122">
        <f t="shared" si="2"/>
        <v>6199.9999999999991</v>
      </c>
      <c r="U25" s="123"/>
      <c r="V25" s="124" t="s">
        <v>261</v>
      </c>
      <c r="W25" s="124"/>
    </row>
    <row r="26" spans="2:25" s="115" customFormat="1" x14ac:dyDescent="0.2">
      <c r="B26" s="114" t="s">
        <v>170</v>
      </c>
      <c r="C26" s="116" t="s">
        <v>80</v>
      </c>
      <c r="D26" s="116" t="s">
        <v>93</v>
      </c>
      <c r="E26" s="117">
        <v>36617</v>
      </c>
      <c r="F26" s="117">
        <v>36799</v>
      </c>
      <c r="G26" s="114" t="s">
        <v>94</v>
      </c>
      <c r="H26" s="114" t="s">
        <v>112</v>
      </c>
      <c r="I26" s="116" t="s">
        <v>111</v>
      </c>
      <c r="J26" s="118">
        <f>6.029/J$1</f>
        <v>0.19448387096774195</v>
      </c>
      <c r="K26" s="119">
        <v>1.2999999999999999E-2</v>
      </c>
      <c r="L26" s="119">
        <v>2.2000000000000001E-3</v>
      </c>
      <c r="M26" s="119">
        <v>7.1999999999999998E-3</v>
      </c>
      <c r="N26" s="119">
        <v>0</v>
      </c>
      <c r="O26" s="120">
        <v>2.1160000000000002E-2</v>
      </c>
      <c r="P26" s="119">
        <f t="shared" si="0"/>
        <v>0.21688387096774198</v>
      </c>
      <c r="Q26" s="121">
        <v>67693</v>
      </c>
      <c r="R26" s="116">
        <v>54327</v>
      </c>
      <c r="S26" s="114" t="s">
        <v>330</v>
      </c>
      <c r="T26" s="122">
        <f>J26*J$1*R26</f>
        <v>327537.48300000001</v>
      </c>
      <c r="U26" s="122"/>
      <c r="V26" s="123">
        <v>231378</v>
      </c>
      <c r="W26" s="114"/>
      <c r="X26" s="124"/>
      <c r="Y26" s="124"/>
    </row>
    <row r="27" spans="2:25" s="115" customFormat="1" x14ac:dyDescent="0.2">
      <c r="B27" s="114" t="s">
        <v>170</v>
      </c>
      <c r="C27" s="116" t="s">
        <v>80</v>
      </c>
      <c r="D27" s="116" t="s">
        <v>93</v>
      </c>
      <c r="E27" s="117">
        <v>36617</v>
      </c>
      <c r="F27" s="117">
        <v>36981</v>
      </c>
      <c r="G27" s="114" t="s">
        <v>94</v>
      </c>
      <c r="H27" s="114" t="s">
        <v>96</v>
      </c>
      <c r="I27" s="116" t="s">
        <v>95</v>
      </c>
      <c r="J27" s="118">
        <v>2.93E-2</v>
      </c>
      <c r="K27" s="119">
        <v>0</v>
      </c>
      <c r="L27" s="119">
        <v>0</v>
      </c>
      <c r="M27" s="119">
        <v>0</v>
      </c>
      <c r="N27" s="119">
        <v>0</v>
      </c>
      <c r="O27" s="120">
        <v>0</v>
      </c>
      <c r="P27" s="119">
        <f>SUM(J27:N27)</f>
        <v>2.93E-2</v>
      </c>
      <c r="Q27" s="121">
        <v>67712</v>
      </c>
      <c r="R27" s="116">
        <v>6050607</v>
      </c>
      <c r="S27" s="114" t="s">
        <v>331</v>
      </c>
      <c r="T27" s="122">
        <f>J27*R27</f>
        <v>177282.78510000001</v>
      </c>
      <c r="U27" s="122"/>
      <c r="V27" s="123">
        <v>235876</v>
      </c>
      <c r="W27" s="114">
        <v>231698</v>
      </c>
      <c r="X27" s="124"/>
      <c r="Y27" s="124"/>
    </row>
    <row r="28" spans="2:25" s="115" customFormat="1" x14ac:dyDescent="0.2">
      <c r="B28" s="114" t="s">
        <v>170</v>
      </c>
      <c r="C28" s="116" t="s">
        <v>80</v>
      </c>
      <c r="D28" s="116" t="s">
        <v>93</v>
      </c>
      <c r="E28" s="117">
        <v>36617</v>
      </c>
      <c r="F28" s="117">
        <v>36981</v>
      </c>
      <c r="G28" s="114" t="s">
        <v>94</v>
      </c>
      <c r="H28" s="114" t="s">
        <v>97</v>
      </c>
      <c r="I28" s="116" t="s">
        <v>95</v>
      </c>
      <c r="J28" s="118">
        <v>1.524</v>
      </c>
      <c r="K28" s="119">
        <v>0</v>
      </c>
      <c r="L28" s="119">
        <v>0</v>
      </c>
      <c r="M28" s="119">
        <v>0</v>
      </c>
      <c r="N28" s="119">
        <v>0</v>
      </c>
      <c r="O28" s="120">
        <v>0</v>
      </c>
      <c r="P28" s="119">
        <f>SUM(J28:N28)</f>
        <v>1.524</v>
      </c>
      <c r="Q28" s="121">
        <v>67712</v>
      </c>
      <c r="R28" s="116">
        <v>108648</v>
      </c>
      <c r="S28" s="114" t="s">
        <v>331</v>
      </c>
      <c r="T28" s="122">
        <f>J28*R28</f>
        <v>165579.552</v>
      </c>
      <c r="U28" s="122"/>
      <c r="V28" s="123">
        <v>235876</v>
      </c>
      <c r="W28" s="114">
        <v>231698</v>
      </c>
      <c r="X28" s="124"/>
      <c r="Y28" s="124"/>
    </row>
    <row r="29" spans="2:25" s="115" customFormat="1" x14ac:dyDescent="0.2">
      <c r="B29" s="114" t="s">
        <v>170</v>
      </c>
      <c r="C29" s="116" t="s">
        <v>80</v>
      </c>
      <c r="D29" s="116" t="s">
        <v>93</v>
      </c>
      <c r="E29" s="117">
        <v>36617</v>
      </c>
      <c r="F29" s="117">
        <v>36981</v>
      </c>
      <c r="G29" s="114" t="s">
        <v>94</v>
      </c>
      <c r="H29" s="114" t="s">
        <v>96</v>
      </c>
      <c r="I29" s="116" t="s">
        <v>95</v>
      </c>
      <c r="J29" s="118">
        <v>0</v>
      </c>
      <c r="K29" s="119">
        <v>0</v>
      </c>
      <c r="L29" s="119">
        <v>0</v>
      </c>
      <c r="M29" s="119">
        <v>0</v>
      </c>
      <c r="N29" s="119">
        <v>0</v>
      </c>
      <c r="O29" s="120">
        <v>0</v>
      </c>
      <c r="P29" s="119">
        <f t="shared" si="0"/>
        <v>0</v>
      </c>
      <c r="Q29" s="121">
        <v>67713</v>
      </c>
      <c r="R29" s="116">
        <v>0</v>
      </c>
      <c r="S29" s="114" t="s">
        <v>372</v>
      </c>
      <c r="T29" s="122">
        <f>J29*R29</f>
        <v>0</v>
      </c>
      <c r="U29" s="122"/>
      <c r="V29" s="123">
        <v>235876</v>
      </c>
      <c r="W29" s="114"/>
      <c r="X29" s="124"/>
      <c r="Y29" s="124"/>
    </row>
    <row r="30" spans="2:25" s="115" customFormat="1" x14ac:dyDescent="0.2">
      <c r="B30" s="114" t="s">
        <v>170</v>
      </c>
      <c r="C30" s="116" t="s">
        <v>80</v>
      </c>
      <c r="D30" s="116" t="s">
        <v>93</v>
      </c>
      <c r="E30" s="117">
        <v>36617</v>
      </c>
      <c r="F30" s="117">
        <v>36981</v>
      </c>
      <c r="G30" s="114" t="s">
        <v>94</v>
      </c>
      <c r="H30" s="114" t="s">
        <v>97</v>
      </c>
      <c r="I30" s="116" t="s">
        <v>95</v>
      </c>
      <c r="J30" s="118">
        <v>0</v>
      </c>
      <c r="K30" s="119">
        <v>0</v>
      </c>
      <c r="L30" s="119">
        <v>0</v>
      </c>
      <c r="M30" s="119">
        <v>0</v>
      </c>
      <c r="N30" s="119">
        <v>0</v>
      </c>
      <c r="O30" s="120">
        <v>0</v>
      </c>
      <c r="P30" s="119">
        <f t="shared" si="0"/>
        <v>0</v>
      </c>
      <c r="Q30" s="121">
        <v>67713</v>
      </c>
      <c r="R30" s="116">
        <v>0</v>
      </c>
      <c r="S30" s="114" t="s">
        <v>372</v>
      </c>
      <c r="T30" s="122">
        <f>J30*R30</f>
        <v>0</v>
      </c>
      <c r="U30" s="122"/>
      <c r="V30" s="123">
        <v>235876</v>
      </c>
      <c r="W30" s="114"/>
      <c r="X30" s="124"/>
      <c r="Y30" s="124"/>
    </row>
    <row r="31" spans="2:25" s="115" customFormat="1" x14ac:dyDescent="0.2">
      <c r="B31" s="114" t="s">
        <v>170</v>
      </c>
      <c r="C31" s="116" t="s">
        <v>80</v>
      </c>
      <c r="D31" s="116" t="s">
        <v>87</v>
      </c>
      <c r="E31" s="117">
        <v>36678</v>
      </c>
      <c r="F31" s="117">
        <v>37042</v>
      </c>
      <c r="G31" s="114" t="s">
        <v>88</v>
      </c>
      <c r="H31" s="114" t="s">
        <v>91</v>
      </c>
      <c r="I31" s="116" t="s">
        <v>89</v>
      </c>
      <c r="J31" s="118">
        <f>6.401/J$1</f>
        <v>0.20648387096774193</v>
      </c>
      <c r="K31" s="119">
        <v>1.32E-2</v>
      </c>
      <c r="L31" s="119">
        <v>2.2000000000000001E-3</v>
      </c>
      <c r="M31" s="119">
        <v>7.1999999999999998E-3</v>
      </c>
      <c r="N31" s="119">
        <v>0</v>
      </c>
      <c r="O31" s="120">
        <v>2.1160000000000002E-2</v>
      </c>
      <c r="P31" s="119">
        <f t="shared" si="0"/>
        <v>0.22908387096774194</v>
      </c>
      <c r="Q31" s="121">
        <v>68359</v>
      </c>
      <c r="R31" s="116">
        <v>285</v>
      </c>
      <c r="S31" s="114" t="s">
        <v>370</v>
      </c>
      <c r="T31" s="122">
        <f t="shared" ref="T31:T49" si="3">J31*J$1*R31</f>
        <v>1824.2849999999999</v>
      </c>
      <c r="U31" s="122"/>
      <c r="V31" s="123">
        <v>271307</v>
      </c>
      <c r="W31" s="114"/>
      <c r="X31" s="124"/>
      <c r="Y31" s="124"/>
    </row>
    <row r="32" spans="2:25" s="115" customFormat="1" x14ac:dyDescent="0.2">
      <c r="B32" s="114" t="s">
        <v>170</v>
      </c>
      <c r="C32" s="116" t="s">
        <v>80</v>
      </c>
      <c r="D32" s="116" t="s">
        <v>86</v>
      </c>
      <c r="E32" s="117">
        <v>36678</v>
      </c>
      <c r="F32" s="117">
        <v>37042</v>
      </c>
      <c r="G32" s="114" t="s">
        <v>88</v>
      </c>
      <c r="H32" s="114" t="s">
        <v>92</v>
      </c>
      <c r="I32" s="116" t="s">
        <v>89</v>
      </c>
      <c r="J32" s="118">
        <f>6.401/J$1</f>
        <v>0.20648387096774193</v>
      </c>
      <c r="K32" s="119">
        <v>1.32E-2</v>
      </c>
      <c r="L32" s="119">
        <v>2.2000000000000001E-3</v>
      </c>
      <c r="M32" s="119">
        <v>7.1999999999999998E-3</v>
      </c>
      <c r="N32" s="119">
        <v>0</v>
      </c>
      <c r="O32" s="120">
        <v>2.1160000000000002E-2</v>
      </c>
      <c r="P32" s="119">
        <f t="shared" si="0"/>
        <v>0.22908387096774194</v>
      </c>
      <c r="Q32" s="121">
        <v>68384</v>
      </c>
      <c r="R32" s="116">
        <v>218</v>
      </c>
      <c r="S32" s="114" t="s">
        <v>369</v>
      </c>
      <c r="T32" s="122">
        <f t="shared" si="3"/>
        <v>1395.4179999999999</v>
      </c>
      <c r="U32" s="122"/>
      <c r="V32" s="123">
        <v>280570</v>
      </c>
      <c r="W32" s="114"/>
      <c r="X32" s="124"/>
      <c r="Y32" s="124"/>
    </row>
    <row r="33" spans="2:25" s="115" customFormat="1" x14ac:dyDescent="0.2">
      <c r="B33" s="114" t="s">
        <v>170</v>
      </c>
      <c r="C33" s="116" t="s">
        <v>80</v>
      </c>
      <c r="D33" s="116" t="s">
        <v>87</v>
      </c>
      <c r="E33" s="117">
        <v>36708</v>
      </c>
      <c r="F33" s="117">
        <v>37072</v>
      </c>
      <c r="G33" s="114" t="s">
        <v>88</v>
      </c>
      <c r="H33" s="114" t="s">
        <v>91</v>
      </c>
      <c r="I33" s="116" t="s">
        <v>89</v>
      </c>
      <c r="J33" s="118">
        <f t="shared" ref="J33:J38" si="4">6.449/J$1</f>
        <v>0.20803225806451611</v>
      </c>
      <c r="K33" s="119">
        <v>1.32E-2</v>
      </c>
      <c r="L33" s="119">
        <v>2.2000000000000001E-3</v>
      </c>
      <c r="M33" s="119">
        <v>7.1999999999999998E-3</v>
      </c>
      <c r="N33" s="119">
        <v>0</v>
      </c>
      <c r="O33" s="120">
        <v>2.1160000000000002E-2</v>
      </c>
      <c r="P33" s="119">
        <f t="shared" si="0"/>
        <v>0.23063225806451612</v>
      </c>
      <c r="Q33" s="121">
        <v>68616</v>
      </c>
      <c r="R33" s="116">
        <v>900</v>
      </c>
      <c r="S33" s="114" t="s">
        <v>373</v>
      </c>
      <c r="T33" s="122">
        <f t="shared" si="3"/>
        <v>5804.0999999999995</v>
      </c>
      <c r="U33" s="122"/>
      <c r="V33" s="123">
        <v>309723</v>
      </c>
      <c r="W33" s="114" t="s">
        <v>374</v>
      </c>
      <c r="X33" s="124"/>
      <c r="Y33" s="124"/>
    </row>
    <row r="34" spans="2:25" s="115" customFormat="1" x14ac:dyDescent="0.2">
      <c r="B34" s="114" t="s">
        <v>170</v>
      </c>
      <c r="C34" s="116" t="s">
        <v>80</v>
      </c>
      <c r="D34" s="116" t="s">
        <v>86</v>
      </c>
      <c r="E34" s="117">
        <v>36708</v>
      </c>
      <c r="F34" s="117">
        <v>37072</v>
      </c>
      <c r="G34" s="114" t="s">
        <v>88</v>
      </c>
      <c r="H34" s="114" t="s">
        <v>90</v>
      </c>
      <c r="I34" s="116" t="s">
        <v>89</v>
      </c>
      <c r="J34" s="118">
        <f t="shared" si="4"/>
        <v>0.20803225806451611</v>
      </c>
      <c r="K34" s="119">
        <v>1.32E-2</v>
      </c>
      <c r="L34" s="119">
        <v>2.2000000000000001E-3</v>
      </c>
      <c r="M34" s="119">
        <v>7.1999999999999998E-3</v>
      </c>
      <c r="N34" s="119">
        <v>0</v>
      </c>
      <c r="O34" s="120">
        <v>2.1160000000000002E-2</v>
      </c>
      <c r="P34" s="119">
        <f t="shared" si="0"/>
        <v>0.23063225806451612</v>
      </c>
      <c r="Q34" s="121">
        <v>68635</v>
      </c>
      <c r="R34" s="116">
        <v>1</v>
      </c>
      <c r="S34" s="114" t="s">
        <v>375</v>
      </c>
      <c r="T34" s="122">
        <f t="shared" si="3"/>
        <v>6.4489999999999998</v>
      </c>
      <c r="U34" s="122"/>
      <c r="V34" s="123">
        <v>312333</v>
      </c>
      <c r="W34" s="114"/>
      <c r="X34" s="124"/>
      <c r="Y34" s="124"/>
    </row>
    <row r="35" spans="2:25" s="115" customFormat="1" x14ac:dyDescent="0.2">
      <c r="B35" s="114" t="s">
        <v>170</v>
      </c>
      <c r="C35" s="116" t="s">
        <v>80</v>
      </c>
      <c r="D35" s="116" t="s">
        <v>86</v>
      </c>
      <c r="E35" s="117">
        <v>36739</v>
      </c>
      <c r="F35" s="117">
        <v>37103</v>
      </c>
      <c r="G35" s="114" t="s">
        <v>88</v>
      </c>
      <c r="H35" s="114" t="s">
        <v>91</v>
      </c>
      <c r="I35" s="116" t="s">
        <v>89</v>
      </c>
      <c r="J35" s="118">
        <f t="shared" si="4"/>
        <v>0.20803225806451611</v>
      </c>
      <c r="K35" s="119">
        <v>1.32E-2</v>
      </c>
      <c r="L35" s="119">
        <v>2.2000000000000001E-3</v>
      </c>
      <c r="M35" s="119">
        <v>7.1999999999999998E-3</v>
      </c>
      <c r="N35" s="119">
        <v>0</v>
      </c>
      <c r="O35" s="120">
        <v>2.1160000000000002E-2</v>
      </c>
      <c r="P35" s="119">
        <f t="shared" si="0"/>
        <v>0.23063225806451612</v>
      </c>
      <c r="Q35" s="121">
        <v>64328</v>
      </c>
      <c r="R35" s="116">
        <v>4</v>
      </c>
      <c r="S35" s="114" t="s">
        <v>13</v>
      </c>
      <c r="T35" s="122">
        <f t="shared" si="3"/>
        <v>25.795999999999999</v>
      </c>
      <c r="U35" s="122"/>
      <c r="V35" s="123">
        <v>345108</v>
      </c>
      <c r="W35" s="114"/>
      <c r="X35" s="124"/>
      <c r="Y35" s="124"/>
    </row>
    <row r="36" spans="2:25" s="115" customFormat="1" x14ac:dyDescent="0.2">
      <c r="B36" s="114" t="s">
        <v>170</v>
      </c>
      <c r="C36" s="116" t="s">
        <v>80</v>
      </c>
      <c r="D36" s="116" t="s">
        <v>86</v>
      </c>
      <c r="E36" s="117">
        <v>36739</v>
      </c>
      <c r="F36" s="117">
        <v>37103</v>
      </c>
      <c r="G36" s="114" t="s">
        <v>88</v>
      </c>
      <c r="H36" s="114" t="s">
        <v>92</v>
      </c>
      <c r="I36" s="116" t="s">
        <v>89</v>
      </c>
      <c r="J36" s="118">
        <f>6.401/J$1</f>
        <v>0.20648387096774193</v>
      </c>
      <c r="K36" s="119">
        <v>1.32E-2</v>
      </c>
      <c r="L36" s="119">
        <v>2.2000000000000001E-3</v>
      </c>
      <c r="M36" s="119">
        <v>7.1999999999999998E-3</v>
      </c>
      <c r="N36" s="119">
        <v>0</v>
      </c>
      <c r="O36" s="120">
        <v>2.1160000000000002E-2</v>
      </c>
      <c r="P36" s="119">
        <f t="shared" si="0"/>
        <v>0.22908387096774194</v>
      </c>
      <c r="Q36" s="121">
        <v>68926</v>
      </c>
      <c r="R36" s="116">
        <v>4</v>
      </c>
      <c r="S36" s="114" t="s">
        <v>10</v>
      </c>
      <c r="T36" s="122">
        <f t="shared" si="3"/>
        <v>25.603999999999999</v>
      </c>
      <c r="U36" s="122"/>
      <c r="V36" s="123">
        <v>345125</v>
      </c>
      <c r="W36" s="114"/>
      <c r="X36" s="124"/>
      <c r="Y36" s="124"/>
    </row>
    <row r="37" spans="2:25" s="115" customFormat="1" x14ac:dyDescent="0.2">
      <c r="B37" s="114" t="s">
        <v>170</v>
      </c>
      <c r="C37" s="116" t="s">
        <v>80</v>
      </c>
      <c r="D37" s="116" t="s">
        <v>86</v>
      </c>
      <c r="E37" s="117">
        <v>36404</v>
      </c>
      <c r="F37" s="117">
        <v>36769</v>
      </c>
      <c r="G37" s="114" t="s">
        <v>88</v>
      </c>
      <c r="H37" s="114" t="s">
        <v>92</v>
      </c>
      <c r="I37" s="116" t="s">
        <v>89</v>
      </c>
      <c r="J37" s="118">
        <f t="shared" si="4"/>
        <v>0.20803225806451611</v>
      </c>
      <c r="K37" s="119">
        <v>1.32E-2</v>
      </c>
      <c r="L37" s="119">
        <v>2.2000000000000001E-3</v>
      </c>
      <c r="M37" s="119">
        <v>7.1999999999999998E-3</v>
      </c>
      <c r="N37" s="119">
        <v>0</v>
      </c>
      <c r="O37" s="120">
        <v>2.1160000000000002E-2</v>
      </c>
      <c r="P37" s="119">
        <f t="shared" si="0"/>
        <v>0.23063225806451612</v>
      </c>
      <c r="Q37" s="121">
        <v>64651</v>
      </c>
      <c r="R37" s="116">
        <v>64</v>
      </c>
      <c r="S37" s="114" t="s">
        <v>98</v>
      </c>
      <c r="T37" s="122">
        <f t="shared" si="3"/>
        <v>412.73599999999999</v>
      </c>
      <c r="U37" s="122"/>
      <c r="V37" s="123">
        <v>156591</v>
      </c>
      <c r="W37" s="114"/>
      <c r="X37" s="124"/>
      <c r="Y37" s="124"/>
    </row>
    <row r="38" spans="2:25" s="115" customFormat="1" x14ac:dyDescent="0.2">
      <c r="B38" s="114" t="s">
        <v>170</v>
      </c>
      <c r="C38" s="116" t="s">
        <v>80</v>
      </c>
      <c r="D38" s="116" t="s">
        <v>86</v>
      </c>
      <c r="E38" s="117">
        <v>36434</v>
      </c>
      <c r="F38" s="117">
        <v>36799</v>
      </c>
      <c r="G38" s="114" t="s">
        <v>88</v>
      </c>
      <c r="H38" s="114" t="s">
        <v>90</v>
      </c>
      <c r="I38" s="116" t="s">
        <v>89</v>
      </c>
      <c r="J38" s="118">
        <f t="shared" si="4"/>
        <v>0.20803225806451611</v>
      </c>
      <c r="K38" s="119">
        <v>1.32E-2</v>
      </c>
      <c r="L38" s="119">
        <v>2.2000000000000001E-3</v>
      </c>
      <c r="M38" s="119">
        <v>7.1999999999999998E-3</v>
      </c>
      <c r="N38" s="119">
        <v>0</v>
      </c>
      <c r="O38" s="120">
        <v>2.1160000000000002E-2</v>
      </c>
      <c r="P38" s="119">
        <f t="shared" si="0"/>
        <v>0.23063225806451612</v>
      </c>
      <c r="Q38" s="121">
        <v>64862</v>
      </c>
      <c r="R38" s="116">
        <v>13</v>
      </c>
      <c r="S38" s="114" t="s">
        <v>99</v>
      </c>
      <c r="T38" s="122">
        <f t="shared" si="3"/>
        <v>83.837000000000003</v>
      </c>
      <c r="U38" s="122"/>
      <c r="V38" s="123">
        <v>156592</v>
      </c>
      <c r="W38" s="114"/>
      <c r="X38" s="124"/>
      <c r="Y38" s="124"/>
    </row>
    <row r="39" spans="2:25" s="115" customFormat="1" x14ac:dyDescent="0.2">
      <c r="B39" s="114" t="s">
        <v>170</v>
      </c>
      <c r="C39" s="116" t="s">
        <v>80</v>
      </c>
      <c r="D39" s="116" t="s">
        <v>93</v>
      </c>
      <c r="E39" s="117">
        <v>36434</v>
      </c>
      <c r="F39" s="117">
        <v>36799</v>
      </c>
      <c r="G39" s="114" t="s">
        <v>88</v>
      </c>
      <c r="H39" s="114" t="s">
        <v>100</v>
      </c>
      <c r="I39" s="116" t="s">
        <v>89</v>
      </c>
      <c r="J39" s="118">
        <f>6.372/J$1</f>
        <v>0.2055483870967742</v>
      </c>
      <c r="K39" s="119">
        <v>1.32E-2</v>
      </c>
      <c r="L39" s="119">
        <v>2.2000000000000001E-3</v>
      </c>
      <c r="M39" s="119">
        <v>7.1999999999999998E-3</v>
      </c>
      <c r="N39" s="119">
        <v>0</v>
      </c>
      <c r="O39" s="120">
        <v>2.1160000000000002E-2</v>
      </c>
      <c r="P39" s="119">
        <f t="shared" si="0"/>
        <v>0.22814838709677421</v>
      </c>
      <c r="Q39" s="121">
        <v>64939</v>
      </c>
      <c r="R39" s="116">
        <v>2300</v>
      </c>
      <c r="S39" s="114" t="s">
        <v>101</v>
      </c>
      <c r="T39" s="122">
        <f t="shared" si="3"/>
        <v>14655.6</v>
      </c>
      <c r="U39" s="122"/>
      <c r="V39" s="123">
        <v>156593</v>
      </c>
      <c r="W39" s="114"/>
      <c r="X39" s="124"/>
      <c r="Y39" s="124"/>
    </row>
    <row r="40" spans="2:25" s="115" customFormat="1" x14ac:dyDescent="0.2">
      <c r="B40" s="114" t="s">
        <v>170</v>
      </c>
      <c r="C40" s="116" t="s">
        <v>80</v>
      </c>
      <c r="D40" s="116" t="s">
        <v>93</v>
      </c>
      <c r="E40" s="117">
        <v>36708</v>
      </c>
      <c r="F40" s="117">
        <v>36799</v>
      </c>
      <c r="G40" s="114" t="s">
        <v>88</v>
      </c>
      <c r="H40" s="114" t="s">
        <v>100</v>
      </c>
      <c r="I40" s="116" t="s">
        <v>89</v>
      </c>
      <c r="J40" s="118">
        <f>6.372/J$1</f>
        <v>0.2055483870967742</v>
      </c>
      <c r="K40" s="119">
        <v>1.32E-2</v>
      </c>
      <c r="L40" s="119">
        <v>2.2000000000000001E-3</v>
      </c>
      <c r="M40" s="119">
        <v>7.1999999999999998E-3</v>
      </c>
      <c r="N40" s="119">
        <v>0</v>
      </c>
      <c r="O40" s="120">
        <v>2.1160000000000002E-2</v>
      </c>
      <c r="P40" s="119">
        <f>SUM(J40:N40)</f>
        <v>0.22814838709677421</v>
      </c>
      <c r="Q40" s="121">
        <v>64939</v>
      </c>
      <c r="R40" s="116">
        <v>-2300</v>
      </c>
      <c r="S40" s="114" t="s">
        <v>384</v>
      </c>
      <c r="T40" s="122">
        <f>J40*J$1*R40</f>
        <v>-14655.6</v>
      </c>
      <c r="U40" s="122"/>
      <c r="V40" s="123">
        <v>319306</v>
      </c>
      <c r="W40" s="114" t="s">
        <v>385</v>
      </c>
      <c r="X40" s="124"/>
      <c r="Y40" s="124"/>
    </row>
    <row r="41" spans="2:25" s="115" customFormat="1" x14ac:dyDescent="0.2">
      <c r="B41" s="114" t="s">
        <v>170</v>
      </c>
      <c r="C41" s="116" t="s">
        <v>80</v>
      </c>
      <c r="D41" s="116" t="s">
        <v>86</v>
      </c>
      <c r="E41" s="117">
        <v>36465</v>
      </c>
      <c r="F41" s="117">
        <v>36830</v>
      </c>
      <c r="G41" s="114" t="s">
        <v>88</v>
      </c>
      <c r="H41" s="114" t="s">
        <v>92</v>
      </c>
      <c r="I41" s="116" t="s">
        <v>89</v>
      </c>
      <c r="J41" s="118">
        <f>6.449/J$1</f>
        <v>0.20803225806451611</v>
      </c>
      <c r="K41" s="119">
        <v>1.32E-2</v>
      </c>
      <c r="L41" s="119">
        <v>2.2000000000000001E-3</v>
      </c>
      <c r="M41" s="119">
        <v>7.1999999999999998E-3</v>
      </c>
      <c r="N41" s="119">
        <v>0</v>
      </c>
      <c r="O41" s="120">
        <v>2.1160000000000002E-2</v>
      </c>
      <c r="P41" s="119">
        <f t="shared" si="0"/>
        <v>0.23063225806451612</v>
      </c>
      <c r="Q41" s="121">
        <v>65026</v>
      </c>
      <c r="R41" s="116">
        <v>128</v>
      </c>
      <c r="S41" s="114" t="s">
        <v>102</v>
      </c>
      <c r="T41" s="122">
        <f t="shared" si="3"/>
        <v>825.47199999999998</v>
      </c>
      <c r="U41" s="122"/>
      <c r="V41" s="123">
        <v>162286</v>
      </c>
      <c r="W41" s="114"/>
      <c r="X41" s="124"/>
      <c r="Y41" s="124"/>
    </row>
    <row r="42" spans="2:25" s="115" customFormat="1" x14ac:dyDescent="0.2">
      <c r="B42" s="114" t="s">
        <v>170</v>
      </c>
      <c r="C42" s="116" t="s">
        <v>80</v>
      </c>
      <c r="D42" s="116" t="s">
        <v>103</v>
      </c>
      <c r="E42" s="117">
        <v>36465</v>
      </c>
      <c r="F42" s="117">
        <v>36830</v>
      </c>
      <c r="G42" s="114" t="s">
        <v>88</v>
      </c>
      <c r="H42" s="114" t="s">
        <v>104</v>
      </c>
      <c r="I42" s="116" t="s">
        <v>89</v>
      </c>
      <c r="J42" s="118">
        <f>6.449/J$1</f>
        <v>0.20803225806451611</v>
      </c>
      <c r="K42" s="119">
        <v>1.32E-2</v>
      </c>
      <c r="L42" s="119">
        <v>2.2000000000000001E-3</v>
      </c>
      <c r="M42" s="119">
        <v>7.1999999999999998E-3</v>
      </c>
      <c r="N42" s="119">
        <v>0</v>
      </c>
      <c r="O42" s="120">
        <v>2.1160000000000002E-2</v>
      </c>
      <c r="P42" s="119">
        <f t="shared" si="0"/>
        <v>0.23063225806451612</v>
      </c>
      <c r="Q42" s="121">
        <v>65041</v>
      </c>
      <c r="R42" s="116">
        <v>9619</v>
      </c>
      <c r="S42" s="114" t="s">
        <v>105</v>
      </c>
      <c r="T42" s="122">
        <f t="shared" si="3"/>
        <v>62032.930999999997</v>
      </c>
      <c r="U42" s="122"/>
      <c r="V42" s="123">
        <v>162285</v>
      </c>
      <c r="W42" s="114"/>
      <c r="X42" s="124"/>
      <c r="Y42" s="124"/>
    </row>
    <row r="43" spans="2:25" s="115" customFormat="1" x14ac:dyDescent="0.2">
      <c r="B43" s="114" t="s">
        <v>170</v>
      </c>
      <c r="C43" s="116" t="s">
        <v>80</v>
      </c>
      <c r="D43" s="116" t="s">
        <v>103</v>
      </c>
      <c r="E43" s="117">
        <v>36465</v>
      </c>
      <c r="F43" s="117">
        <v>36830</v>
      </c>
      <c r="G43" s="114" t="s">
        <v>88</v>
      </c>
      <c r="H43" s="114" t="s">
        <v>107</v>
      </c>
      <c r="I43" s="116" t="s">
        <v>89</v>
      </c>
      <c r="J43" s="118">
        <f>6.449/J$1</f>
        <v>0.20803225806451611</v>
      </c>
      <c r="K43" s="119">
        <v>1.32E-2</v>
      </c>
      <c r="L43" s="119">
        <v>2.2000000000000001E-3</v>
      </c>
      <c r="M43" s="119">
        <v>7.1999999999999998E-3</v>
      </c>
      <c r="N43" s="119">
        <v>0</v>
      </c>
      <c r="O43" s="120">
        <v>2.1160000000000002E-2</v>
      </c>
      <c r="P43" s="119">
        <f t="shared" si="0"/>
        <v>0.23063225806451612</v>
      </c>
      <c r="Q43" s="121">
        <v>65042</v>
      </c>
      <c r="R43" s="116">
        <v>4427</v>
      </c>
      <c r="S43" s="114" t="s">
        <v>106</v>
      </c>
      <c r="T43" s="122">
        <f t="shared" si="3"/>
        <v>28549.722999999998</v>
      </c>
      <c r="U43" s="122"/>
      <c r="V43" s="123">
        <v>162287</v>
      </c>
      <c r="W43" s="114"/>
      <c r="X43" s="124"/>
      <c r="Y43" s="124"/>
    </row>
    <row r="44" spans="2:25" s="115" customFormat="1" x14ac:dyDescent="0.2">
      <c r="B44" s="114" t="s">
        <v>170</v>
      </c>
      <c r="C44" s="116" t="s">
        <v>80</v>
      </c>
      <c r="D44" s="116" t="s">
        <v>108</v>
      </c>
      <c r="E44" s="117">
        <v>36465</v>
      </c>
      <c r="F44" s="117">
        <v>37011</v>
      </c>
      <c r="G44" s="114" t="s">
        <v>88</v>
      </c>
      <c r="H44" s="114" t="s">
        <v>109</v>
      </c>
      <c r="I44" s="116" t="s">
        <v>89</v>
      </c>
      <c r="J44" s="118">
        <f>6.449/J$1</f>
        <v>0.20803225806451611</v>
      </c>
      <c r="K44" s="119">
        <v>1.32E-2</v>
      </c>
      <c r="L44" s="119">
        <v>2.2000000000000001E-3</v>
      </c>
      <c r="M44" s="119">
        <v>7.1999999999999998E-3</v>
      </c>
      <c r="N44" s="119">
        <v>0</v>
      </c>
      <c r="O44" s="120">
        <v>2.1160000000000002E-2</v>
      </c>
      <c r="P44" s="119">
        <f>SUM(J44:N44)</f>
        <v>0.23063225806451612</v>
      </c>
      <c r="Q44" s="121">
        <v>65108</v>
      </c>
      <c r="R44" s="116">
        <v>5000</v>
      </c>
      <c r="S44" s="114" t="s">
        <v>232</v>
      </c>
      <c r="T44" s="122">
        <f>J44*J$1*R44</f>
        <v>32245</v>
      </c>
      <c r="U44" s="122"/>
      <c r="V44" s="123">
        <v>163001</v>
      </c>
      <c r="W44" s="114"/>
      <c r="X44" s="124"/>
      <c r="Y44" s="124"/>
    </row>
    <row r="45" spans="2:25" s="115" customFormat="1" x14ac:dyDescent="0.2">
      <c r="B45" s="114" t="s">
        <v>170</v>
      </c>
      <c r="C45" s="116" t="s">
        <v>80</v>
      </c>
      <c r="D45" s="116" t="s">
        <v>71</v>
      </c>
      <c r="E45" s="117">
        <v>36734</v>
      </c>
      <c r="F45" s="117">
        <v>36799</v>
      </c>
      <c r="G45" s="114" t="s">
        <v>391</v>
      </c>
      <c r="H45" s="114" t="s">
        <v>392</v>
      </c>
      <c r="I45" s="116" t="s">
        <v>89</v>
      </c>
      <c r="J45" s="118">
        <f>1.0587/J1</f>
        <v>3.4151612903225805E-2</v>
      </c>
      <c r="K45" s="119"/>
      <c r="L45" s="119"/>
      <c r="M45" s="119"/>
      <c r="N45" s="119"/>
      <c r="O45" s="120"/>
      <c r="P45" s="119"/>
      <c r="Q45" s="121">
        <v>68972</v>
      </c>
      <c r="R45" s="116">
        <v>1000</v>
      </c>
      <c r="S45" s="114" t="s">
        <v>393</v>
      </c>
      <c r="T45" s="122">
        <f>J45*J$1*R45</f>
        <v>1058.7</v>
      </c>
      <c r="U45" s="122"/>
      <c r="V45" s="123">
        <v>346509</v>
      </c>
      <c r="W45" s="114"/>
      <c r="X45" s="124"/>
      <c r="Y45" s="124"/>
    </row>
    <row r="46" spans="2:25" s="115" customFormat="1" x14ac:dyDescent="0.2">
      <c r="B46" s="114" t="s">
        <v>170</v>
      </c>
      <c r="C46" s="116" t="s">
        <v>80</v>
      </c>
      <c r="D46" s="116"/>
      <c r="E46" s="117">
        <v>36557</v>
      </c>
      <c r="F46" s="117">
        <v>36830</v>
      </c>
      <c r="G46" s="114" t="s">
        <v>121</v>
      </c>
      <c r="H46" s="114" t="s">
        <v>116</v>
      </c>
      <c r="I46" s="116" t="s">
        <v>89</v>
      </c>
      <c r="J46" s="118">
        <f>4.563/J$1</f>
        <v>0.14719354838709678</v>
      </c>
      <c r="K46" s="119">
        <v>1.32E-2</v>
      </c>
      <c r="L46" s="119">
        <v>2.2000000000000001E-3</v>
      </c>
      <c r="M46" s="119">
        <v>7.1999999999999998E-3</v>
      </c>
      <c r="N46" s="119">
        <v>0</v>
      </c>
      <c r="O46" s="120">
        <v>2.1160000000000002E-2</v>
      </c>
      <c r="P46" s="119">
        <f t="shared" si="0"/>
        <v>0.16979354838709679</v>
      </c>
      <c r="Q46" s="121">
        <v>65418</v>
      </c>
      <c r="R46" s="116">
        <v>500</v>
      </c>
      <c r="S46" s="114" t="s">
        <v>122</v>
      </c>
      <c r="T46" s="122">
        <f t="shared" si="3"/>
        <v>2281.5</v>
      </c>
      <c r="U46" s="122"/>
      <c r="V46" s="123">
        <v>156599</v>
      </c>
      <c r="W46" s="114"/>
      <c r="X46" s="124"/>
      <c r="Y46" s="124"/>
    </row>
    <row r="47" spans="2:25" s="115" customFormat="1" x14ac:dyDescent="0.2">
      <c r="B47" s="114" t="s">
        <v>170</v>
      </c>
      <c r="C47" s="116" t="s">
        <v>80</v>
      </c>
      <c r="D47" s="116" t="s">
        <v>86</v>
      </c>
      <c r="E47" s="117">
        <v>36557</v>
      </c>
      <c r="F47" s="117">
        <v>36860</v>
      </c>
      <c r="G47" s="114" t="s">
        <v>88</v>
      </c>
      <c r="H47" s="114" t="s">
        <v>92</v>
      </c>
      <c r="I47" s="116" t="s">
        <v>89</v>
      </c>
      <c r="J47" s="118">
        <f>6.449/J$1</f>
        <v>0.20803225806451611</v>
      </c>
      <c r="K47" s="119">
        <v>1.32E-2</v>
      </c>
      <c r="L47" s="119">
        <v>2.2000000000000001E-3</v>
      </c>
      <c r="M47" s="119">
        <v>7.1999999999999998E-3</v>
      </c>
      <c r="N47" s="119">
        <v>0</v>
      </c>
      <c r="O47" s="120">
        <v>2.1160000000000002E-2</v>
      </c>
      <c r="P47" s="119">
        <f t="shared" si="0"/>
        <v>0.23063225806451612</v>
      </c>
      <c r="Q47" s="121">
        <v>65556</v>
      </c>
      <c r="R47" s="116">
        <v>3</v>
      </c>
      <c r="S47" s="114" t="s">
        <v>110</v>
      </c>
      <c r="T47" s="122">
        <f t="shared" si="3"/>
        <v>19.347000000000001</v>
      </c>
      <c r="U47" s="122"/>
      <c r="V47" s="123">
        <v>156602</v>
      </c>
      <c r="W47" s="114"/>
      <c r="X47" s="124"/>
      <c r="Y47" s="124"/>
    </row>
    <row r="48" spans="2:25" s="115" customFormat="1" x14ac:dyDescent="0.2">
      <c r="B48" s="114" t="s">
        <v>170</v>
      </c>
      <c r="C48" s="116" t="s">
        <v>80</v>
      </c>
      <c r="D48" s="116" t="s">
        <v>82</v>
      </c>
      <c r="E48" s="117">
        <v>36557</v>
      </c>
      <c r="F48" s="117">
        <v>36922</v>
      </c>
      <c r="G48" s="114" t="s">
        <v>172</v>
      </c>
      <c r="H48" s="114" t="s">
        <v>173</v>
      </c>
      <c r="I48" s="116" t="s">
        <v>89</v>
      </c>
      <c r="J48" s="118">
        <f>6.449/J$1</f>
        <v>0.20803225806451611</v>
      </c>
      <c r="K48" s="119"/>
      <c r="L48" s="119"/>
      <c r="M48" s="119"/>
      <c r="N48" s="119"/>
      <c r="O48" s="120"/>
      <c r="P48" s="119"/>
      <c r="Q48" s="121">
        <v>66280</v>
      </c>
      <c r="R48" s="116">
        <v>1</v>
      </c>
      <c r="S48" s="114" t="s">
        <v>175</v>
      </c>
      <c r="T48" s="122">
        <f t="shared" si="3"/>
        <v>6.4489999999999998</v>
      </c>
      <c r="U48" s="122"/>
      <c r="V48" s="123">
        <v>156606</v>
      </c>
      <c r="W48" s="114"/>
      <c r="X48" s="124"/>
      <c r="Y48" s="124"/>
    </row>
    <row r="49" spans="2:25" s="115" customFormat="1" x14ac:dyDescent="0.2">
      <c r="B49" s="114" t="s">
        <v>170</v>
      </c>
      <c r="C49" s="116" t="s">
        <v>80</v>
      </c>
      <c r="D49" s="116" t="s">
        <v>82</v>
      </c>
      <c r="E49" s="117">
        <v>36557</v>
      </c>
      <c r="F49" s="117">
        <v>36922</v>
      </c>
      <c r="G49" s="114" t="s">
        <v>172</v>
      </c>
      <c r="H49" s="114" t="s">
        <v>174</v>
      </c>
      <c r="I49" s="116" t="s">
        <v>89</v>
      </c>
      <c r="J49" s="118">
        <f>6.449/J$1</f>
        <v>0.20803225806451611</v>
      </c>
      <c r="K49" s="119"/>
      <c r="L49" s="119"/>
      <c r="M49" s="119"/>
      <c r="N49" s="119"/>
      <c r="O49" s="120"/>
      <c r="P49" s="119"/>
      <c r="Q49" s="121">
        <v>66280</v>
      </c>
      <c r="R49" s="116">
        <v>4</v>
      </c>
      <c r="S49" s="114" t="s">
        <v>175</v>
      </c>
      <c r="T49" s="122">
        <f t="shared" si="3"/>
        <v>25.795999999999999</v>
      </c>
      <c r="U49" s="122"/>
      <c r="V49" s="123">
        <v>156606</v>
      </c>
      <c r="W49" s="114"/>
      <c r="X49" s="124"/>
      <c r="Y49" s="124"/>
    </row>
    <row r="50" spans="2:25" s="115" customFormat="1" x14ac:dyDescent="0.2">
      <c r="B50" s="114" t="s">
        <v>170</v>
      </c>
      <c r="C50" s="116" t="s">
        <v>80</v>
      </c>
      <c r="D50" s="116" t="s">
        <v>82</v>
      </c>
      <c r="E50" s="117">
        <v>36656</v>
      </c>
      <c r="F50" s="117">
        <v>36950</v>
      </c>
      <c r="G50" s="114" t="s">
        <v>172</v>
      </c>
      <c r="H50" s="126" t="s">
        <v>173</v>
      </c>
      <c r="I50" s="116" t="s">
        <v>89</v>
      </c>
      <c r="J50" s="118">
        <v>6.4489999999999998</v>
      </c>
      <c r="K50" s="119"/>
      <c r="L50" s="119"/>
      <c r="M50" s="119"/>
      <c r="N50" s="119"/>
      <c r="O50" s="120"/>
      <c r="P50" s="119"/>
      <c r="Q50" s="121">
        <v>68308</v>
      </c>
      <c r="R50" s="116">
        <v>5</v>
      </c>
      <c r="S50" s="114" t="s">
        <v>340</v>
      </c>
      <c r="T50" s="122">
        <f>+R50*J50</f>
        <v>32.244999999999997</v>
      </c>
      <c r="U50" s="122"/>
      <c r="V50" s="123">
        <v>262094</v>
      </c>
      <c r="W50" s="114"/>
      <c r="X50" s="124"/>
      <c r="Y50" s="124"/>
    </row>
    <row r="51" spans="2:25" s="115" customFormat="1" x14ac:dyDescent="0.2">
      <c r="B51" s="114" t="s">
        <v>170</v>
      </c>
      <c r="C51" s="116" t="s">
        <v>80</v>
      </c>
      <c r="D51" s="116" t="s">
        <v>82</v>
      </c>
      <c r="E51" s="117">
        <v>36656</v>
      </c>
      <c r="F51" s="117">
        <v>36950</v>
      </c>
      <c r="G51" s="114" t="s">
        <v>172</v>
      </c>
      <c r="H51" s="126" t="s">
        <v>174</v>
      </c>
      <c r="I51" s="116" t="s">
        <v>89</v>
      </c>
      <c r="J51" s="118">
        <v>6.4489999999999998</v>
      </c>
      <c r="K51" s="119"/>
      <c r="L51" s="119"/>
      <c r="M51" s="119"/>
      <c r="N51" s="119"/>
      <c r="O51" s="120"/>
      <c r="P51" s="119"/>
      <c r="Q51" s="121">
        <v>68308</v>
      </c>
      <c r="R51" s="116">
        <v>4</v>
      </c>
      <c r="S51" s="114" t="s">
        <v>340</v>
      </c>
      <c r="T51" s="122">
        <f>+R51*J51</f>
        <v>25.795999999999999</v>
      </c>
      <c r="U51" s="122"/>
      <c r="V51" s="123">
        <v>262094</v>
      </c>
      <c r="W51" s="114"/>
      <c r="X51" s="124"/>
      <c r="Y51" s="124"/>
    </row>
    <row r="52" spans="2:25" s="115" customFormat="1" x14ac:dyDescent="0.2">
      <c r="B52" s="114" t="s">
        <v>170</v>
      </c>
      <c r="C52" s="116" t="s">
        <v>80</v>
      </c>
      <c r="D52" s="116" t="s">
        <v>82</v>
      </c>
      <c r="E52" s="117">
        <v>36708</v>
      </c>
      <c r="F52" s="117">
        <v>37072</v>
      </c>
      <c r="G52" s="114" t="s">
        <v>73</v>
      </c>
      <c r="H52" s="114" t="s">
        <v>66</v>
      </c>
      <c r="I52" s="116" t="s">
        <v>128</v>
      </c>
      <c r="J52" s="118">
        <f>3.145/J$1</f>
        <v>0.10145161290322581</v>
      </c>
      <c r="K52" s="119">
        <v>1.32E-2</v>
      </c>
      <c r="L52" s="119">
        <v>2.2000000000000001E-3</v>
      </c>
      <c r="M52" s="119">
        <v>0</v>
      </c>
      <c r="N52" s="119">
        <v>0</v>
      </c>
      <c r="O52" s="120">
        <v>2.1160000000000002E-2</v>
      </c>
      <c r="P52" s="119">
        <f>SUM(J52:N52)</f>
        <v>0.11685161290322581</v>
      </c>
      <c r="Q52" s="121">
        <v>68635</v>
      </c>
      <c r="R52" s="116">
        <v>1</v>
      </c>
      <c r="S52" s="114" t="s">
        <v>376</v>
      </c>
      <c r="T52" s="122">
        <f>J52*J$1*R52</f>
        <v>3.145</v>
      </c>
      <c r="U52" s="122"/>
      <c r="V52" s="123">
        <v>312333</v>
      </c>
      <c r="W52" s="114"/>
      <c r="X52" s="124"/>
      <c r="Y52" s="124"/>
    </row>
    <row r="53" spans="2:25" s="115" customFormat="1" x14ac:dyDescent="0.2">
      <c r="B53" s="114" t="s">
        <v>170</v>
      </c>
      <c r="C53" s="116" t="s">
        <v>80</v>
      </c>
      <c r="D53" s="116" t="s">
        <v>263</v>
      </c>
      <c r="E53" s="117">
        <v>36617</v>
      </c>
      <c r="F53" s="117" t="s">
        <v>264</v>
      </c>
      <c r="G53" s="114" t="s">
        <v>265</v>
      </c>
      <c r="H53" s="114"/>
      <c r="I53" s="116" t="s">
        <v>266</v>
      </c>
      <c r="J53" s="118"/>
      <c r="K53" s="119"/>
      <c r="L53" s="119"/>
      <c r="M53" s="119"/>
      <c r="N53" s="119"/>
      <c r="O53" s="120"/>
      <c r="P53" s="119"/>
      <c r="Q53" s="121">
        <v>66917</v>
      </c>
      <c r="R53" s="116"/>
      <c r="S53" s="114"/>
      <c r="T53" s="122"/>
      <c r="U53" s="122"/>
      <c r="V53" s="123">
        <v>228085</v>
      </c>
      <c r="W53" s="114"/>
      <c r="X53" s="124"/>
      <c r="Y53" s="124"/>
    </row>
    <row r="54" spans="2:25" s="115" customFormat="1" x14ac:dyDescent="0.2">
      <c r="B54" s="114" t="s">
        <v>170</v>
      </c>
      <c r="C54" s="116" t="s">
        <v>80</v>
      </c>
      <c r="D54" s="116" t="s">
        <v>82</v>
      </c>
      <c r="E54" s="117">
        <v>36617</v>
      </c>
      <c r="F54" s="117">
        <v>36981</v>
      </c>
      <c r="G54" s="114" t="s">
        <v>172</v>
      </c>
      <c r="H54" s="114" t="s">
        <v>173</v>
      </c>
      <c r="I54" s="116" t="s">
        <v>89</v>
      </c>
      <c r="J54" s="118">
        <v>6.4009999999999998</v>
      </c>
      <c r="K54" s="119"/>
      <c r="L54" s="119"/>
      <c r="M54" s="119"/>
      <c r="N54" s="119"/>
      <c r="O54" s="120"/>
      <c r="P54" s="119"/>
      <c r="Q54" s="121">
        <v>66939</v>
      </c>
      <c r="R54" s="116">
        <v>5</v>
      </c>
      <c r="S54" s="114" t="s">
        <v>41</v>
      </c>
      <c r="T54" s="122">
        <f t="shared" ref="T54:T64" si="5">+R54*J54</f>
        <v>32.004999999999995</v>
      </c>
      <c r="U54" s="122"/>
      <c r="V54" s="123"/>
      <c r="W54" s="114"/>
      <c r="X54" s="124"/>
      <c r="Y54" s="124"/>
    </row>
    <row r="55" spans="2:25" s="115" customFormat="1" x14ac:dyDescent="0.2">
      <c r="B55" s="114" t="s">
        <v>170</v>
      </c>
      <c r="C55" s="116" t="s">
        <v>80</v>
      </c>
      <c r="D55" s="116" t="s">
        <v>82</v>
      </c>
      <c r="E55" s="117">
        <v>36617</v>
      </c>
      <c r="F55" s="117">
        <v>36981</v>
      </c>
      <c r="G55" s="114" t="s">
        <v>172</v>
      </c>
      <c r="H55" s="114" t="s">
        <v>174</v>
      </c>
      <c r="I55" s="116" t="s">
        <v>89</v>
      </c>
      <c r="J55" s="118">
        <v>6.4009999999999998</v>
      </c>
      <c r="K55" s="119"/>
      <c r="L55" s="119"/>
      <c r="M55" s="119"/>
      <c r="N55" s="119"/>
      <c r="O55" s="120"/>
      <c r="P55" s="119"/>
      <c r="Q55" s="121">
        <v>66939</v>
      </c>
      <c r="R55" s="116">
        <v>27</v>
      </c>
      <c r="S55" s="114" t="s">
        <v>41</v>
      </c>
      <c r="T55" s="122">
        <f t="shared" si="5"/>
        <v>172.827</v>
      </c>
      <c r="U55" s="122"/>
      <c r="V55" s="123"/>
      <c r="W55" s="114"/>
      <c r="X55" s="124"/>
      <c r="Y55" s="124"/>
    </row>
    <row r="56" spans="2:25" s="115" customFormat="1" x14ac:dyDescent="0.2">
      <c r="B56" s="114" t="s">
        <v>170</v>
      </c>
      <c r="C56" s="116" t="s">
        <v>80</v>
      </c>
      <c r="D56" s="116" t="s">
        <v>82</v>
      </c>
      <c r="E56" s="117">
        <v>36617</v>
      </c>
      <c r="F56" s="117">
        <v>36981</v>
      </c>
      <c r="G56" s="114" t="s">
        <v>172</v>
      </c>
      <c r="H56" s="114" t="s">
        <v>310</v>
      </c>
      <c r="I56" s="116" t="s">
        <v>89</v>
      </c>
      <c r="J56" s="118">
        <v>6.4009999999999998</v>
      </c>
      <c r="K56" s="119"/>
      <c r="L56" s="119"/>
      <c r="M56" s="119"/>
      <c r="N56" s="119"/>
      <c r="O56" s="120"/>
      <c r="P56" s="119"/>
      <c r="Q56" s="121">
        <v>66939</v>
      </c>
      <c r="R56" s="116">
        <v>3</v>
      </c>
      <c r="S56" s="114" t="s">
        <v>41</v>
      </c>
      <c r="T56" s="122">
        <f t="shared" si="5"/>
        <v>19.202999999999999</v>
      </c>
      <c r="U56" s="122"/>
      <c r="V56" s="123"/>
      <c r="W56" s="114"/>
      <c r="X56" s="124"/>
      <c r="Y56" s="124"/>
    </row>
    <row r="57" spans="2:25" s="115" customFormat="1" x14ac:dyDescent="0.2">
      <c r="B57" s="114" t="s">
        <v>170</v>
      </c>
      <c r="C57" s="116" t="s">
        <v>80</v>
      </c>
      <c r="D57" s="116" t="s">
        <v>82</v>
      </c>
      <c r="E57" s="117">
        <v>36617</v>
      </c>
      <c r="F57" s="117">
        <v>36981</v>
      </c>
      <c r="G57" s="114" t="s">
        <v>172</v>
      </c>
      <c r="H57" s="114" t="s">
        <v>311</v>
      </c>
      <c r="I57" s="116" t="s">
        <v>89</v>
      </c>
      <c r="J57" s="118">
        <v>6.4009999999999998</v>
      </c>
      <c r="K57" s="119"/>
      <c r="L57" s="119"/>
      <c r="M57" s="119"/>
      <c r="N57" s="119"/>
      <c r="O57" s="120"/>
      <c r="P57" s="119"/>
      <c r="Q57" s="121">
        <v>66939</v>
      </c>
      <c r="R57" s="116">
        <v>17</v>
      </c>
      <c r="S57" s="114" t="s">
        <v>41</v>
      </c>
      <c r="T57" s="122">
        <f t="shared" si="5"/>
        <v>108.81699999999999</v>
      </c>
      <c r="U57" s="122"/>
      <c r="V57" s="123"/>
      <c r="W57" s="114"/>
      <c r="X57" s="124"/>
      <c r="Y57" s="124"/>
    </row>
    <row r="58" spans="2:25" s="115" customFormat="1" x14ac:dyDescent="0.2">
      <c r="B58" s="114" t="s">
        <v>170</v>
      </c>
      <c r="C58" s="116" t="s">
        <v>80</v>
      </c>
      <c r="D58" s="116" t="s">
        <v>81</v>
      </c>
      <c r="E58" s="117">
        <v>36617</v>
      </c>
      <c r="F58" s="117">
        <v>36981</v>
      </c>
      <c r="G58" s="114" t="s">
        <v>172</v>
      </c>
      <c r="H58" s="114" t="s">
        <v>312</v>
      </c>
      <c r="I58" s="116" t="s">
        <v>89</v>
      </c>
      <c r="J58" s="118">
        <v>6.4009999999999998</v>
      </c>
      <c r="K58" s="119"/>
      <c r="L58" s="119"/>
      <c r="M58" s="119"/>
      <c r="N58" s="119"/>
      <c r="O58" s="120"/>
      <c r="P58" s="119"/>
      <c r="Q58" s="121">
        <v>66940</v>
      </c>
      <c r="R58" s="116">
        <v>1</v>
      </c>
      <c r="S58" s="126" t="s">
        <v>267</v>
      </c>
      <c r="T58" s="122">
        <f t="shared" si="5"/>
        <v>6.4009999999999998</v>
      </c>
      <c r="U58" s="122"/>
      <c r="V58" s="123">
        <v>228134</v>
      </c>
      <c r="W58" s="114"/>
      <c r="X58" s="124"/>
      <c r="Y58" s="124"/>
    </row>
    <row r="59" spans="2:25" s="115" customFormat="1" x14ac:dyDescent="0.2">
      <c r="B59" s="114" t="s">
        <v>170</v>
      </c>
      <c r="C59" s="116" t="s">
        <v>80</v>
      </c>
      <c r="D59" s="116" t="s">
        <v>81</v>
      </c>
      <c r="E59" s="117">
        <v>36617</v>
      </c>
      <c r="F59" s="117">
        <v>36981</v>
      </c>
      <c r="G59" s="114" t="s">
        <v>172</v>
      </c>
      <c r="H59" s="114" t="s">
        <v>313</v>
      </c>
      <c r="I59" s="116" t="s">
        <v>89</v>
      </c>
      <c r="J59" s="118">
        <v>6.4009999999999998</v>
      </c>
      <c r="K59" s="119"/>
      <c r="L59" s="119"/>
      <c r="M59" s="119"/>
      <c r="N59" s="119"/>
      <c r="O59" s="120"/>
      <c r="P59" s="119"/>
      <c r="Q59" s="121">
        <v>66940</v>
      </c>
      <c r="R59" s="116">
        <v>1</v>
      </c>
      <c r="S59" s="126" t="s">
        <v>267</v>
      </c>
      <c r="T59" s="122">
        <f t="shared" si="5"/>
        <v>6.4009999999999998</v>
      </c>
      <c r="U59" s="122"/>
      <c r="V59" s="123">
        <v>228134</v>
      </c>
      <c r="W59" s="114"/>
      <c r="X59" s="124"/>
      <c r="Y59" s="124"/>
    </row>
    <row r="60" spans="2:25" s="115" customFormat="1" x14ac:dyDescent="0.2">
      <c r="B60" s="114" t="s">
        <v>170</v>
      </c>
      <c r="C60" s="116" t="s">
        <v>80</v>
      </c>
      <c r="D60" s="116" t="s">
        <v>81</v>
      </c>
      <c r="E60" s="117">
        <v>36647</v>
      </c>
      <c r="F60" s="117">
        <v>37011</v>
      </c>
      <c r="G60" s="114" t="s">
        <v>327</v>
      </c>
      <c r="H60" s="114" t="s">
        <v>328</v>
      </c>
      <c r="I60" s="116" t="s">
        <v>89</v>
      </c>
      <c r="J60" s="118">
        <f>6.401/J1</f>
        <v>0.20648387096774193</v>
      </c>
      <c r="K60" s="119"/>
      <c r="L60" s="119"/>
      <c r="M60" s="119"/>
      <c r="N60" s="119"/>
      <c r="O60" s="120"/>
      <c r="P60" s="119"/>
      <c r="Q60" s="121">
        <v>68188</v>
      </c>
      <c r="R60" s="116">
        <v>1</v>
      </c>
      <c r="S60" s="114" t="s">
        <v>329</v>
      </c>
      <c r="T60" s="122">
        <f>+J60*R60*13</f>
        <v>2.6842903225806451</v>
      </c>
      <c r="U60" s="122"/>
      <c r="V60" s="123">
        <v>253195</v>
      </c>
      <c r="W60" s="114"/>
      <c r="X60" s="124"/>
      <c r="Y60" s="124"/>
    </row>
    <row r="61" spans="2:25" s="130" customFormat="1" x14ac:dyDescent="0.2">
      <c r="B61" s="131" t="s">
        <v>170</v>
      </c>
      <c r="C61" s="128" t="s">
        <v>80</v>
      </c>
      <c r="D61" s="128" t="s">
        <v>167</v>
      </c>
      <c r="E61" s="132">
        <v>36312</v>
      </c>
      <c r="F61" s="132">
        <v>37011</v>
      </c>
      <c r="G61" s="133" t="s">
        <v>88</v>
      </c>
      <c r="H61" s="133" t="s">
        <v>355</v>
      </c>
      <c r="I61" s="128" t="s">
        <v>89</v>
      </c>
      <c r="J61" s="134"/>
      <c r="K61" s="135"/>
      <c r="L61" s="135"/>
      <c r="M61" s="135"/>
      <c r="N61" s="135"/>
      <c r="O61" s="136"/>
      <c r="P61" s="135"/>
      <c r="Q61" s="137">
        <v>65403</v>
      </c>
      <c r="R61" s="128"/>
      <c r="S61" s="131" t="s">
        <v>390</v>
      </c>
      <c r="T61" s="138"/>
      <c r="U61" s="138"/>
      <c r="V61" s="139"/>
      <c r="W61" s="131" t="s">
        <v>389</v>
      </c>
      <c r="X61" s="140"/>
      <c r="Y61" s="140"/>
    </row>
    <row r="62" spans="2:25" s="130" customFormat="1" x14ac:dyDescent="0.2">
      <c r="B62" s="131" t="s">
        <v>170</v>
      </c>
      <c r="C62" s="128" t="s">
        <v>80</v>
      </c>
      <c r="D62" s="128" t="s">
        <v>129</v>
      </c>
      <c r="E62" s="132">
        <v>36739</v>
      </c>
      <c r="F62" s="132">
        <v>37103</v>
      </c>
      <c r="G62" s="131" t="s">
        <v>172</v>
      </c>
      <c r="H62" s="131" t="s">
        <v>395</v>
      </c>
      <c r="I62" s="128" t="s">
        <v>89</v>
      </c>
      <c r="J62" s="134">
        <v>6.4009999999999998</v>
      </c>
      <c r="K62" s="135"/>
      <c r="L62" s="135"/>
      <c r="M62" s="135"/>
      <c r="N62" s="135"/>
      <c r="O62" s="136"/>
      <c r="P62" s="135"/>
      <c r="Q62" s="137">
        <v>68928</v>
      </c>
      <c r="R62" s="128">
        <v>47</v>
      </c>
      <c r="S62" s="131" t="s">
        <v>13</v>
      </c>
      <c r="T62" s="138">
        <f>+J62*R62</f>
        <v>300.84699999999998</v>
      </c>
      <c r="U62" s="138"/>
      <c r="V62" s="139">
        <v>351966</v>
      </c>
      <c r="W62" s="131"/>
      <c r="X62" s="140"/>
      <c r="Y62" s="140"/>
    </row>
    <row r="63" spans="2:25" s="130" customFormat="1" x14ac:dyDescent="0.2">
      <c r="B63" s="131" t="s">
        <v>170</v>
      </c>
      <c r="C63" s="128" t="s">
        <v>80</v>
      </c>
      <c r="D63" s="128" t="s">
        <v>129</v>
      </c>
      <c r="E63" s="132">
        <v>36647</v>
      </c>
      <c r="F63" s="132">
        <v>37011</v>
      </c>
      <c r="G63" s="131" t="s">
        <v>172</v>
      </c>
      <c r="H63" s="131" t="s">
        <v>334</v>
      </c>
      <c r="I63" s="128" t="s">
        <v>89</v>
      </c>
      <c r="J63" s="134">
        <v>6.4009999999999998</v>
      </c>
      <c r="K63" s="135"/>
      <c r="L63" s="135"/>
      <c r="M63" s="135"/>
      <c r="N63" s="135"/>
      <c r="O63" s="136"/>
      <c r="P63" s="135"/>
      <c r="Q63" s="137">
        <v>68257</v>
      </c>
      <c r="R63" s="128">
        <v>21</v>
      </c>
      <c r="S63" s="131" t="s">
        <v>335</v>
      </c>
      <c r="T63" s="138">
        <f t="shared" si="5"/>
        <v>134.42099999999999</v>
      </c>
      <c r="U63" s="138"/>
      <c r="V63" s="139">
        <v>254718</v>
      </c>
      <c r="W63" s="131"/>
      <c r="X63" s="140"/>
      <c r="Y63" s="140"/>
    </row>
    <row r="64" spans="2:25" x14ac:dyDescent="0.2">
      <c r="T64" s="9">
        <f t="shared" si="5"/>
        <v>0</v>
      </c>
    </row>
    <row r="65" spans="2:25" x14ac:dyDescent="0.2">
      <c r="B65" s="10" t="s">
        <v>45</v>
      </c>
      <c r="C65" s="11" t="s">
        <v>45</v>
      </c>
      <c r="D65" s="11" t="s">
        <v>45</v>
      </c>
      <c r="E65" s="13" t="s">
        <v>45</v>
      </c>
      <c r="F65" s="13" t="s">
        <v>45</v>
      </c>
      <c r="G65" s="10" t="s">
        <v>45</v>
      </c>
      <c r="H65" s="30" t="s">
        <v>45</v>
      </c>
      <c r="I65" s="11" t="s">
        <v>45</v>
      </c>
      <c r="J65" s="14"/>
      <c r="K65" s="15"/>
      <c r="L65" s="15"/>
      <c r="M65" s="15"/>
      <c r="N65" s="15"/>
      <c r="O65" s="44"/>
      <c r="P65" s="15"/>
      <c r="Q65" s="26" t="s">
        <v>45</v>
      </c>
      <c r="R65" s="11">
        <f>SUM(R29:R63)</f>
        <v>22304</v>
      </c>
      <c r="S65" s="10" t="s">
        <v>45</v>
      </c>
      <c r="T65" s="22">
        <f>SUM(T17:T63)</f>
        <v>882467.75539032242</v>
      </c>
      <c r="U65" s="22" t="e">
        <f>SUM(#REF!)</f>
        <v>#REF!</v>
      </c>
      <c r="V65" s="54"/>
      <c r="W65" s="30"/>
      <c r="X65" s="36"/>
      <c r="Y65" s="36"/>
    </row>
    <row r="66" spans="2:25" x14ac:dyDescent="0.2">
      <c r="B66" s="16" t="s">
        <v>46</v>
      </c>
      <c r="C66" s="17" t="s">
        <v>47</v>
      </c>
      <c r="D66" s="17" t="s">
        <v>48</v>
      </c>
      <c r="E66" s="18" t="s">
        <v>49</v>
      </c>
      <c r="F66" s="18"/>
      <c r="G66" s="16" t="s">
        <v>50</v>
      </c>
      <c r="H66" s="16" t="s">
        <v>51</v>
      </c>
      <c r="I66" s="17" t="s">
        <v>85</v>
      </c>
      <c r="J66" s="19" t="s">
        <v>52</v>
      </c>
      <c r="K66" s="17" t="s">
        <v>53</v>
      </c>
      <c r="L66" s="17" t="s">
        <v>54</v>
      </c>
      <c r="M66" s="17" t="s">
        <v>55</v>
      </c>
      <c r="N66" s="17" t="s">
        <v>56</v>
      </c>
      <c r="O66" s="43" t="s">
        <v>57</v>
      </c>
      <c r="P66" s="17" t="s">
        <v>58</v>
      </c>
      <c r="Q66" s="20" t="s">
        <v>168</v>
      </c>
      <c r="R66" s="17" t="s">
        <v>59</v>
      </c>
      <c r="S66" s="16" t="s">
        <v>60</v>
      </c>
      <c r="T66" s="21" t="s">
        <v>84</v>
      </c>
      <c r="U66" s="21" t="s">
        <v>83</v>
      </c>
      <c r="V66" s="53" t="s">
        <v>169</v>
      </c>
      <c r="W66" s="58">
        <f>+W36</f>
        <v>0</v>
      </c>
      <c r="X66" s="36"/>
      <c r="Y66" s="36"/>
    </row>
    <row r="67" spans="2:25" s="61" customFormat="1" ht="12" customHeight="1" x14ac:dyDescent="0.2">
      <c r="B67" s="1" t="s">
        <v>170</v>
      </c>
      <c r="C67" s="3" t="s">
        <v>229</v>
      </c>
      <c r="D67" s="3" t="s">
        <v>339</v>
      </c>
      <c r="E67" s="4">
        <v>35612</v>
      </c>
      <c r="F67" s="4">
        <v>37437</v>
      </c>
      <c r="G67" s="29" t="s">
        <v>230</v>
      </c>
      <c r="H67" s="1" t="s">
        <v>231</v>
      </c>
      <c r="I67" s="3" t="s">
        <v>89</v>
      </c>
      <c r="J67" s="8">
        <f>+(5.6195+1.3875+0.2)/J$1</f>
        <v>0.23248387096774195</v>
      </c>
      <c r="K67" s="5">
        <v>0</v>
      </c>
      <c r="L67" s="5">
        <v>2.2000000000000001E-3</v>
      </c>
      <c r="M67" s="5">
        <v>7.1999999999999998E-3</v>
      </c>
      <c r="N67" s="5">
        <v>0</v>
      </c>
      <c r="O67" s="42">
        <v>0</v>
      </c>
      <c r="P67" s="5">
        <f>SUM(J67:N67)</f>
        <v>0.24188387096774197</v>
      </c>
      <c r="Q67" s="24">
        <v>270</v>
      </c>
      <c r="R67" s="3">
        <v>1000</v>
      </c>
      <c r="S67" s="1"/>
      <c r="T67" s="9">
        <f>J67*J$1*R67</f>
        <v>7207.0000000000009</v>
      </c>
      <c r="U67" s="9"/>
      <c r="V67" s="55">
        <v>149901</v>
      </c>
      <c r="W67" s="1"/>
      <c r="X67" s="36"/>
      <c r="Y67" s="36"/>
    </row>
    <row r="68" spans="2:25" s="61" customFormat="1" ht="12" customHeight="1" x14ac:dyDescent="0.2">
      <c r="B68" s="1"/>
      <c r="C68" s="3"/>
      <c r="D68" s="3"/>
      <c r="E68" s="4"/>
      <c r="F68" s="4"/>
      <c r="G68" s="29"/>
      <c r="H68" s="29"/>
      <c r="I68" s="3"/>
      <c r="J68" s="8"/>
      <c r="K68" s="5"/>
      <c r="L68" s="5"/>
      <c r="M68" s="5"/>
      <c r="N68" s="5"/>
      <c r="O68" s="42"/>
      <c r="P68" s="5"/>
      <c r="Q68" s="24"/>
      <c r="R68" s="3"/>
      <c r="S68" s="1"/>
      <c r="T68" s="9">
        <f>SUM(T67)</f>
        <v>7207.0000000000009</v>
      </c>
      <c r="U68" s="9"/>
      <c r="V68" s="55"/>
      <c r="W68" s="1"/>
      <c r="X68" s="36"/>
      <c r="Y68" s="36"/>
    </row>
    <row r="69" spans="2:25" x14ac:dyDescent="0.2">
      <c r="B69" s="27"/>
      <c r="C69" s="3"/>
      <c r="D69" s="3"/>
      <c r="E69" s="4"/>
      <c r="F69" s="4"/>
      <c r="G69" s="1"/>
      <c r="H69" s="1"/>
      <c r="I69" s="3"/>
      <c r="J69" s="5"/>
      <c r="K69" s="5"/>
      <c r="L69" s="5"/>
      <c r="M69" s="5"/>
      <c r="N69" s="5"/>
      <c r="O69" s="42"/>
      <c r="P69" s="5"/>
      <c r="Q69" s="48"/>
      <c r="R69" s="49"/>
      <c r="S69" s="28"/>
      <c r="T69" s="28"/>
      <c r="U69" s="28"/>
      <c r="V69" s="51"/>
      <c r="W69" s="57"/>
      <c r="X69" s="35"/>
      <c r="Y69" s="35"/>
    </row>
    <row r="70" spans="2:25" x14ac:dyDescent="0.2">
      <c r="B70" s="27"/>
      <c r="C70" s="3"/>
      <c r="D70" s="3"/>
      <c r="E70" s="4"/>
      <c r="F70" s="4"/>
      <c r="G70" s="1"/>
      <c r="H70" s="1"/>
      <c r="I70" s="3"/>
      <c r="J70" s="8"/>
      <c r="K70" s="5"/>
      <c r="L70" s="5"/>
      <c r="M70" s="5"/>
      <c r="N70" s="5"/>
      <c r="O70" s="42"/>
      <c r="P70" s="5"/>
      <c r="Q70" s="48"/>
      <c r="R70" s="49"/>
      <c r="S70" s="28"/>
      <c r="T70" s="28"/>
      <c r="U70" s="28"/>
      <c r="V70" s="51"/>
      <c r="W70" s="57"/>
      <c r="X70" s="35"/>
      <c r="Y70" s="35"/>
    </row>
    <row r="71" spans="2:25" ht="13.5" thickBot="1" x14ac:dyDescent="0.25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2"/>
      <c r="P71" s="5"/>
      <c r="Q71" s="48"/>
      <c r="R71" s="49"/>
      <c r="S71" s="28"/>
      <c r="T71" s="106">
        <f>SUM(T68,T65,T15,)</f>
        <v>890260.8958903224</v>
      </c>
      <c r="U71" s="28" t="s">
        <v>183</v>
      </c>
      <c r="V71" s="51"/>
      <c r="W71" s="57"/>
      <c r="X71" s="35"/>
      <c r="Y71" s="35"/>
    </row>
    <row r="72" spans="2:25" ht="13.5" thickTop="1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2"/>
      <c r="P72" s="5"/>
      <c r="Q72" s="48"/>
      <c r="R72" s="49"/>
      <c r="S72" s="28"/>
      <c r="T72" s="28"/>
      <c r="U72" s="57" t="s">
        <v>233</v>
      </c>
      <c r="V72" s="51"/>
      <c r="W72" s="57"/>
      <c r="X72" s="40"/>
      <c r="Y72" s="35"/>
    </row>
    <row r="73" spans="2:25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2"/>
      <c r="P73" s="5"/>
      <c r="Q73" s="48"/>
      <c r="R73" s="49"/>
      <c r="S73" s="28"/>
      <c r="T73" s="28"/>
      <c r="U73" s="28"/>
      <c r="V73" s="51"/>
      <c r="W73" s="57"/>
      <c r="X73" s="35"/>
      <c r="Y73" s="35"/>
    </row>
    <row r="74" spans="2:25" x14ac:dyDescent="0.2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2"/>
      <c r="P74" s="5"/>
      <c r="Q74" s="48"/>
      <c r="R74" s="49"/>
      <c r="S74" s="28"/>
      <c r="T74" s="28"/>
      <c r="U74" s="28"/>
      <c r="V74" s="51"/>
      <c r="W74" s="57"/>
      <c r="X74" s="35"/>
      <c r="Y74" s="35"/>
    </row>
    <row r="75" spans="2:25" x14ac:dyDescent="0.2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2"/>
      <c r="P75" s="5"/>
      <c r="Q75" s="48"/>
      <c r="R75" s="49"/>
      <c r="S75" s="40"/>
      <c r="T75" s="28"/>
      <c r="U75" s="28"/>
      <c r="V75" s="51"/>
      <c r="W75" s="57"/>
      <c r="X75" s="35"/>
      <c r="Y75" s="35"/>
    </row>
    <row r="76" spans="2:25" x14ac:dyDescent="0.2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2"/>
      <c r="P76" s="5"/>
      <c r="Q76" s="48"/>
      <c r="R76" s="49"/>
      <c r="S76" s="40"/>
      <c r="T76" s="28"/>
      <c r="U76" s="28"/>
      <c r="V76" s="51"/>
      <c r="W76" s="57"/>
      <c r="X76" s="35"/>
      <c r="Y76" s="35"/>
    </row>
    <row r="77" spans="2:25" x14ac:dyDescent="0.2">
      <c r="Q77" s="34"/>
      <c r="R77" s="34"/>
      <c r="S77" s="34"/>
      <c r="T77" s="34"/>
      <c r="U77" s="34"/>
      <c r="V77" s="50"/>
      <c r="W77" s="60"/>
      <c r="X77" s="50"/>
    </row>
    <row r="78" spans="2:25" x14ac:dyDescent="0.2">
      <c r="Q78" s="34"/>
      <c r="R78" s="34"/>
      <c r="S78" s="34"/>
      <c r="T78" s="34"/>
      <c r="U78" s="34"/>
      <c r="V78" s="50"/>
      <c r="W78" s="60"/>
      <c r="X78" s="50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C1" sqref="A1:IV1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2:17" x14ac:dyDescent="0.2">
      <c r="B2" s="96"/>
      <c r="C2" s="96" t="s">
        <v>14</v>
      </c>
      <c r="D2" s="96">
        <v>37147</v>
      </c>
      <c r="E2" s="96" t="s">
        <v>15</v>
      </c>
      <c r="F2" s="96" t="s">
        <v>16</v>
      </c>
      <c r="G2" s="96" t="s">
        <v>16</v>
      </c>
      <c r="H2" s="97">
        <v>35582</v>
      </c>
      <c r="I2" s="96" t="s">
        <v>16</v>
      </c>
      <c r="J2" s="96" t="s">
        <v>16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  <c r="P2" s="96">
        <v>0</v>
      </c>
      <c r="Q2" s="96" t="s">
        <v>16</v>
      </c>
    </row>
    <row r="3" spans="2:17" x14ac:dyDescent="0.2">
      <c r="B3" s="98"/>
      <c r="C3" s="98" t="s">
        <v>14</v>
      </c>
      <c r="D3" s="98">
        <v>39149</v>
      </c>
      <c r="E3" s="98" t="s">
        <v>266</v>
      </c>
      <c r="F3" s="98" t="s">
        <v>16</v>
      </c>
      <c r="G3" s="98" t="s">
        <v>16</v>
      </c>
      <c r="H3" s="99">
        <v>35582</v>
      </c>
      <c r="I3" s="98" t="s">
        <v>16</v>
      </c>
      <c r="J3" s="98" t="s">
        <v>16</v>
      </c>
      <c r="K3" s="100">
        <v>500000</v>
      </c>
      <c r="L3" s="98">
        <v>0</v>
      </c>
      <c r="M3" s="100">
        <v>500000</v>
      </c>
      <c r="N3" s="98">
        <v>0</v>
      </c>
      <c r="O3" s="98">
        <v>0</v>
      </c>
      <c r="P3" s="98">
        <v>0</v>
      </c>
      <c r="Q3" s="98" t="s">
        <v>16</v>
      </c>
    </row>
    <row r="4" spans="2:17" x14ac:dyDescent="0.2">
      <c r="B4" s="96"/>
      <c r="C4" s="96" t="s">
        <v>14</v>
      </c>
      <c r="D4" s="96">
        <v>39607</v>
      </c>
      <c r="E4" s="96" t="s">
        <v>17</v>
      </c>
      <c r="F4" s="96" t="s">
        <v>16</v>
      </c>
      <c r="G4" s="96" t="s">
        <v>16</v>
      </c>
      <c r="H4" s="97">
        <v>35582</v>
      </c>
      <c r="I4" s="96" t="s">
        <v>16</v>
      </c>
      <c r="J4" s="96" t="s">
        <v>16</v>
      </c>
      <c r="K4" s="101">
        <v>10000000</v>
      </c>
      <c r="L4" s="96">
        <v>0</v>
      </c>
      <c r="M4" s="101">
        <v>10000000</v>
      </c>
      <c r="N4" s="96">
        <v>0</v>
      </c>
      <c r="O4" s="96">
        <v>0</v>
      </c>
      <c r="P4" s="96">
        <v>0</v>
      </c>
      <c r="Q4" s="96" t="s">
        <v>16</v>
      </c>
    </row>
    <row r="5" spans="2:17" x14ac:dyDescent="0.2">
      <c r="B5" s="98"/>
      <c r="C5" s="98" t="s">
        <v>14</v>
      </c>
      <c r="D5" s="98">
        <v>39764</v>
      </c>
      <c r="E5" s="98" t="s">
        <v>18</v>
      </c>
      <c r="F5" s="98" t="s">
        <v>16</v>
      </c>
      <c r="G5" s="98" t="s">
        <v>16</v>
      </c>
      <c r="H5" s="99">
        <v>35582</v>
      </c>
      <c r="I5" s="98" t="s">
        <v>16</v>
      </c>
      <c r="J5" s="98" t="s">
        <v>16</v>
      </c>
      <c r="K5" s="100">
        <v>60000</v>
      </c>
      <c r="L5" s="98">
        <v>0</v>
      </c>
      <c r="M5" s="100">
        <v>60000</v>
      </c>
      <c r="N5" s="98">
        <v>0</v>
      </c>
      <c r="O5" s="98">
        <v>0</v>
      </c>
      <c r="P5" s="98">
        <v>0</v>
      </c>
      <c r="Q5" s="98" t="s">
        <v>16</v>
      </c>
    </row>
    <row r="6" spans="2:17" x14ac:dyDescent="0.2">
      <c r="B6" s="96"/>
      <c r="C6" s="96" t="s">
        <v>14</v>
      </c>
      <c r="D6" s="96">
        <v>40998</v>
      </c>
      <c r="E6" s="96" t="s">
        <v>19</v>
      </c>
      <c r="F6" s="96" t="s">
        <v>16</v>
      </c>
      <c r="G6" s="96" t="s">
        <v>16</v>
      </c>
      <c r="H6" s="97">
        <v>34393</v>
      </c>
      <c r="I6" s="96" t="s">
        <v>16</v>
      </c>
      <c r="J6" s="96" t="s">
        <v>16</v>
      </c>
      <c r="K6" s="101">
        <v>250000</v>
      </c>
      <c r="L6" s="96">
        <v>0</v>
      </c>
      <c r="M6" s="101">
        <v>250000</v>
      </c>
      <c r="N6" s="96">
        <v>0</v>
      </c>
      <c r="O6" s="96">
        <v>0</v>
      </c>
      <c r="P6" s="96">
        <v>0</v>
      </c>
      <c r="Q6" s="96" t="s">
        <v>16</v>
      </c>
    </row>
    <row r="7" spans="2:17" x14ac:dyDescent="0.2">
      <c r="B7" s="98"/>
      <c r="C7" s="98" t="s">
        <v>14</v>
      </c>
      <c r="D7" s="98">
        <v>60094</v>
      </c>
      <c r="E7" s="98" t="s">
        <v>20</v>
      </c>
      <c r="F7" s="98" t="s">
        <v>16</v>
      </c>
      <c r="G7" s="98" t="s">
        <v>16</v>
      </c>
      <c r="H7" s="99">
        <v>35916</v>
      </c>
      <c r="I7" s="98" t="s">
        <v>16</v>
      </c>
      <c r="J7" s="98" t="s">
        <v>16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 t="s">
        <v>16</v>
      </c>
    </row>
    <row r="8" spans="2:17" x14ac:dyDescent="0.2">
      <c r="B8" s="96"/>
      <c r="C8" s="96" t="s">
        <v>14</v>
      </c>
      <c r="D8" s="96">
        <v>61822</v>
      </c>
      <c r="E8" s="96" t="s">
        <v>89</v>
      </c>
      <c r="F8" s="96" t="s">
        <v>16</v>
      </c>
      <c r="G8" s="96" t="s">
        <v>16</v>
      </c>
      <c r="H8" s="97">
        <v>36557</v>
      </c>
      <c r="I8" s="96" t="s">
        <v>16</v>
      </c>
      <c r="J8" s="96">
        <v>22429</v>
      </c>
      <c r="K8" s="101">
        <v>4000</v>
      </c>
      <c r="L8" s="96">
        <v>0</v>
      </c>
      <c r="M8" s="101">
        <v>4000</v>
      </c>
      <c r="N8" s="96">
        <v>0</v>
      </c>
      <c r="O8" s="96">
        <v>0</v>
      </c>
      <c r="P8" s="96">
        <v>0</v>
      </c>
      <c r="Q8" s="96" t="s">
        <v>16</v>
      </c>
    </row>
    <row r="9" spans="2:17" x14ac:dyDescent="0.2">
      <c r="B9" s="98"/>
      <c r="C9" s="98" t="s">
        <v>14</v>
      </c>
      <c r="D9" s="98">
        <v>61825</v>
      </c>
      <c r="E9" s="98" t="s">
        <v>89</v>
      </c>
      <c r="F9" s="98" t="s">
        <v>16</v>
      </c>
      <c r="G9" s="98" t="s">
        <v>16</v>
      </c>
      <c r="H9" s="99">
        <v>36557</v>
      </c>
      <c r="I9" s="99">
        <v>36830</v>
      </c>
      <c r="J9" s="98">
        <v>22428</v>
      </c>
      <c r="K9" s="100">
        <v>8000</v>
      </c>
      <c r="L9" s="98">
        <v>0</v>
      </c>
      <c r="M9" s="100">
        <v>8000</v>
      </c>
      <c r="N9" s="98">
        <v>0</v>
      </c>
      <c r="O9" s="98">
        <v>0</v>
      </c>
      <c r="P9" s="98">
        <v>0</v>
      </c>
      <c r="Q9" s="98" t="s">
        <v>16</v>
      </c>
    </row>
    <row r="10" spans="2:17" x14ac:dyDescent="0.2">
      <c r="B10" s="96"/>
      <c r="C10" s="96" t="s">
        <v>14</v>
      </c>
      <c r="D10" s="96">
        <v>61838</v>
      </c>
      <c r="E10" s="96" t="s">
        <v>89</v>
      </c>
      <c r="F10" s="96" t="s">
        <v>16</v>
      </c>
      <c r="G10" s="96" t="s">
        <v>16</v>
      </c>
      <c r="H10" s="97">
        <v>36557</v>
      </c>
      <c r="I10" s="96" t="s">
        <v>16</v>
      </c>
      <c r="J10" s="96">
        <v>22422</v>
      </c>
      <c r="K10" s="101">
        <v>1000</v>
      </c>
      <c r="L10" s="96">
        <v>0</v>
      </c>
      <c r="M10" s="101">
        <v>1000</v>
      </c>
      <c r="N10" s="96">
        <v>0</v>
      </c>
      <c r="O10" s="96">
        <v>0</v>
      </c>
      <c r="P10" s="96">
        <v>0</v>
      </c>
      <c r="Q10" s="96" t="s">
        <v>16</v>
      </c>
    </row>
    <row r="11" spans="2:17" x14ac:dyDescent="0.2">
      <c r="B11" s="98"/>
      <c r="C11" s="98" t="s">
        <v>14</v>
      </c>
      <c r="D11" s="98">
        <v>61990</v>
      </c>
      <c r="E11" s="98" t="s">
        <v>89</v>
      </c>
      <c r="F11" s="98" t="s">
        <v>16</v>
      </c>
      <c r="G11" s="98" t="s">
        <v>16</v>
      </c>
      <c r="H11" s="99">
        <v>36557</v>
      </c>
      <c r="I11" s="98" t="s">
        <v>16</v>
      </c>
      <c r="J11" s="98">
        <v>22747</v>
      </c>
      <c r="K11" s="100">
        <v>2000</v>
      </c>
      <c r="L11" s="98">
        <v>0</v>
      </c>
      <c r="M11" s="100">
        <v>2000</v>
      </c>
      <c r="N11" s="98">
        <v>0</v>
      </c>
      <c r="O11" s="98">
        <v>0</v>
      </c>
      <c r="P11" s="98">
        <v>0</v>
      </c>
      <c r="Q11" s="98" t="s">
        <v>16</v>
      </c>
    </row>
    <row r="12" spans="2:17" x14ac:dyDescent="0.2">
      <c r="B12" s="96"/>
      <c r="C12" s="96" t="s">
        <v>14</v>
      </c>
      <c r="D12" s="96">
        <v>62164</v>
      </c>
      <c r="E12" s="96" t="s">
        <v>89</v>
      </c>
      <c r="F12" s="96" t="s">
        <v>16</v>
      </c>
      <c r="G12" s="96" t="s">
        <v>16</v>
      </c>
      <c r="H12" s="97">
        <v>36557</v>
      </c>
      <c r="I12" s="97">
        <v>36891</v>
      </c>
      <c r="J12" s="96">
        <v>23652</v>
      </c>
      <c r="K12" s="101">
        <v>2000</v>
      </c>
      <c r="L12" s="96">
        <v>0</v>
      </c>
      <c r="M12" s="101">
        <v>2000</v>
      </c>
      <c r="N12" s="96">
        <v>0</v>
      </c>
      <c r="O12" s="96">
        <v>0</v>
      </c>
      <c r="P12" s="96">
        <v>0</v>
      </c>
      <c r="Q12" s="96" t="s">
        <v>16</v>
      </c>
    </row>
    <row r="13" spans="2:17" x14ac:dyDescent="0.2">
      <c r="B13" s="98"/>
      <c r="C13" s="98" t="s">
        <v>14</v>
      </c>
      <c r="D13" s="98">
        <v>64034</v>
      </c>
      <c r="E13" s="98" t="s">
        <v>89</v>
      </c>
      <c r="F13" s="98" t="s">
        <v>16</v>
      </c>
      <c r="G13" s="98" t="s">
        <v>16</v>
      </c>
      <c r="H13" s="99">
        <v>36557</v>
      </c>
      <c r="I13" s="99">
        <v>36707</v>
      </c>
      <c r="J13" s="98">
        <v>25699</v>
      </c>
      <c r="K13" s="98">
        <v>911</v>
      </c>
      <c r="L13" s="98">
        <v>0</v>
      </c>
      <c r="M13" s="98">
        <v>911</v>
      </c>
      <c r="N13" s="98">
        <v>0</v>
      </c>
      <c r="O13" s="98">
        <v>0</v>
      </c>
      <c r="P13" s="98">
        <v>0</v>
      </c>
      <c r="Q13" s="98" t="s">
        <v>16</v>
      </c>
    </row>
    <row r="14" spans="2:17" x14ac:dyDescent="0.2">
      <c r="B14" s="96"/>
      <c r="C14" s="96" t="s">
        <v>14</v>
      </c>
      <c r="D14" s="96">
        <v>64036</v>
      </c>
      <c r="E14" s="96" t="s">
        <v>89</v>
      </c>
      <c r="F14" s="96" t="s">
        <v>16</v>
      </c>
      <c r="G14" s="96" t="s">
        <v>16</v>
      </c>
      <c r="H14" s="97">
        <v>36557</v>
      </c>
      <c r="I14" s="97">
        <v>36707</v>
      </c>
      <c r="J14" s="96">
        <v>25712</v>
      </c>
      <c r="K14" s="96">
        <v>1</v>
      </c>
      <c r="L14" s="96">
        <v>0</v>
      </c>
      <c r="M14" s="96">
        <v>1</v>
      </c>
      <c r="N14" s="96">
        <v>0</v>
      </c>
      <c r="O14" s="96">
        <v>0</v>
      </c>
      <c r="P14" s="96">
        <v>0</v>
      </c>
      <c r="Q14" s="96" t="s">
        <v>16</v>
      </c>
    </row>
    <row r="15" spans="2:17" x14ac:dyDescent="0.2">
      <c r="B15" s="98"/>
      <c r="C15" s="98" t="s">
        <v>14</v>
      </c>
      <c r="D15" s="98">
        <v>64328</v>
      </c>
      <c r="E15" s="98" t="s">
        <v>89</v>
      </c>
      <c r="F15" s="98" t="s">
        <v>16</v>
      </c>
      <c r="G15" s="98" t="s">
        <v>16</v>
      </c>
      <c r="H15" s="99">
        <v>36557</v>
      </c>
      <c r="I15" s="99">
        <v>36738</v>
      </c>
      <c r="J15" s="98">
        <v>25955</v>
      </c>
      <c r="K15" s="98">
        <v>51</v>
      </c>
      <c r="L15" s="98">
        <v>0</v>
      </c>
      <c r="M15" s="98">
        <v>51</v>
      </c>
      <c r="N15" s="98">
        <v>0</v>
      </c>
      <c r="O15" s="98">
        <v>0</v>
      </c>
      <c r="P15" s="98">
        <v>0</v>
      </c>
      <c r="Q15" s="98" t="s">
        <v>16</v>
      </c>
    </row>
    <row r="16" spans="2:17" x14ac:dyDescent="0.2">
      <c r="B16" s="96"/>
      <c r="C16" s="96" t="s">
        <v>14</v>
      </c>
      <c r="D16" s="96">
        <v>64329</v>
      </c>
      <c r="E16" s="96" t="s">
        <v>89</v>
      </c>
      <c r="F16" s="96" t="s">
        <v>16</v>
      </c>
      <c r="G16" s="96" t="s">
        <v>16</v>
      </c>
      <c r="H16" s="97">
        <v>36557</v>
      </c>
      <c r="I16" s="97">
        <v>36738</v>
      </c>
      <c r="J16" s="96">
        <v>25965</v>
      </c>
      <c r="K16" s="96">
        <v>12</v>
      </c>
      <c r="L16" s="96">
        <v>0</v>
      </c>
      <c r="M16" s="96">
        <v>12</v>
      </c>
      <c r="N16" s="96">
        <v>0</v>
      </c>
      <c r="O16" s="96">
        <v>0</v>
      </c>
      <c r="P16" s="96">
        <v>0</v>
      </c>
      <c r="Q16" s="96" t="s">
        <v>16</v>
      </c>
    </row>
    <row r="17" spans="2:17" x14ac:dyDescent="0.2">
      <c r="B17" s="98"/>
      <c r="C17" s="98" t="s">
        <v>14</v>
      </c>
      <c r="D17" s="98">
        <v>64356</v>
      </c>
      <c r="E17" s="98" t="s">
        <v>21</v>
      </c>
      <c r="F17" s="98" t="s">
        <v>22</v>
      </c>
      <c r="G17" s="98" t="s">
        <v>16</v>
      </c>
      <c r="H17" s="99">
        <v>36526</v>
      </c>
      <c r="I17" s="99">
        <v>36707</v>
      </c>
      <c r="J17" s="98" t="s">
        <v>16</v>
      </c>
      <c r="K17" s="100">
        <v>310000</v>
      </c>
      <c r="L17" s="98">
        <v>0</v>
      </c>
      <c r="M17" s="100">
        <v>310000</v>
      </c>
      <c r="N17" s="98">
        <v>0</v>
      </c>
      <c r="O17" s="98">
        <v>0</v>
      </c>
      <c r="P17" s="98">
        <v>0</v>
      </c>
      <c r="Q17" s="98"/>
    </row>
    <row r="18" spans="2:17" x14ac:dyDescent="0.2">
      <c r="B18" s="96"/>
      <c r="C18" s="96" t="s">
        <v>14</v>
      </c>
      <c r="D18" s="96">
        <v>64651</v>
      </c>
      <c r="E18" s="96" t="s">
        <v>89</v>
      </c>
      <c r="F18" s="96" t="s">
        <v>16</v>
      </c>
      <c r="G18" s="96" t="s">
        <v>16</v>
      </c>
      <c r="H18" s="97">
        <v>36557</v>
      </c>
      <c r="I18" s="97">
        <v>36769</v>
      </c>
      <c r="J18" s="96">
        <v>26150</v>
      </c>
      <c r="K18" s="96">
        <v>64</v>
      </c>
      <c r="L18" s="96">
        <v>0</v>
      </c>
      <c r="M18" s="96">
        <v>64</v>
      </c>
      <c r="N18" s="96">
        <v>0</v>
      </c>
      <c r="O18" s="96">
        <v>0</v>
      </c>
      <c r="P18" s="96">
        <v>0</v>
      </c>
      <c r="Q18" s="96" t="s">
        <v>16</v>
      </c>
    </row>
    <row r="19" spans="2:17" x14ac:dyDescent="0.2">
      <c r="B19" s="98"/>
      <c r="C19" s="98" t="s">
        <v>14</v>
      </c>
      <c r="D19" s="98">
        <v>64862</v>
      </c>
      <c r="E19" s="98" t="s">
        <v>89</v>
      </c>
      <c r="F19" s="98" t="s">
        <v>16</v>
      </c>
      <c r="G19" s="98" t="s">
        <v>16</v>
      </c>
      <c r="H19" s="99">
        <v>36557</v>
      </c>
      <c r="I19" s="99">
        <v>36799</v>
      </c>
      <c r="J19" s="98">
        <v>26503</v>
      </c>
      <c r="K19" s="98">
        <v>13</v>
      </c>
      <c r="L19" s="98">
        <v>0</v>
      </c>
      <c r="M19" s="98">
        <v>13</v>
      </c>
      <c r="N19" s="98">
        <v>0</v>
      </c>
      <c r="O19" s="98">
        <v>0</v>
      </c>
      <c r="P19" s="98">
        <v>0</v>
      </c>
      <c r="Q19" s="98" t="s">
        <v>16</v>
      </c>
    </row>
    <row r="20" spans="2:17" x14ac:dyDescent="0.2">
      <c r="B20" s="96"/>
      <c r="C20" s="96" t="s">
        <v>14</v>
      </c>
      <c r="D20" s="96">
        <v>64939</v>
      </c>
      <c r="E20" s="96" t="s">
        <v>89</v>
      </c>
      <c r="F20" s="96" t="s">
        <v>16</v>
      </c>
      <c r="G20" s="96" t="s">
        <v>16</v>
      </c>
      <c r="H20" s="97">
        <v>36557</v>
      </c>
      <c r="I20" s="97">
        <v>36799</v>
      </c>
      <c r="J20" s="96">
        <v>26577</v>
      </c>
      <c r="K20" s="101">
        <v>2300</v>
      </c>
      <c r="L20" s="96">
        <v>0</v>
      </c>
      <c r="M20" s="101">
        <v>2300</v>
      </c>
      <c r="N20" s="96">
        <v>0</v>
      </c>
      <c r="O20" s="96">
        <v>0</v>
      </c>
      <c r="P20" s="96">
        <v>0</v>
      </c>
      <c r="Q20" s="96" t="s">
        <v>16</v>
      </c>
    </row>
    <row r="21" spans="2:17" x14ac:dyDescent="0.2">
      <c r="B21" s="98"/>
      <c r="C21" s="98" t="s">
        <v>14</v>
      </c>
      <c r="D21" s="98">
        <v>65026</v>
      </c>
      <c r="E21" s="98" t="s">
        <v>89</v>
      </c>
      <c r="F21" s="98" t="s">
        <v>16</v>
      </c>
      <c r="G21" s="98" t="s">
        <v>16</v>
      </c>
      <c r="H21" s="99">
        <v>36557</v>
      </c>
      <c r="I21" s="99">
        <v>36830</v>
      </c>
      <c r="J21" s="98">
        <v>26726</v>
      </c>
      <c r="K21" s="98">
        <v>128</v>
      </c>
      <c r="L21" s="98">
        <v>0</v>
      </c>
      <c r="M21" s="98">
        <v>128</v>
      </c>
      <c r="N21" s="98">
        <v>0</v>
      </c>
      <c r="O21" s="98">
        <v>0</v>
      </c>
      <c r="P21" s="98">
        <v>0</v>
      </c>
      <c r="Q21" s="98" t="s">
        <v>16</v>
      </c>
    </row>
    <row r="22" spans="2:17" x14ac:dyDescent="0.2">
      <c r="B22" s="96"/>
      <c r="C22" s="96" t="s">
        <v>14</v>
      </c>
      <c r="D22" s="96">
        <v>65041</v>
      </c>
      <c r="E22" s="96" t="s">
        <v>89</v>
      </c>
      <c r="F22" s="96" t="s">
        <v>16</v>
      </c>
      <c r="G22" s="96" t="s">
        <v>16</v>
      </c>
      <c r="H22" s="97">
        <v>36557</v>
      </c>
      <c r="I22" s="97">
        <v>36830</v>
      </c>
      <c r="J22" s="96">
        <v>26754</v>
      </c>
      <c r="K22" s="101">
        <v>9619</v>
      </c>
      <c r="L22" s="96">
        <v>0</v>
      </c>
      <c r="M22" s="101">
        <v>9619</v>
      </c>
      <c r="N22" s="96">
        <v>0</v>
      </c>
      <c r="O22" s="96">
        <v>0</v>
      </c>
      <c r="P22" s="96">
        <v>0</v>
      </c>
      <c r="Q22" s="96" t="s">
        <v>16</v>
      </c>
    </row>
    <row r="23" spans="2:17" x14ac:dyDescent="0.2">
      <c r="B23" s="98"/>
      <c r="C23" s="98" t="s">
        <v>14</v>
      </c>
      <c r="D23" s="98">
        <v>65042</v>
      </c>
      <c r="E23" s="98" t="s">
        <v>89</v>
      </c>
      <c r="F23" s="98" t="s">
        <v>16</v>
      </c>
      <c r="G23" s="98" t="s">
        <v>16</v>
      </c>
      <c r="H23" s="99">
        <v>36557</v>
      </c>
      <c r="I23" s="99">
        <v>36830</v>
      </c>
      <c r="J23" s="98">
        <v>26753</v>
      </c>
      <c r="K23" s="100">
        <v>4427</v>
      </c>
      <c r="L23" s="98">
        <v>0</v>
      </c>
      <c r="M23" s="100">
        <v>4427</v>
      </c>
      <c r="N23" s="98">
        <v>0</v>
      </c>
      <c r="O23" s="98">
        <v>0</v>
      </c>
      <c r="P23" s="98">
        <v>0</v>
      </c>
      <c r="Q23" s="98" t="s">
        <v>16</v>
      </c>
    </row>
    <row r="24" spans="2:17" x14ac:dyDescent="0.2">
      <c r="B24" s="96"/>
      <c r="C24" s="96" t="s">
        <v>14</v>
      </c>
      <c r="D24" s="96">
        <v>65071</v>
      </c>
      <c r="E24" s="96" t="s">
        <v>89</v>
      </c>
      <c r="F24" s="96" t="s">
        <v>16</v>
      </c>
      <c r="G24" s="96" t="s">
        <v>16</v>
      </c>
      <c r="H24" s="97">
        <v>36557</v>
      </c>
      <c r="I24" s="97">
        <v>36830</v>
      </c>
      <c r="J24" s="96">
        <v>26782</v>
      </c>
      <c r="K24" s="101">
        <v>7429</v>
      </c>
      <c r="L24" s="96">
        <v>0</v>
      </c>
      <c r="M24" s="101">
        <v>7035</v>
      </c>
      <c r="N24" s="96">
        <v>394</v>
      </c>
      <c r="O24" s="96">
        <v>0</v>
      </c>
      <c r="P24" s="96">
        <v>0</v>
      </c>
      <c r="Q24" s="96" t="s">
        <v>16</v>
      </c>
    </row>
    <row r="25" spans="2:17" x14ac:dyDescent="0.2">
      <c r="B25" s="98"/>
      <c r="C25" s="98" t="s">
        <v>14</v>
      </c>
      <c r="D25" s="98">
        <v>65108</v>
      </c>
      <c r="E25" s="98" t="s">
        <v>89</v>
      </c>
      <c r="F25" s="98" t="s">
        <v>16</v>
      </c>
      <c r="G25" s="98" t="s">
        <v>16</v>
      </c>
      <c r="H25" s="99">
        <v>36557</v>
      </c>
      <c r="I25" s="99">
        <v>37011</v>
      </c>
      <c r="J25" s="98" t="s">
        <v>16</v>
      </c>
      <c r="K25" s="100">
        <v>5000</v>
      </c>
      <c r="L25" s="98">
        <v>0</v>
      </c>
      <c r="M25" s="100">
        <v>5000</v>
      </c>
      <c r="N25" s="98">
        <v>0</v>
      </c>
      <c r="O25" s="98">
        <v>0</v>
      </c>
      <c r="P25" s="98">
        <v>0</v>
      </c>
      <c r="Q25" s="98" t="s">
        <v>16</v>
      </c>
    </row>
    <row r="26" spans="2:17" x14ac:dyDescent="0.2">
      <c r="B26" s="96"/>
      <c r="C26" s="96" t="s">
        <v>14</v>
      </c>
      <c r="D26" s="96">
        <v>65402</v>
      </c>
      <c r="E26" s="96" t="s">
        <v>89</v>
      </c>
      <c r="F26" s="96" t="s">
        <v>16</v>
      </c>
      <c r="G26" s="96" t="s">
        <v>16</v>
      </c>
      <c r="H26" s="97">
        <v>36557</v>
      </c>
      <c r="I26" s="97">
        <v>36830</v>
      </c>
      <c r="J26" s="96">
        <v>26694</v>
      </c>
      <c r="K26" s="101">
        <v>20000</v>
      </c>
      <c r="L26" s="96">
        <v>0</v>
      </c>
      <c r="M26" s="96">
        <v>0</v>
      </c>
      <c r="N26" s="101">
        <v>20000</v>
      </c>
      <c r="O26" s="96">
        <v>0</v>
      </c>
      <c r="P26" s="96">
        <v>0</v>
      </c>
      <c r="Q26" s="96" t="s">
        <v>16</v>
      </c>
    </row>
    <row r="27" spans="2:17" x14ac:dyDescent="0.2">
      <c r="B27" s="98"/>
      <c r="C27" s="98" t="s">
        <v>14</v>
      </c>
      <c r="D27" s="98">
        <v>65403</v>
      </c>
      <c r="E27" s="98" t="s">
        <v>89</v>
      </c>
      <c r="F27" s="98" t="s">
        <v>16</v>
      </c>
      <c r="G27" s="98" t="s">
        <v>16</v>
      </c>
      <c r="H27" s="99">
        <v>36557</v>
      </c>
      <c r="I27" s="99">
        <v>37011</v>
      </c>
      <c r="J27" s="98">
        <v>26714</v>
      </c>
      <c r="K27" s="100">
        <v>19293</v>
      </c>
      <c r="L27" s="98">
        <v>0</v>
      </c>
      <c r="M27" s="100">
        <v>19293</v>
      </c>
      <c r="N27" s="98">
        <v>0</v>
      </c>
      <c r="O27" s="98">
        <v>0</v>
      </c>
      <c r="P27" s="98">
        <v>0</v>
      </c>
      <c r="Q27" s="98" t="s">
        <v>16</v>
      </c>
    </row>
    <row r="28" spans="2:17" x14ac:dyDescent="0.2">
      <c r="B28" s="96"/>
      <c r="C28" s="96" t="s">
        <v>14</v>
      </c>
      <c r="D28" s="96">
        <v>65418</v>
      </c>
      <c r="E28" s="96" t="s">
        <v>89</v>
      </c>
      <c r="F28" s="96" t="s">
        <v>16</v>
      </c>
      <c r="G28" s="96" t="s">
        <v>16</v>
      </c>
      <c r="H28" s="97">
        <v>36557</v>
      </c>
      <c r="I28" s="96" t="s">
        <v>16</v>
      </c>
      <c r="J28" s="96">
        <v>26722</v>
      </c>
      <c r="K28" s="96">
        <v>500</v>
      </c>
      <c r="L28" s="96">
        <v>0</v>
      </c>
      <c r="M28" s="96">
        <v>500</v>
      </c>
      <c r="N28" s="96">
        <v>0</v>
      </c>
      <c r="O28" s="96">
        <v>0</v>
      </c>
      <c r="P28" s="96">
        <v>0</v>
      </c>
      <c r="Q28" s="96" t="s">
        <v>16</v>
      </c>
    </row>
    <row r="29" spans="2:17" x14ac:dyDescent="0.2">
      <c r="B29" s="98"/>
      <c r="C29" s="98" t="s">
        <v>14</v>
      </c>
      <c r="D29" s="98">
        <v>65556</v>
      </c>
      <c r="E29" s="98" t="s">
        <v>89</v>
      </c>
      <c r="F29" s="98" t="s">
        <v>16</v>
      </c>
      <c r="G29" s="98" t="s">
        <v>16</v>
      </c>
      <c r="H29" s="99">
        <v>36557</v>
      </c>
      <c r="I29" s="99">
        <v>36860</v>
      </c>
      <c r="J29" s="98">
        <v>27127</v>
      </c>
      <c r="K29" s="98">
        <v>3</v>
      </c>
      <c r="L29" s="98">
        <v>0</v>
      </c>
      <c r="M29" s="98">
        <v>3</v>
      </c>
      <c r="N29" s="98">
        <v>0</v>
      </c>
      <c r="O29" s="98">
        <v>0</v>
      </c>
      <c r="P29" s="98">
        <v>0</v>
      </c>
      <c r="Q29" s="98" t="s">
        <v>16</v>
      </c>
    </row>
    <row r="30" spans="2:17" x14ac:dyDescent="0.2">
      <c r="B30" s="96"/>
      <c r="C30" s="96" t="s">
        <v>14</v>
      </c>
      <c r="D30" s="96">
        <v>66280</v>
      </c>
      <c r="E30" s="96" t="s">
        <v>89</v>
      </c>
      <c r="F30" s="96" t="s">
        <v>16</v>
      </c>
      <c r="G30" s="96" t="s">
        <v>16</v>
      </c>
      <c r="H30" s="97">
        <v>36557</v>
      </c>
      <c r="I30" s="97">
        <v>36922</v>
      </c>
      <c r="J30" s="96">
        <v>27772</v>
      </c>
      <c r="K30" s="96">
        <v>5</v>
      </c>
      <c r="L30" s="96">
        <v>0</v>
      </c>
      <c r="M30" s="96">
        <v>5</v>
      </c>
      <c r="N30" s="96">
        <v>0</v>
      </c>
      <c r="O30" s="96">
        <v>0</v>
      </c>
      <c r="P30" s="96">
        <v>0</v>
      </c>
      <c r="Q30" s="96" t="s">
        <v>16</v>
      </c>
    </row>
    <row r="31" spans="2:17" x14ac:dyDescent="0.2">
      <c r="B31" s="98"/>
      <c r="C31" s="98" t="s">
        <v>14</v>
      </c>
      <c r="D31" s="98">
        <v>66917</v>
      </c>
      <c r="E31" s="98" t="s">
        <v>266</v>
      </c>
      <c r="F31" s="98" t="s">
        <v>16</v>
      </c>
      <c r="G31" s="98" t="s">
        <v>16</v>
      </c>
      <c r="H31" s="99">
        <v>36617</v>
      </c>
      <c r="I31" s="98" t="s">
        <v>16</v>
      </c>
      <c r="J31" s="98" t="s">
        <v>16</v>
      </c>
      <c r="K31" s="100">
        <v>50000</v>
      </c>
      <c r="L31" s="98">
        <v>0</v>
      </c>
      <c r="M31" s="100">
        <v>50000</v>
      </c>
      <c r="N31" s="98">
        <v>0</v>
      </c>
      <c r="O31" s="98">
        <v>0</v>
      </c>
      <c r="P31" s="98">
        <v>0</v>
      </c>
      <c r="Q31" s="98" t="s">
        <v>16</v>
      </c>
    </row>
    <row r="32" spans="2:17" x14ac:dyDescent="0.2">
      <c r="B32" s="96"/>
      <c r="C32" s="96" t="s">
        <v>14</v>
      </c>
      <c r="D32" s="96">
        <v>66930</v>
      </c>
      <c r="E32" s="96" t="s">
        <v>89</v>
      </c>
      <c r="F32" s="96" t="s">
        <v>16</v>
      </c>
      <c r="G32" s="96" t="s">
        <v>16</v>
      </c>
      <c r="H32" s="97">
        <v>36617</v>
      </c>
      <c r="I32" s="97">
        <v>36981</v>
      </c>
      <c r="J32" s="96">
        <v>28188</v>
      </c>
      <c r="K32" s="101">
        <v>4000</v>
      </c>
      <c r="L32" s="96">
        <v>0</v>
      </c>
      <c r="M32" s="101">
        <v>4000</v>
      </c>
      <c r="N32" s="96">
        <v>0</v>
      </c>
      <c r="O32" s="96">
        <v>0</v>
      </c>
      <c r="P32" s="96">
        <v>0</v>
      </c>
      <c r="Q32" s="96" t="s">
        <v>16</v>
      </c>
    </row>
    <row r="33" spans="2:17" x14ac:dyDescent="0.2">
      <c r="B33" s="98"/>
      <c r="C33" s="98" t="s">
        <v>14</v>
      </c>
      <c r="D33" s="98">
        <v>66931</v>
      </c>
      <c r="E33" s="98" t="s">
        <v>89</v>
      </c>
      <c r="F33" s="98" t="s">
        <v>16</v>
      </c>
      <c r="G33" s="98" t="s">
        <v>16</v>
      </c>
      <c r="H33" s="99">
        <v>36617</v>
      </c>
      <c r="I33" s="99">
        <v>36981</v>
      </c>
      <c r="J33" s="98">
        <v>28189</v>
      </c>
      <c r="K33" s="100">
        <v>4000</v>
      </c>
      <c r="L33" s="98">
        <v>0</v>
      </c>
      <c r="M33" s="100">
        <v>4000</v>
      </c>
      <c r="N33" s="98">
        <v>0</v>
      </c>
      <c r="O33" s="98">
        <v>0</v>
      </c>
      <c r="P33" s="98">
        <v>0</v>
      </c>
      <c r="Q33" s="98" t="s">
        <v>16</v>
      </c>
    </row>
    <row r="34" spans="2:17" x14ac:dyDescent="0.2">
      <c r="B34" s="96"/>
      <c r="C34" s="96" t="s">
        <v>14</v>
      </c>
      <c r="D34" s="96">
        <v>66932</v>
      </c>
      <c r="E34" s="96" t="s">
        <v>89</v>
      </c>
      <c r="F34" s="96" t="s">
        <v>16</v>
      </c>
      <c r="G34" s="96" t="s">
        <v>16</v>
      </c>
      <c r="H34" s="97">
        <v>36617</v>
      </c>
      <c r="I34" s="97">
        <v>36981</v>
      </c>
      <c r="J34" s="96">
        <v>28176</v>
      </c>
      <c r="K34" s="101">
        <v>4000</v>
      </c>
      <c r="L34" s="96">
        <v>0</v>
      </c>
      <c r="M34" s="101">
        <v>4000</v>
      </c>
      <c r="N34" s="96">
        <v>0</v>
      </c>
      <c r="O34" s="96">
        <v>0</v>
      </c>
      <c r="P34" s="96">
        <v>0</v>
      </c>
      <c r="Q34" s="96" t="s">
        <v>16</v>
      </c>
    </row>
    <row r="35" spans="2:17" x14ac:dyDescent="0.2">
      <c r="B35" s="98"/>
      <c r="C35" s="98" t="s">
        <v>14</v>
      </c>
      <c r="D35" s="98">
        <v>66939</v>
      </c>
      <c r="E35" s="98" t="s">
        <v>89</v>
      </c>
      <c r="F35" s="98" t="s">
        <v>16</v>
      </c>
      <c r="G35" s="98" t="s">
        <v>16</v>
      </c>
      <c r="H35" s="99">
        <v>36617</v>
      </c>
      <c r="I35" s="99">
        <v>36981</v>
      </c>
      <c r="J35" s="98">
        <v>28332</v>
      </c>
      <c r="K35" s="98">
        <v>52</v>
      </c>
      <c r="L35" s="98">
        <v>0</v>
      </c>
      <c r="M35" s="98">
        <v>52</v>
      </c>
      <c r="N35" s="98">
        <v>0</v>
      </c>
      <c r="O35" s="98">
        <v>0</v>
      </c>
      <c r="P35" s="98">
        <v>0</v>
      </c>
      <c r="Q35" s="98" t="s">
        <v>16</v>
      </c>
    </row>
    <row r="36" spans="2:17" x14ac:dyDescent="0.2">
      <c r="B36" s="96"/>
      <c r="C36" s="96" t="s">
        <v>14</v>
      </c>
      <c r="D36" s="96">
        <v>66940</v>
      </c>
      <c r="E36" s="96" t="s">
        <v>89</v>
      </c>
      <c r="F36" s="96" t="s">
        <v>16</v>
      </c>
      <c r="G36" s="96" t="s">
        <v>16</v>
      </c>
      <c r="H36" s="97">
        <v>36617</v>
      </c>
      <c r="I36" s="97">
        <v>36981</v>
      </c>
      <c r="J36" s="96">
        <v>28331</v>
      </c>
      <c r="K36" s="96">
        <v>2</v>
      </c>
      <c r="L36" s="96">
        <v>0</v>
      </c>
      <c r="M36" s="96">
        <v>2</v>
      </c>
      <c r="N36" s="96">
        <v>0</v>
      </c>
      <c r="O36" s="96">
        <v>0</v>
      </c>
      <c r="P36" s="96">
        <v>0</v>
      </c>
      <c r="Q36" s="96" t="s">
        <v>16</v>
      </c>
    </row>
    <row r="37" spans="2:17" x14ac:dyDescent="0.2">
      <c r="B37" s="98"/>
      <c r="C37" s="98" t="s">
        <v>14</v>
      </c>
      <c r="D37" s="98">
        <v>66965</v>
      </c>
      <c r="E37" s="98" t="s">
        <v>111</v>
      </c>
      <c r="F37" s="98" t="s">
        <v>16</v>
      </c>
      <c r="G37" s="98" t="s">
        <v>16</v>
      </c>
      <c r="H37" s="99">
        <v>36617</v>
      </c>
      <c r="I37" s="99">
        <v>36830</v>
      </c>
      <c r="J37" s="98">
        <v>28226</v>
      </c>
      <c r="K37" s="100">
        <v>20000</v>
      </c>
      <c r="L37" s="98">
        <v>0</v>
      </c>
      <c r="M37" s="100">
        <v>20000</v>
      </c>
      <c r="N37" s="98">
        <v>0</v>
      </c>
      <c r="O37" s="98">
        <v>0</v>
      </c>
      <c r="P37" s="98">
        <v>0</v>
      </c>
      <c r="Q37" s="98" t="s">
        <v>16</v>
      </c>
    </row>
    <row r="38" spans="2:17" x14ac:dyDescent="0.2">
      <c r="B38" s="96"/>
      <c r="C38" s="96" t="s">
        <v>14</v>
      </c>
      <c r="D38" s="96">
        <v>67693</v>
      </c>
      <c r="E38" s="96" t="s">
        <v>111</v>
      </c>
      <c r="F38" s="96" t="s">
        <v>16</v>
      </c>
      <c r="G38" s="96" t="s">
        <v>16</v>
      </c>
      <c r="H38" s="97">
        <v>36617</v>
      </c>
      <c r="I38" s="97">
        <v>36799</v>
      </c>
      <c r="J38" s="96">
        <v>28390</v>
      </c>
      <c r="K38" s="101">
        <v>54327</v>
      </c>
      <c r="L38" s="96">
        <v>0</v>
      </c>
      <c r="M38" s="101">
        <v>29827</v>
      </c>
      <c r="N38" s="101">
        <v>24500</v>
      </c>
      <c r="O38" s="96">
        <v>0</v>
      </c>
      <c r="P38" s="96">
        <v>0</v>
      </c>
      <c r="Q38" s="96" t="s">
        <v>16</v>
      </c>
    </row>
    <row r="39" spans="2:17" x14ac:dyDescent="0.2">
      <c r="B39" s="98"/>
      <c r="C39" s="98" t="s">
        <v>14</v>
      </c>
      <c r="D39" s="98">
        <v>67712</v>
      </c>
      <c r="E39" s="98" t="s">
        <v>95</v>
      </c>
      <c r="F39" s="98" t="s">
        <v>16</v>
      </c>
      <c r="G39" s="98" t="s">
        <v>16</v>
      </c>
      <c r="H39" s="99">
        <v>36617</v>
      </c>
      <c r="I39" s="99">
        <v>36981</v>
      </c>
      <c r="J39" s="98">
        <v>28389</v>
      </c>
      <c r="K39" s="100">
        <v>108648</v>
      </c>
      <c r="L39" s="100">
        <v>6050607</v>
      </c>
      <c r="M39" s="100">
        <v>108648</v>
      </c>
      <c r="N39" s="98">
        <v>0</v>
      </c>
      <c r="O39" s="98">
        <v>0</v>
      </c>
      <c r="P39" s="98">
        <v>0</v>
      </c>
      <c r="Q39" s="98">
        <v>67713</v>
      </c>
    </row>
    <row r="40" spans="2:17" x14ac:dyDescent="0.2">
      <c r="B40" s="96"/>
      <c r="C40" s="96" t="s">
        <v>14</v>
      </c>
      <c r="D40" s="96">
        <v>67713</v>
      </c>
      <c r="E40" s="96" t="s">
        <v>95</v>
      </c>
      <c r="F40" s="96" t="s">
        <v>16</v>
      </c>
      <c r="G40" s="96" t="s">
        <v>16</v>
      </c>
      <c r="H40" s="97">
        <v>36617</v>
      </c>
      <c r="I40" s="97">
        <v>36981</v>
      </c>
      <c r="J40" s="96">
        <v>28389</v>
      </c>
      <c r="K40" s="101">
        <v>108648</v>
      </c>
      <c r="L40" s="101">
        <v>6050607</v>
      </c>
      <c r="M40" s="101">
        <v>108648</v>
      </c>
      <c r="N40" s="96">
        <v>0</v>
      </c>
      <c r="O40" s="96">
        <v>0</v>
      </c>
      <c r="P40" s="96">
        <v>0</v>
      </c>
      <c r="Q40" s="96">
        <v>67713</v>
      </c>
    </row>
    <row r="41" spans="2:17" x14ac:dyDescent="0.2">
      <c r="B41" s="98"/>
      <c r="C41" s="98" t="s">
        <v>14</v>
      </c>
      <c r="D41" s="98">
        <v>68188</v>
      </c>
      <c r="E41" s="98" t="s">
        <v>89</v>
      </c>
      <c r="F41" s="98" t="s">
        <v>16</v>
      </c>
      <c r="G41" s="98" t="s">
        <v>16</v>
      </c>
      <c r="H41" s="99">
        <v>36647</v>
      </c>
      <c r="I41" s="99">
        <v>37011</v>
      </c>
      <c r="J41" s="98">
        <v>28742</v>
      </c>
      <c r="K41" s="98">
        <v>1</v>
      </c>
      <c r="L41" s="98">
        <v>0</v>
      </c>
      <c r="M41" s="98">
        <v>1</v>
      </c>
      <c r="N41" s="98">
        <v>0</v>
      </c>
      <c r="O41" s="98">
        <v>0</v>
      </c>
      <c r="P41" s="98">
        <v>0</v>
      </c>
      <c r="Q41" s="98" t="s">
        <v>16</v>
      </c>
    </row>
    <row r="42" spans="2:17" x14ac:dyDescent="0.2">
      <c r="B42" s="96"/>
      <c r="C42" s="96" t="s">
        <v>14</v>
      </c>
      <c r="D42" s="96">
        <v>68257</v>
      </c>
      <c r="E42" s="96" t="s">
        <v>89</v>
      </c>
      <c r="F42" s="96" t="s">
        <v>16</v>
      </c>
      <c r="G42" s="96" t="s">
        <v>16</v>
      </c>
      <c r="H42" s="97">
        <v>36647</v>
      </c>
      <c r="I42" s="97">
        <v>37011</v>
      </c>
      <c r="J42" s="96">
        <v>28631</v>
      </c>
      <c r="K42" s="96">
        <v>21</v>
      </c>
      <c r="L42" s="96">
        <v>0</v>
      </c>
      <c r="M42" s="96">
        <v>21</v>
      </c>
      <c r="N42" s="96">
        <v>0</v>
      </c>
      <c r="O42" s="96">
        <v>0</v>
      </c>
      <c r="P42" s="96">
        <v>0</v>
      </c>
      <c r="Q42" s="96"/>
    </row>
    <row r="43" spans="2:17" x14ac:dyDescent="0.2">
      <c r="B43" s="98"/>
      <c r="C43" s="98" t="s">
        <v>14</v>
      </c>
      <c r="D43" s="98">
        <v>68308</v>
      </c>
      <c r="E43" s="98" t="s">
        <v>89</v>
      </c>
      <c r="F43" s="98" t="s">
        <v>16</v>
      </c>
      <c r="G43" s="98" t="s">
        <v>16</v>
      </c>
      <c r="H43" s="99">
        <v>36656</v>
      </c>
      <c r="I43" s="99">
        <v>36950</v>
      </c>
      <c r="J43" s="98">
        <v>28864</v>
      </c>
      <c r="K43" s="98">
        <v>9</v>
      </c>
      <c r="L43" s="98">
        <v>0</v>
      </c>
      <c r="M43" s="98">
        <v>9</v>
      </c>
      <c r="N43" s="98">
        <v>0</v>
      </c>
      <c r="O43" s="98">
        <v>0</v>
      </c>
      <c r="P43" s="98">
        <v>0</v>
      </c>
      <c r="Q43" s="98" t="s">
        <v>16</v>
      </c>
    </row>
    <row r="44" spans="2:17" x14ac:dyDescent="0.2">
      <c r="B44" s="96"/>
      <c r="C44" s="96" t="s">
        <v>14</v>
      </c>
      <c r="D44" s="96">
        <v>68359</v>
      </c>
      <c r="E44" s="96" t="s">
        <v>89</v>
      </c>
      <c r="F44" s="96" t="s">
        <v>16</v>
      </c>
      <c r="G44" s="96" t="s">
        <v>16</v>
      </c>
      <c r="H44" s="97">
        <v>36678</v>
      </c>
      <c r="I44" s="97">
        <v>37042</v>
      </c>
      <c r="J44" s="96">
        <v>28933</v>
      </c>
      <c r="K44" s="96">
        <v>285</v>
      </c>
      <c r="L44" s="96">
        <v>0</v>
      </c>
      <c r="M44" s="96">
        <v>285</v>
      </c>
      <c r="N44" s="96">
        <v>0</v>
      </c>
      <c r="O44" s="96">
        <v>0</v>
      </c>
      <c r="P44" s="96">
        <v>0</v>
      </c>
      <c r="Q44" s="96" t="s">
        <v>16</v>
      </c>
    </row>
    <row r="45" spans="2:17" x14ac:dyDescent="0.2">
      <c r="B45" s="98"/>
      <c r="C45" s="98" t="s">
        <v>14</v>
      </c>
      <c r="D45" s="98">
        <v>68384</v>
      </c>
      <c r="E45" s="98" t="s">
        <v>89</v>
      </c>
      <c r="F45" s="98" t="s">
        <v>16</v>
      </c>
      <c r="G45" s="98" t="s">
        <v>16</v>
      </c>
      <c r="H45" s="99">
        <v>36678</v>
      </c>
      <c r="I45" s="99">
        <v>37042</v>
      </c>
      <c r="J45" s="98">
        <v>28962</v>
      </c>
      <c r="K45" s="98">
        <v>218</v>
      </c>
      <c r="L45" s="98">
        <v>0</v>
      </c>
      <c r="M45" s="98">
        <v>218</v>
      </c>
      <c r="N45" s="98">
        <v>0</v>
      </c>
      <c r="O45" s="98">
        <v>0</v>
      </c>
      <c r="P45" s="98">
        <v>0</v>
      </c>
      <c r="Q45" s="98" t="s">
        <v>16</v>
      </c>
    </row>
    <row r="46" spans="2:17" x14ac:dyDescent="0.2">
      <c r="B46" s="96"/>
      <c r="C46" s="96" t="s">
        <v>14</v>
      </c>
      <c r="D46" s="96">
        <v>68443</v>
      </c>
      <c r="E46" s="96" t="s">
        <v>111</v>
      </c>
      <c r="F46" s="96" t="s">
        <v>16</v>
      </c>
      <c r="G46" s="96" t="s">
        <v>16</v>
      </c>
      <c r="H46" s="97">
        <v>36678</v>
      </c>
      <c r="I46" s="97">
        <v>36707</v>
      </c>
      <c r="J46" s="96">
        <v>29005</v>
      </c>
      <c r="K46" s="101">
        <v>10000</v>
      </c>
      <c r="L46" s="96">
        <v>0</v>
      </c>
      <c r="M46" s="101">
        <v>10000</v>
      </c>
      <c r="N46" s="96">
        <v>0</v>
      </c>
      <c r="O46" s="96">
        <v>0</v>
      </c>
      <c r="P46" s="96">
        <v>0</v>
      </c>
      <c r="Q46" s="96" t="s">
        <v>16</v>
      </c>
    </row>
    <row r="47" spans="2:17" x14ac:dyDescent="0.2">
      <c r="B47" s="98"/>
      <c r="C47" s="98" t="s">
        <v>14</v>
      </c>
      <c r="D47" s="98">
        <v>68447</v>
      </c>
      <c r="E47" s="98" t="s">
        <v>89</v>
      </c>
      <c r="F47" s="98" t="s">
        <v>16</v>
      </c>
      <c r="G47" s="98" t="s">
        <v>16</v>
      </c>
      <c r="H47" s="99">
        <v>36678</v>
      </c>
      <c r="I47" s="99">
        <v>36707</v>
      </c>
      <c r="J47" s="98">
        <v>29095</v>
      </c>
      <c r="K47" s="100">
        <v>7500</v>
      </c>
      <c r="L47" s="98">
        <v>0</v>
      </c>
      <c r="M47" s="100">
        <v>7500</v>
      </c>
      <c r="N47" s="98">
        <v>0</v>
      </c>
      <c r="O47" s="98">
        <v>0</v>
      </c>
      <c r="P47" s="98">
        <v>0</v>
      </c>
      <c r="Q47" s="98" t="s">
        <v>16</v>
      </c>
    </row>
    <row r="48" spans="2:17" ht="38.25" x14ac:dyDescent="0.2">
      <c r="B48" s="96"/>
      <c r="C48" s="96" t="s">
        <v>23</v>
      </c>
      <c r="D48" s="96">
        <v>37393</v>
      </c>
      <c r="E48" s="96" t="s">
        <v>24</v>
      </c>
      <c r="F48" s="96" t="s">
        <v>16</v>
      </c>
      <c r="G48" s="96" t="s">
        <v>16</v>
      </c>
      <c r="H48" s="97">
        <v>34274</v>
      </c>
      <c r="I48" s="96" t="s">
        <v>16</v>
      </c>
      <c r="J48" s="96" t="s">
        <v>16</v>
      </c>
      <c r="K48" s="101">
        <v>20000</v>
      </c>
      <c r="L48" s="96">
        <v>0</v>
      </c>
      <c r="M48" s="101">
        <v>20000</v>
      </c>
      <c r="N48" s="96">
        <v>0</v>
      </c>
      <c r="O48" s="96">
        <v>0</v>
      </c>
      <c r="P48" s="96">
        <v>0</v>
      </c>
      <c r="Q48" s="96" t="s">
        <v>16</v>
      </c>
    </row>
    <row r="49" spans="2:17" ht="38.25" x14ac:dyDescent="0.2">
      <c r="B49" s="98"/>
      <c r="C49" s="98" t="s">
        <v>23</v>
      </c>
      <c r="D49" s="98">
        <v>37556</v>
      </c>
      <c r="E49" s="98" t="s">
        <v>25</v>
      </c>
      <c r="F49" s="98" t="s">
        <v>16</v>
      </c>
      <c r="G49" s="98" t="s">
        <v>16</v>
      </c>
      <c r="H49" s="99">
        <v>34274</v>
      </c>
      <c r="I49" s="98" t="s">
        <v>16</v>
      </c>
      <c r="J49" s="98" t="s">
        <v>16</v>
      </c>
      <c r="K49" s="100">
        <v>300000</v>
      </c>
      <c r="L49" s="98">
        <v>0</v>
      </c>
      <c r="M49" s="100">
        <v>300000</v>
      </c>
      <c r="N49" s="98">
        <v>0</v>
      </c>
      <c r="O49" s="98">
        <v>0</v>
      </c>
      <c r="P49" s="98">
        <v>0</v>
      </c>
      <c r="Q49" s="98" t="s">
        <v>16</v>
      </c>
    </row>
    <row r="50" spans="2:17" ht="38.25" x14ac:dyDescent="0.2">
      <c r="B50" s="96"/>
      <c r="C50" s="96" t="s">
        <v>23</v>
      </c>
      <c r="D50" s="96">
        <v>37861</v>
      </c>
      <c r="E50" s="96" t="s">
        <v>26</v>
      </c>
      <c r="F50" s="96" t="s">
        <v>16</v>
      </c>
      <c r="G50" s="96" t="s">
        <v>16</v>
      </c>
      <c r="H50" s="97">
        <v>35582</v>
      </c>
      <c r="I50" s="96" t="s">
        <v>16</v>
      </c>
      <c r="J50" s="96" t="s">
        <v>16</v>
      </c>
      <c r="K50" s="101">
        <v>15000</v>
      </c>
      <c r="L50" s="96">
        <v>0</v>
      </c>
      <c r="M50" s="101">
        <v>15000</v>
      </c>
      <c r="N50" s="96">
        <v>0</v>
      </c>
      <c r="O50" s="96">
        <v>0</v>
      </c>
      <c r="P50" s="96">
        <v>0</v>
      </c>
      <c r="Q50" s="96" t="s">
        <v>16</v>
      </c>
    </row>
    <row r="51" spans="2:17" ht="38.25" x14ac:dyDescent="0.2">
      <c r="B51" s="98"/>
      <c r="C51" s="98" t="s">
        <v>23</v>
      </c>
      <c r="D51" s="98">
        <v>38641</v>
      </c>
      <c r="E51" s="98" t="s">
        <v>27</v>
      </c>
      <c r="F51" s="98" t="s">
        <v>16</v>
      </c>
      <c r="G51" s="98" t="s">
        <v>16</v>
      </c>
      <c r="H51" s="99">
        <v>34274</v>
      </c>
      <c r="I51" s="98" t="s">
        <v>16</v>
      </c>
      <c r="J51" s="98" t="s">
        <v>16</v>
      </c>
      <c r="K51" s="100">
        <v>450000</v>
      </c>
      <c r="L51" s="98">
        <v>0</v>
      </c>
      <c r="M51" s="100">
        <v>450000</v>
      </c>
      <c r="N51" s="98">
        <v>0</v>
      </c>
      <c r="O51" s="98">
        <v>0</v>
      </c>
      <c r="P51" s="98">
        <v>0</v>
      </c>
      <c r="Q51" s="98" t="s">
        <v>16</v>
      </c>
    </row>
    <row r="52" spans="2:17" ht="38.25" x14ac:dyDescent="0.2">
      <c r="B52" s="96"/>
      <c r="C52" s="96" t="s">
        <v>23</v>
      </c>
      <c r="D52" s="96">
        <v>39229</v>
      </c>
      <c r="E52" s="96" t="s">
        <v>15</v>
      </c>
      <c r="F52" s="96" t="s">
        <v>16</v>
      </c>
      <c r="G52" s="96" t="s">
        <v>16</v>
      </c>
      <c r="H52" s="97">
        <v>34274</v>
      </c>
      <c r="I52" s="96" t="s">
        <v>16</v>
      </c>
      <c r="J52" s="96" t="s">
        <v>16</v>
      </c>
      <c r="K52" s="96">
        <v>0</v>
      </c>
      <c r="L52" s="96">
        <v>0</v>
      </c>
      <c r="M52" s="96">
        <v>0</v>
      </c>
      <c r="N52" s="96">
        <v>0</v>
      </c>
      <c r="O52" s="96">
        <v>0</v>
      </c>
      <c r="P52" s="96">
        <v>0</v>
      </c>
      <c r="Q52" s="96" t="s">
        <v>16</v>
      </c>
    </row>
    <row r="53" spans="2:17" ht="38.25" x14ac:dyDescent="0.2">
      <c r="B53" s="98"/>
      <c r="C53" s="98" t="s">
        <v>23</v>
      </c>
      <c r="D53" s="98">
        <v>39266</v>
      </c>
      <c r="E53" s="98" t="s">
        <v>266</v>
      </c>
      <c r="F53" s="98" t="s">
        <v>16</v>
      </c>
      <c r="G53" s="98" t="s">
        <v>16</v>
      </c>
      <c r="H53" s="99">
        <v>34274</v>
      </c>
      <c r="I53" s="98" t="s">
        <v>16</v>
      </c>
      <c r="J53" s="98" t="s">
        <v>16</v>
      </c>
      <c r="K53" s="100">
        <v>300000</v>
      </c>
      <c r="L53" s="98">
        <v>0</v>
      </c>
      <c r="M53" s="100">
        <v>300000</v>
      </c>
      <c r="N53" s="98">
        <v>0</v>
      </c>
      <c r="O53" s="98">
        <v>0</v>
      </c>
      <c r="P53" s="98">
        <v>0</v>
      </c>
      <c r="Q53" s="98" t="s">
        <v>16</v>
      </c>
    </row>
    <row r="54" spans="2:17" ht="38.25" x14ac:dyDescent="0.2">
      <c r="B54" s="96"/>
      <c r="C54" s="96" t="s">
        <v>23</v>
      </c>
      <c r="D54" s="96">
        <v>42789</v>
      </c>
      <c r="E54" s="96" t="s">
        <v>24</v>
      </c>
      <c r="F54" s="96" t="s">
        <v>16</v>
      </c>
      <c r="G54" s="96" t="s">
        <v>16</v>
      </c>
      <c r="H54" s="97">
        <v>36557</v>
      </c>
      <c r="I54" s="96" t="s">
        <v>16</v>
      </c>
      <c r="J54" s="96" t="s">
        <v>16</v>
      </c>
      <c r="K54" s="101">
        <v>30000</v>
      </c>
      <c r="L54" s="96">
        <v>0</v>
      </c>
      <c r="M54" s="101">
        <v>30000</v>
      </c>
      <c r="N54" s="96">
        <v>0</v>
      </c>
      <c r="O54" s="96">
        <v>0</v>
      </c>
      <c r="P54" s="96">
        <v>0</v>
      </c>
      <c r="Q54" s="96" t="s">
        <v>16</v>
      </c>
    </row>
    <row r="55" spans="2:17" ht="38.25" x14ac:dyDescent="0.2">
      <c r="B55" s="98"/>
      <c r="C55" s="98" t="s">
        <v>23</v>
      </c>
      <c r="D55" s="98">
        <v>50250</v>
      </c>
      <c r="E55" s="98" t="s">
        <v>24</v>
      </c>
      <c r="F55" s="98" t="s">
        <v>16</v>
      </c>
      <c r="G55" s="98" t="s">
        <v>16</v>
      </c>
      <c r="H55" s="99">
        <v>36557</v>
      </c>
      <c r="I55" s="98" t="s">
        <v>16</v>
      </c>
      <c r="J55" s="98" t="s">
        <v>16</v>
      </c>
      <c r="K55" s="100">
        <v>20000</v>
      </c>
      <c r="L55" s="98">
        <v>0</v>
      </c>
      <c r="M55" s="100">
        <v>20000</v>
      </c>
      <c r="N55" s="98">
        <v>0</v>
      </c>
      <c r="O55" s="98">
        <v>0</v>
      </c>
      <c r="P55" s="98">
        <v>0</v>
      </c>
      <c r="Q55" s="98" t="s">
        <v>16</v>
      </c>
    </row>
    <row r="56" spans="2:17" ht="38.25" x14ac:dyDescent="0.2">
      <c r="B56" s="96"/>
      <c r="C56" s="96" t="s">
        <v>23</v>
      </c>
      <c r="D56" s="96">
        <v>58654</v>
      </c>
      <c r="E56" s="96" t="s">
        <v>26</v>
      </c>
      <c r="F56" s="96" t="s">
        <v>16</v>
      </c>
      <c r="G56" s="96" t="s">
        <v>16</v>
      </c>
      <c r="H56" s="97">
        <v>36557</v>
      </c>
      <c r="I56" s="96" t="s">
        <v>16</v>
      </c>
      <c r="J56" s="96" t="s">
        <v>16</v>
      </c>
      <c r="K56" s="101">
        <v>15000</v>
      </c>
      <c r="L56" s="96">
        <v>0</v>
      </c>
      <c r="M56" s="101">
        <v>15000</v>
      </c>
      <c r="N56" s="96">
        <v>0</v>
      </c>
      <c r="O56" s="96">
        <v>0</v>
      </c>
      <c r="P56" s="96">
        <v>0</v>
      </c>
      <c r="Q56" s="96" t="s">
        <v>16</v>
      </c>
    </row>
    <row r="57" spans="2:17" ht="38.25" x14ac:dyDescent="0.2">
      <c r="B57" s="98"/>
      <c r="C57" s="98" t="s">
        <v>23</v>
      </c>
      <c r="D57" s="98">
        <v>62408</v>
      </c>
      <c r="E57" s="98" t="s">
        <v>24</v>
      </c>
      <c r="F57" s="98" t="s">
        <v>16</v>
      </c>
      <c r="G57" s="98" t="s">
        <v>16</v>
      </c>
      <c r="H57" s="99">
        <v>36557</v>
      </c>
      <c r="I57" s="98" t="s">
        <v>16</v>
      </c>
      <c r="J57" s="98" t="s">
        <v>16</v>
      </c>
      <c r="K57" s="100">
        <v>40000</v>
      </c>
      <c r="L57" s="98">
        <v>0</v>
      </c>
      <c r="M57" s="100">
        <v>40000</v>
      </c>
      <c r="N57" s="98">
        <v>0</v>
      </c>
      <c r="O57" s="98">
        <v>0</v>
      </c>
      <c r="P57" s="98">
        <v>0</v>
      </c>
      <c r="Q57" s="98" t="s">
        <v>16</v>
      </c>
    </row>
    <row r="58" spans="2:17" ht="38.25" x14ac:dyDescent="0.2">
      <c r="B58" s="96"/>
      <c r="C58" s="96" t="s">
        <v>23</v>
      </c>
      <c r="D58" s="96">
        <v>63115</v>
      </c>
      <c r="E58" s="96" t="s">
        <v>26</v>
      </c>
      <c r="F58" s="96" t="s">
        <v>16</v>
      </c>
      <c r="G58" s="96" t="s">
        <v>16</v>
      </c>
      <c r="H58" s="97">
        <v>36557</v>
      </c>
      <c r="I58" s="97">
        <v>37346</v>
      </c>
      <c r="J58" s="96">
        <v>24770</v>
      </c>
      <c r="K58" s="101">
        <v>30000</v>
      </c>
      <c r="L58" s="96">
        <v>0</v>
      </c>
      <c r="M58" s="101">
        <v>30000</v>
      </c>
      <c r="N58" s="96">
        <v>0</v>
      </c>
      <c r="O58" s="96">
        <v>0</v>
      </c>
      <c r="P58" s="96">
        <v>0</v>
      </c>
      <c r="Q58" s="96" t="s">
        <v>16</v>
      </c>
    </row>
    <row r="59" spans="2:17" ht="38.25" x14ac:dyDescent="0.2">
      <c r="B59" s="98"/>
      <c r="C59" s="98" t="s">
        <v>23</v>
      </c>
      <c r="D59" s="98">
        <v>63922</v>
      </c>
      <c r="E59" s="98" t="s">
        <v>24</v>
      </c>
      <c r="F59" s="98" t="s">
        <v>16</v>
      </c>
      <c r="G59" s="98" t="s">
        <v>16</v>
      </c>
      <c r="H59" s="99">
        <v>36557</v>
      </c>
      <c r="I59" s="99">
        <v>38291</v>
      </c>
      <c r="J59" s="98">
        <v>25471</v>
      </c>
      <c r="K59" s="100">
        <v>25654</v>
      </c>
      <c r="L59" s="98">
        <v>0</v>
      </c>
      <c r="M59" s="100">
        <v>25654</v>
      </c>
      <c r="N59" s="98">
        <v>0</v>
      </c>
      <c r="O59" s="98">
        <v>0</v>
      </c>
      <c r="P59" s="98">
        <v>0</v>
      </c>
      <c r="Q59" s="98" t="s">
        <v>16</v>
      </c>
    </row>
    <row r="60" spans="2:17" ht="38.25" x14ac:dyDescent="0.2">
      <c r="B60" s="96"/>
      <c r="C60" s="96" t="s">
        <v>23</v>
      </c>
      <c r="D60" s="96">
        <v>64033</v>
      </c>
      <c r="E60" s="96" t="s">
        <v>26</v>
      </c>
      <c r="F60" s="96" t="s">
        <v>16</v>
      </c>
      <c r="G60" s="96" t="s">
        <v>16</v>
      </c>
      <c r="H60" s="97">
        <v>36557</v>
      </c>
      <c r="I60" s="97">
        <v>36707</v>
      </c>
      <c r="J60" s="96">
        <v>25713</v>
      </c>
      <c r="K60" s="96">
        <v>1</v>
      </c>
      <c r="L60" s="96">
        <v>0</v>
      </c>
      <c r="M60" s="96">
        <v>1</v>
      </c>
      <c r="N60" s="96">
        <v>0</v>
      </c>
      <c r="O60" s="96">
        <v>0</v>
      </c>
      <c r="P60" s="96">
        <v>0</v>
      </c>
      <c r="Q60" s="96" t="s">
        <v>16</v>
      </c>
    </row>
    <row r="61" spans="2:17" ht="38.25" x14ac:dyDescent="0.2">
      <c r="B61" s="98"/>
      <c r="C61" s="98" t="s">
        <v>23</v>
      </c>
      <c r="D61" s="98">
        <v>64035</v>
      </c>
      <c r="E61" s="98" t="s">
        <v>26</v>
      </c>
      <c r="F61" s="98" t="s">
        <v>16</v>
      </c>
      <c r="G61" s="98" t="s">
        <v>16</v>
      </c>
      <c r="H61" s="99">
        <v>36557</v>
      </c>
      <c r="I61" s="99">
        <v>36707</v>
      </c>
      <c r="J61" s="98">
        <v>25700</v>
      </c>
      <c r="K61" s="98">
        <v>931</v>
      </c>
      <c r="L61" s="98">
        <v>0</v>
      </c>
      <c r="M61" s="98">
        <v>931</v>
      </c>
      <c r="N61" s="98">
        <v>0</v>
      </c>
      <c r="O61" s="98">
        <v>0</v>
      </c>
      <c r="P61" s="98">
        <v>0</v>
      </c>
      <c r="Q61" s="98" t="s">
        <v>16</v>
      </c>
    </row>
    <row r="62" spans="2:17" ht="38.25" x14ac:dyDescent="0.2">
      <c r="B62" s="96"/>
      <c r="C62" s="96" t="s">
        <v>23</v>
      </c>
      <c r="D62" s="96">
        <v>64332</v>
      </c>
      <c r="E62" s="96" t="s">
        <v>26</v>
      </c>
      <c r="F62" s="96" t="s">
        <v>16</v>
      </c>
      <c r="G62" s="96" t="s">
        <v>16</v>
      </c>
      <c r="H62" s="97">
        <v>36557</v>
      </c>
      <c r="I62" s="97">
        <v>36738</v>
      </c>
      <c r="J62" s="96">
        <v>25966</v>
      </c>
      <c r="K62" s="96">
        <v>12</v>
      </c>
      <c r="L62" s="96">
        <v>0</v>
      </c>
      <c r="M62" s="96">
        <v>12</v>
      </c>
      <c r="N62" s="96">
        <v>0</v>
      </c>
      <c r="O62" s="96">
        <v>0</v>
      </c>
      <c r="P62" s="96">
        <v>0</v>
      </c>
      <c r="Q62" s="96" t="s">
        <v>16</v>
      </c>
    </row>
    <row r="63" spans="2:17" ht="38.25" x14ac:dyDescent="0.2">
      <c r="B63" s="98"/>
      <c r="C63" s="98" t="s">
        <v>23</v>
      </c>
      <c r="D63" s="98">
        <v>64334</v>
      </c>
      <c r="E63" s="98" t="s">
        <v>26</v>
      </c>
      <c r="F63" s="98" t="s">
        <v>16</v>
      </c>
      <c r="G63" s="98" t="s">
        <v>16</v>
      </c>
      <c r="H63" s="99">
        <v>36557</v>
      </c>
      <c r="I63" s="99">
        <v>36738</v>
      </c>
      <c r="J63" s="98">
        <v>25956</v>
      </c>
      <c r="K63" s="98">
        <v>52</v>
      </c>
      <c r="L63" s="98">
        <v>0</v>
      </c>
      <c r="M63" s="98">
        <v>52</v>
      </c>
      <c r="N63" s="98">
        <v>0</v>
      </c>
      <c r="O63" s="98">
        <v>0</v>
      </c>
      <c r="P63" s="98">
        <v>0</v>
      </c>
      <c r="Q63" s="98" t="s">
        <v>16</v>
      </c>
    </row>
    <row r="64" spans="2:17" ht="38.25" x14ac:dyDescent="0.2">
      <c r="B64" s="96"/>
      <c r="C64" s="96" t="s">
        <v>23</v>
      </c>
      <c r="D64" s="96">
        <v>64446</v>
      </c>
      <c r="E64" s="96" t="s">
        <v>26</v>
      </c>
      <c r="F64" s="96" t="s">
        <v>16</v>
      </c>
      <c r="G64" s="96" t="s">
        <v>16</v>
      </c>
      <c r="H64" s="97">
        <v>36557</v>
      </c>
      <c r="I64" s="97">
        <v>36738</v>
      </c>
      <c r="J64" s="96">
        <v>26081</v>
      </c>
      <c r="K64" s="96">
        <v>142</v>
      </c>
      <c r="L64" s="96">
        <v>0</v>
      </c>
      <c r="M64" s="96">
        <v>142</v>
      </c>
      <c r="N64" s="96">
        <v>0</v>
      </c>
      <c r="O64" s="96">
        <v>0</v>
      </c>
      <c r="P64" s="96">
        <v>0</v>
      </c>
      <c r="Q64" s="96" t="s">
        <v>16</v>
      </c>
    </row>
    <row r="65" spans="2:17" ht="38.25" x14ac:dyDescent="0.2">
      <c r="B65" s="98"/>
      <c r="C65" s="98" t="s">
        <v>23</v>
      </c>
      <c r="D65" s="98">
        <v>64502</v>
      </c>
      <c r="E65" s="98" t="s">
        <v>24</v>
      </c>
      <c r="F65" s="98" t="s">
        <v>16</v>
      </c>
      <c r="G65" s="98" t="s">
        <v>16</v>
      </c>
      <c r="H65" s="99">
        <v>36557</v>
      </c>
      <c r="I65" s="98" t="s">
        <v>16</v>
      </c>
      <c r="J65" s="98" t="s">
        <v>16</v>
      </c>
      <c r="K65" s="100">
        <v>29000</v>
      </c>
      <c r="L65" s="98">
        <v>0</v>
      </c>
      <c r="M65" s="100">
        <v>29000</v>
      </c>
      <c r="N65" s="98">
        <v>0</v>
      </c>
      <c r="O65" s="98">
        <v>0</v>
      </c>
      <c r="P65" s="98">
        <v>0</v>
      </c>
      <c r="Q65" s="98"/>
    </row>
    <row r="66" spans="2:17" ht="38.25" x14ac:dyDescent="0.2">
      <c r="B66" s="96"/>
      <c r="C66" s="96" t="s">
        <v>23</v>
      </c>
      <c r="D66" s="96">
        <v>64652</v>
      </c>
      <c r="E66" s="96" t="s">
        <v>26</v>
      </c>
      <c r="F66" s="96" t="s">
        <v>16</v>
      </c>
      <c r="G66" s="96" t="s">
        <v>16</v>
      </c>
      <c r="H66" s="97">
        <v>36557</v>
      </c>
      <c r="I66" s="97">
        <v>36769</v>
      </c>
      <c r="J66" s="96">
        <v>26151</v>
      </c>
      <c r="K66" s="96">
        <v>65</v>
      </c>
      <c r="L66" s="96">
        <v>0</v>
      </c>
      <c r="M66" s="96">
        <v>65</v>
      </c>
      <c r="N66" s="96">
        <v>0</v>
      </c>
      <c r="O66" s="96">
        <v>0</v>
      </c>
      <c r="P66" s="96">
        <v>0</v>
      </c>
      <c r="Q66" s="96" t="s">
        <v>16</v>
      </c>
    </row>
    <row r="67" spans="2:17" ht="38.25" x14ac:dyDescent="0.2">
      <c r="B67" s="98"/>
      <c r="C67" s="98" t="s">
        <v>23</v>
      </c>
      <c r="D67" s="98">
        <v>64863</v>
      </c>
      <c r="E67" s="98" t="s">
        <v>26</v>
      </c>
      <c r="F67" s="98" t="s">
        <v>16</v>
      </c>
      <c r="G67" s="98" t="s">
        <v>16</v>
      </c>
      <c r="H67" s="99">
        <v>36557</v>
      </c>
      <c r="I67" s="99">
        <v>36799</v>
      </c>
      <c r="J67" s="98">
        <v>26504</v>
      </c>
      <c r="K67" s="98">
        <v>13</v>
      </c>
      <c r="L67" s="98">
        <v>0</v>
      </c>
      <c r="M67" s="98">
        <v>13</v>
      </c>
      <c r="N67" s="98">
        <v>0</v>
      </c>
      <c r="O67" s="98">
        <v>0</v>
      </c>
      <c r="P67" s="98">
        <v>0</v>
      </c>
      <c r="Q67" s="98" t="s">
        <v>16</v>
      </c>
    </row>
    <row r="68" spans="2:17" ht="38.25" x14ac:dyDescent="0.2">
      <c r="B68" s="96"/>
      <c r="C68" s="96" t="s">
        <v>23</v>
      </c>
      <c r="D68" s="96">
        <v>64937</v>
      </c>
      <c r="E68" s="96" t="s">
        <v>24</v>
      </c>
      <c r="F68" s="96" t="s">
        <v>16</v>
      </c>
      <c r="G68" s="96" t="s">
        <v>16</v>
      </c>
      <c r="H68" s="97">
        <v>36434</v>
      </c>
      <c r="I68" s="96" t="s">
        <v>16</v>
      </c>
      <c r="J68" s="96" t="s">
        <v>16</v>
      </c>
      <c r="K68" s="101">
        <v>10000</v>
      </c>
      <c r="L68" s="96">
        <v>0</v>
      </c>
      <c r="M68" s="101">
        <v>10000</v>
      </c>
      <c r="N68" s="96">
        <v>0</v>
      </c>
      <c r="O68" s="96">
        <v>0</v>
      </c>
      <c r="P68" s="96">
        <v>0</v>
      </c>
      <c r="Q68" s="96" t="s">
        <v>16</v>
      </c>
    </row>
    <row r="69" spans="2:17" ht="38.25" x14ac:dyDescent="0.2">
      <c r="B69" s="98"/>
      <c r="C69" s="98" t="s">
        <v>23</v>
      </c>
      <c r="D69" s="98">
        <v>65027</v>
      </c>
      <c r="E69" s="98" t="s">
        <v>26</v>
      </c>
      <c r="F69" s="98" t="s">
        <v>16</v>
      </c>
      <c r="G69" s="98" t="s">
        <v>16</v>
      </c>
      <c r="H69" s="99">
        <v>36557</v>
      </c>
      <c r="I69" s="99">
        <v>36830</v>
      </c>
      <c r="J69" s="98">
        <v>26727</v>
      </c>
      <c r="K69" s="98">
        <v>131</v>
      </c>
      <c r="L69" s="98">
        <v>0</v>
      </c>
      <c r="M69" s="98">
        <v>131</v>
      </c>
      <c r="N69" s="98">
        <v>0</v>
      </c>
      <c r="O69" s="98">
        <v>0</v>
      </c>
      <c r="P69" s="98">
        <v>0</v>
      </c>
      <c r="Q69" s="98" t="s">
        <v>16</v>
      </c>
    </row>
    <row r="70" spans="2:17" ht="38.25" x14ac:dyDescent="0.2">
      <c r="B70" s="96"/>
      <c r="C70" s="96" t="s">
        <v>23</v>
      </c>
      <c r="D70" s="96">
        <v>65072</v>
      </c>
      <c r="E70" s="96" t="s">
        <v>26</v>
      </c>
      <c r="F70" s="96" t="s">
        <v>16</v>
      </c>
      <c r="G70" s="96" t="s">
        <v>16</v>
      </c>
      <c r="H70" s="97">
        <v>36617</v>
      </c>
      <c r="I70" s="97">
        <v>36830</v>
      </c>
      <c r="J70" s="96">
        <v>26785</v>
      </c>
      <c r="K70" s="101">
        <v>7391</v>
      </c>
      <c r="L70" s="96">
        <v>0</v>
      </c>
      <c r="M70" s="101">
        <v>6987</v>
      </c>
      <c r="N70" s="96">
        <v>404</v>
      </c>
      <c r="O70" s="96">
        <v>0</v>
      </c>
      <c r="P70" s="96">
        <v>0</v>
      </c>
      <c r="Q70" s="96" t="s">
        <v>16</v>
      </c>
    </row>
    <row r="71" spans="2:17" ht="38.25" x14ac:dyDescent="0.2">
      <c r="B71" s="98"/>
      <c r="C71" s="98" t="s">
        <v>23</v>
      </c>
      <c r="D71" s="98">
        <v>65557</v>
      </c>
      <c r="E71" s="98" t="s">
        <v>26</v>
      </c>
      <c r="F71" s="98" t="s">
        <v>16</v>
      </c>
      <c r="G71" s="98" t="s">
        <v>16</v>
      </c>
      <c r="H71" s="99">
        <v>36557</v>
      </c>
      <c r="I71" s="99">
        <v>36860</v>
      </c>
      <c r="J71" s="98">
        <v>27128</v>
      </c>
      <c r="K71" s="98">
        <v>3</v>
      </c>
      <c r="L71" s="98">
        <v>0</v>
      </c>
      <c r="M71" s="98">
        <v>3</v>
      </c>
      <c r="N71" s="98">
        <v>0</v>
      </c>
      <c r="O71" s="98">
        <v>0</v>
      </c>
      <c r="P71" s="98">
        <v>0</v>
      </c>
      <c r="Q71" s="98" t="s">
        <v>16</v>
      </c>
    </row>
    <row r="72" spans="2:17" ht="38.25" x14ac:dyDescent="0.2">
      <c r="B72" s="96"/>
      <c r="C72" s="96" t="s">
        <v>23</v>
      </c>
      <c r="D72" s="96">
        <v>66283</v>
      </c>
      <c r="E72" s="96" t="s">
        <v>26</v>
      </c>
      <c r="F72" s="96" t="s">
        <v>16</v>
      </c>
      <c r="G72" s="96" t="s">
        <v>16</v>
      </c>
      <c r="H72" s="97">
        <v>36557</v>
      </c>
      <c r="I72" s="97">
        <v>36922</v>
      </c>
      <c r="J72" s="96">
        <v>27775</v>
      </c>
      <c r="K72" s="96">
        <v>5</v>
      </c>
      <c r="L72" s="96">
        <v>0</v>
      </c>
      <c r="M72" s="96">
        <v>5</v>
      </c>
      <c r="N72" s="96">
        <v>0</v>
      </c>
      <c r="O72" s="96">
        <v>0</v>
      </c>
      <c r="P72" s="96">
        <v>0</v>
      </c>
      <c r="Q72" s="96" t="s">
        <v>16</v>
      </c>
    </row>
    <row r="73" spans="2:17" ht="38.25" x14ac:dyDescent="0.2">
      <c r="B73" s="98"/>
      <c r="C73" s="98" t="s">
        <v>23</v>
      </c>
      <c r="D73" s="98">
        <v>66941</v>
      </c>
      <c r="E73" s="98" t="s">
        <v>26</v>
      </c>
      <c r="F73" s="98" t="s">
        <v>16</v>
      </c>
      <c r="G73" s="98" t="s">
        <v>16</v>
      </c>
      <c r="H73" s="99">
        <v>36617</v>
      </c>
      <c r="I73" s="99">
        <v>36981</v>
      </c>
      <c r="J73" s="98">
        <v>28330</v>
      </c>
      <c r="K73" s="98">
        <v>53</v>
      </c>
      <c r="L73" s="98">
        <v>0</v>
      </c>
      <c r="M73" s="98">
        <v>53</v>
      </c>
      <c r="N73" s="98">
        <v>0</v>
      </c>
      <c r="O73" s="98">
        <v>0</v>
      </c>
      <c r="P73" s="98">
        <v>0</v>
      </c>
      <c r="Q73" s="98" t="s">
        <v>16</v>
      </c>
    </row>
    <row r="74" spans="2:17" ht="38.25" x14ac:dyDescent="0.2">
      <c r="B74" s="96"/>
      <c r="C74" s="96" t="s">
        <v>23</v>
      </c>
      <c r="D74" s="96">
        <v>66973</v>
      </c>
      <c r="E74" s="96" t="s">
        <v>24</v>
      </c>
      <c r="F74" s="96" t="s">
        <v>16</v>
      </c>
      <c r="G74" s="96" t="s">
        <v>16</v>
      </c>
      <c r="H74" s="97">
        <v>36678</v>
      </c>
      <c r="I74" s="97">
        <v>36981</v>
      </c>
      <c r="J74" s="96" t="s">
        <v>16</v>
      </c>
      <c r="K74" s="101">
        <v>10000</v>
      </c>
      <c r="L74" s="96">
        <v>0</v>
      </c>
      <c r="M74" s="101">
        <v>10000</v>
      </c>
      <c r="N74" s="96">
        <v>0</v>
      </c>
      <c r="O74" s="96">
        <v>0</v>
      </c>
      <c r="P74" s="96">
        <v>0</v>
      </c>
      <c r="Q74" s="96" t="s">
        <v>16</v>
      </c>
    </row>
    <row r="75" spans="2:17" ht="38.25" x14ac:dyDescent="0.2">
      <c r="B75" s="98"/>
      <c r="C75" s="98" t="s">
        <v>23</v>
      </c>
      <c r="D75" s="98">
        <v>68281</v>
      </c>
      <c r="E75" s="98" t="s">
        <v>26</v>
      </c>
      <c r="F75" s="98" t="s">
        <v>16</v>
      </c>
      <c r="G75" s="98" t="s">
        <v>16</v>
      </c>
      <c r="H75" s="99">
        <v>36647</v>
      </c>
      <c r="I75" s="99">
        <v>37011</v>
      </c>
      <c r="J75" s="98">
        <v>28632</v>
      </c>
      <c r="K75" s="98">
        <v>21</v>
      </c>
      <c r="L75" s="98">
        <v>0</v>
      </c>
      <c r="M75" s="98">
        <v>21</v>
      </c>
      <c r="N75" s="98">
        <v>0</v>
      </c>
      <c r="O75" s="98">
        <v>0</v>
      </c>
      <c r="P75" s="98">
        <v>0</v>
      </c>
      <c r="Q75" s="98"/>
    </row>
    <row r="76" spans="2:17" ht="38.25" x14ac:dyDescent="0.2">
      <c r="B76" s="96"/>
      <c r="C76" s="96" t="s">
        <v>23</v>
      </c>
      <c r="D76" s="96">
        <v>68309</v>
      </c>
      <c r="E76" s="96" t="s">
        <v>26</v>
      </c>
      <c r="F76" s="96" t="s">
        <v>16</v>
      </c>
      <c r="G76" s="96" t="s">
        <v>16</v>
      </c>
      <c r="H76" s="97">
        <v>36656</v>
      </c>
      <c r="I76" s="97">
        <v>36950</v>
      </c>
      <c r="J76" s="96">
        <v>28865</v>
      </c>
      <c r="K76" s="96">
        <v>9</v>
      </c>
      <c r="L76" s="96">
        <v>0</v>
      </c>
      <c r="M76" s="96">
        <v>9</v>
      </c>
      <c r="N76" s="96">
        <v>0</v>
      </c>
      <c r="O76" s="96">
        <v>0</v>
      </c>
      <c r="P76" s="96">
        <v>0</v>
      </c>
      <c r="Q76" s="96" t="s">
        <v>16</v>
      </c>
    </row>
    <row r="77" spans="2:17" ht="38.25" x14ac:dyDescent="0.2">
      <c r="B77" s="98"/>
      <c r="C77" s="98" t="s">
        <v>23</v>
      </c>
      <c r="D77" s="98">
        <v>68360</v>
      </c>
      <c r="E77" s="98" t="s">
        <v>26</v>
      </c>
      <c r="F77" s="98" t="s">
        <v>16</v>
      </c>
      <c r="G77" s="98" t="s">
        <v>16</v>
      </c>
      <c r="H77" s="99">
        <v>36678</v>
      </c>
      <c r="I77" s="99">
        <v>37042</v>
      </c>
      <c r="J77" s="98">
        <v>28934</v>
      </c>
      <c r="K77" s="98">
        <v>291</v>
      </c>
      <c r="L77" s="98">
        <v>0</v>
      </c>
      <c r="M77" s="98">
        <v>291</v>
      </c>
      <c r="N77" s="98">
        <v>0</v>
      </c>
      <c r="O77" s="98">
        <v>0</v>
      </c>
      <c r="P77" s="98">
        <v>0</v>
      </c>
      <c r="Q77" s="98" t="s">
        <v>16</v>
      </c>
    </row>
    <row r="78" spans="2:17" ht="38.25" x14ac:dyDescent="0.2">
      <c r="B78" s="96"/>
      <c r="C78" s="96" t="s">
        <v>23</v>
      </c>
      <c r="D78" s="96">
        <v>68385</v>
      </c>
      <c r="E78" s="96" t="s">
        <v>26</v>
      </c>
      <c r="F78" s="96" t="s">
        <v>16</v>
      </c>
      <c r="G78" s="96" t="s">
        <v>16</v>
      </c>
      <c r="H78" s="97">
        <v>36678</v>
      </c>
      <c r="I78" s="97">
        <v>37042</v>
      </c>
      <c r="J78" s="96">
        <v>28963</v>
      </c>
      <c r="K78" s="96">
        <v>223</v>
      </c>
      <c r="L78" s="96">
        <v>0</v>
      </c>
      <c r="M78" s="96">
        <v>223</v>
      </c>
      <c r="N78" s="96">
        <v>0</v>
      </c>
      <c r="O78" s="96">
        <v>0</v>
      </c>
      <c r="P78" s="96">
        <v>0</v>
      </c>
      <c r="Q78" s="96" t="s">
        <v>16</v>
      </c>
    </row>
  </sheetData>
  <pageMargins left="0.75" right="0.75" top="1" bottom="1" header="0.5" footer="0.5"/>
  <pageSetup scale="5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Pricing Notes</vt:lpstr>
      <vt:lpstr>CGAS</vt:lpstr>
      <vt:lpstr>Pricing</vt:lpstr>
      <vt:lpstr>CES Retail East</vt:lpstr>
      <vt:lpstr>CES Retail Mrkt</vt:lpstr>
      <vt:lpstr>Sheet1</vt:lpstr>
      <vt:lpstr>Sheet2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2000-07-10T18:35:53Z</cp:lastPrinted>
  <dcterms:created xsi:type="dcterms:W3CDTF">1998-07-21T12:15:25Z</dcterms:created>
  <dcterms:modified xsi:type="dcterms:W3CDTF">2023-09-14T19:16:01Z</dcterms:modified>
</cp:coreProperties>
</file>