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BB7929-6E05-40F2-93EA-8F30D998F2F7}" xr6:coauthVersionLast="47" xr6:coauthVersionMax="47" xr10:uidLastSave="{00000000-0000-0000-0000-000000000000}"/>
  <bookViews>
    <workbookView xWindow="-120" yWindow="-120" windowWidth="38640" windowHeight="15720" activeTab="2"/>
  </bookViews>
  <sheets>
    <sheet name="to Andy Ring" sheetId="2" r:id="rId1"/>
    <sheet name="to CGULF Pipeline" sheetId="1" r:id="rId2"/>
    <sheet name="wacog" sheetId="4" r:id="rId3"/>
  </sheets>
  <definedNames>
    <definedName name="_xlnm.Print_Area" localSheetId="1">'to CGULF Pipeline'!$A$1:$H$50</definedName>
    <definedName name="_xlnm.Print_Area" localSheetId="2">wacog!$A$1:$O$43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C26" i="2"/>
  <c r="B12" i="1"/>
  <c r="E12" i="1"/>
  <c r="F12" i="1"/>
  <c r="B13" i="1"/>
  <c r="E13" i="1"/>
  <c r="F13" i="1"/>
  <c r="B14" i="1"/>
  <c r="E14" i="1"/>
  <c r="F14" i="1"/>
  <c r="B15" i="1"/>
  <c r="E15" i="1"/>
  <c r="F15" i="1"/>
  <c r="B28" i="1"/>
  <c r="D28" i="1"/>
  <c r="B29" i="1"/>
  <c r="D29" i="1"/>
  <c r="B30" i="1"/>
  <c r="D30" i="1"/>
  <c r="D31" i="1"/>
  <c r="B33" i="1"/>
  <c r="D33" i="1"/>
  <c r="B34" i="1"/>
  <c r="D34" i="1"/>
  <c r="B35" i="1"/>
  <c r="D35" i="1"/>
  <c r="D36" i="1"/>
  <c r="B38" i="1"/>
  <c r="D38" i="1"/>
  <c r="B39" i="1"/>
  <c r="D39" i="1"/>
  <c r="B40" i="1"/>
  <c r="D40" i="1"/>
  <c r="D41" i="1"/>
  <c r="G47" i="1"/>
  <c r="C9" i="4"/>
  <c r="E9" i="4"/>
  <c r="F9" i="4"/>
  <c r="G9" i="4"/>
  <c r="J9" i="4"/>
  <c r="L9" i="4"/>
  <c r="N9" i="4"/>
  <c r="O9" i="4"/>
  <c r="C10" i="4"/>
  <c r="E10" i="4"/>
  <c r="F10" i="4"/>
  <c r="G10" i="4"/>
  <c r="J10" i="4"/>
  <c r="L10" i="4"/>
  <c r="N10" i="4"/>
  <c r="O10" i="4"/>
  <c r="C11" i="4"/>
  <c r="E11" i="4"/>
  <c r="F11" i="4"/>
  <c r="G11" i="4"/>
  <c r="J11" i="4"/>
  <c r="L11" i="4"/>
  <c r="N11" i="4"/>
  <c r="O11" i="4"/>
  <c r="C12" i="4"/>
  <c r="E12" i="4"/>
  <c r="F12" i="4"/>
  <c r="G12" i="4"/>
  <c r="J12" i="4"/>
  <c r="L12" i="4"/>
  <c r="N12" i="4"/>
  <c r="O12" i="4"/>
  <c r="C13" i="4"/>
  <c r="E13" i="4"/>
  <c r="F13" i="4"/>
  <c r="G13" i="4"/>
  <c r="J13" i="4"/>
  <c r="L13" i="4"/>
  <c r="N13" i="4"/>
  <c r="O13" i="4"/>
  <c r="C14" i="4"/>
  <c r="E14" i="4"/>
  <c r="F14" i="4"/>
  <c r="G14" i="4"/>
  <c r="J14" i="4"/>
  <c r="L14" i="4"/>
  <c r="N14" i="4"/>
  <c r="O14" i="4"/>
  <c r="C15" i="4"/>
  <c r="E15" i="4"/>
  <c r="F15" i="4"/>
  <c r="G15" i="4"/>
  <c r="J15" i="4"/>
  <c r="L15" i="4"/>
  <c r="N15" i="4"/>
  <c r="O15" i="4"/>
  <c r="C16" i="4"/>
  <c r="E16" i="4"/>
  <c r="F16" i="4"/>
  <c r="G16" i="4"/>
  <c r="J16" i="4"/>
  <c r="L16" i="4"/>
  <c r="N16" i="4"/>
  <c r="O16" i="4"/>
  <c r="C17" i="4"/>
  <c r="E17" i="4"/>
  <c r="F17" i="4"/>
  <c r="G17" i="4"/>
  <c r="J17" i="4"/>
  <c r="L17" i="4"/>
  <c r="N17" i="4"/>
  <c r="O17" i="4"/>
  <c r="C18" i="4"/>
  <c r="E18" i="4"/>
  <c r="F18" i="4"/>
  <c r="G18" i="4"/>
  <c r="J18" i="4"/>
  <c r="L18" i="4"/>
  <c r="N18" i="4"/>
  <c r="O18" i="4"/>
  <c r="C19" i="4"/>
  <c r="E19" i="4"/>
  <c r="F19" i="4"/>
  <c r="G19" i="4"/>
  <c r="L19" i="4"/>
  <c r="N19" i="4"/>
  <c r="O19" i="4"/>
  <c r="C20" i="4"/>
  <c r="E20" i="4"/>
  <c r="F20" i="4"/>
  <c r="G20" i="4"/>
  <c r="L20" i="4"/>
  <c r="N20" i="4"/>
  <c r="O20" i="4"/>
  <c r="C21" i="4"/>
  <c r="E21" i="4"/>
  <c r="F21" i="4"/>
  <c r="G21" i="4"/>
  <c r="L21" i="4"/>
  <c r="N21" i="4"/>
  <c r="O21" i="4"/>
  <c r="C22" i="4"/>
  <c r="E22" i="4"/>
  <c r="F22" i="4"/>
  <c r="G22" i="4"/>
  <c r="L22" i="4"/>
  <c r="N22" i="4"/>
  <c r="O22" i="4"/>
  <c r="C23" i="4"/>
  <c r="E23" i="4"/>
  <c r="F23" i="4"/>
  <c r="G23" i="4"/>
  <c r="J23" i="4"/>
  <c r="L23" i="4"/>
  <c r="N23" i="4"/>
  <c r="O23" i="4"/>
  <c r="C24" i="4"/>
  <c r="E24" i="4"/>
  <c r="F24" i="4"/>
  <c r="G24" i="4"/>
  <c r="L24" i="4"/>
  <c r="N24" i="4"/>
  <c r="O24" i="4"/>
  <c r="C25" i="4"/>
  <c r="E25" i="4"/>
  <c r="F25" i="4"/>
  <c r="G25" i="4"/>
  <c r="J25" i="4"/>
  <c r="L25" i="4"/>
  <c r="N25" i="4"/>
  <c r="O25" i="4"/>
  <c r="C26" i="4"/>
  <c r="E26" i="4"/>
  <c r="F26" i="4"/>
  <c r="G26" i="4"/>
  <c r="J26" i="4"/>
  <c r="L26" i="4"/>
  <c r="N26" i="4"/>
  <c r="O26" i="4"/>
  <c r="C27" i="4"/>
  <c r="E27" i="4"/>
  <c r="F27" i="4"/>
  <c r="G27" i="4"/>
  <c r="J27" i="4"/>
  <c r="L27" i="4"/>
  <c r="N27" i="4"/>
  <c r="O27" i="4"/>
  <c r="C28" i="4"/>
  <c r="E28" i="4"/>
  <c r="F28" i="4"/>
  <c r="G28" i="4"/>
  <c r="J28" i="4"/>
  <c r="L28" i="4"/>
  <c r="N28" i="4"/>
  <c r="O28" i="4"/>
  <c r="C29" i="4"/>
  <c r="E29" i="4"/>
  <c r="F29" i="4"/>
  <c r="G29" i="4"/>
  <c r="J29" i="4"/>
  <c r="L29" i="4"/>
  <c r="N29" i="4"/>
  <c r="O29" i="4"/>
  <c r="C30" i="4"/>
  <c r="E30" i="4"/>
  <c r="F30" i="4"/>
  <c r="G30" i="4"/>
  <c r="J30" i="4"/>
  <c r="L30" i="4"/>
  <c r="N30" i="4"/>
  <c r="O30" i="4"/>
  <c r="C31" i="4"/>
  <c r="E31" i="4"/>
  <c r="F31" i="4"/>
  <c r="G31" i="4"/>
  <c r="J31" i="4"/>
  <c r="L31" i="4"/>
  <c r="N31" i="4"/>
  <c r="O31" i="4"/>
  <c r="C32" i="4"/>
  <c r="E32" i="4"/>
  <c r="F32" i="4"/>
  <c r="G32" i="4"/>
  <c r="J32" i="4"/>
  <c r="L32" i="4"/>
  <c r="N32" i="4"/>
  <c r="O32" i="4"/>
  <c r="C33" i="4"/>
  <c r="E33" i="4"/>
  <c r="F33" i="4"/>
  <c r="G33" i="4"/>
  <c r="K33" i="4"/>
  <c r="L33" i="4"/>
  <c r="N33" i="4"/>
  <c r="O33" i="4"/>
  <c r="C34" i="4"/>
  <c r="E34" i="4"/>
  <c r="F34" i="4"/>
  <c r="G34" i="4"/>
  <c r="J34" i="4"/>
  <c r="L34" i="4"/>
  <c r="N34" i="4"/>
  <c r="O34" i="4"/>
  <c r="C35" i="4"/>
  <c r="E35" i="4"/>
  <c r="F35" i="4"/>
  <c r="G35" i="4"/>
  <c r="J35" i="4"/>
  <c r="L35" i="4"/>
  <c r="N35" i="4"/>
  <c r="O35" i="4"/>
  <c r="C36" i="4"/>
  <c r="E36" i="4"/>
  <c r="F36" i="4"/>
  <c r="G36" i="4"/>
  <c r="L36" i="4"/>
  <c r="N36" i="4"/>
  <c r="O36" i="4"/>
  <c r="C37" i="4"/>
  <c r="E37" i="4"/>
  <c r="F37" i="4"/>
  <c r="G37" i="4"/>
  <c r="L37" i="4"/>
  <c r="N37" i="4"/>
  <c r="O37" i="4"/>
  <c r="C38" i="4"/>
  <c r="E38" i="4"/>
  <c r="F38" i="4"/>
  <c r="G38" i="4"/>
  <c r="J38" i="4"/>
  <c r="L38" i="4"/>
  <c r="N38" i="4"/>
  <c r="O38" i="4"/>
  <c r="C39" i="4"/>
  <c r="E39" i="4"/>
  <c r="F39" i="4"/>
  <c r="G39" i="4"/>
  <c r="J39" i="4"/>
  <c r="L39" i="4"/>
  <c r="N39" i="4"/>
  <c r="O39" i="4"/>
  <c r="B41" i="4"/>
  <c r="C41" i="4"/>
  <c r="D41" i="4"/>
  <c r="E41" i="4"/>
  <c r="F41" i="4"/>
  <c r="J41" i="4"/>
  <c r="L41" i="4"/>
  <c r="N41" i="4"/>
  <c r="O41" i="4"/>
</calcChain>
</file>

<file path=xl/sharedStrings.xml><?xml version="1.0" encoding="utf-8"?>
<sst xmlns="http://schemas.openxmlformats.org/spreadsheetml/2006/main" count="95" uniqueCount="71">
  <si>
    <t>ENRON POWER MARKETING INC.</t>
  </si>
  <si>
    <t>DATE</t>
  </si>
  <si>
    <t>TOTAL EST</t>
  </si>
  <si>
    <t>FLOW HRS</t>
  </si>
  <si>
    <t>QUANTITY</t>
  </si>
  <si>
    <t xml:space="preserve">ESTIMATED </t>
  </si>
  <si>
    <t>HRLY RATE</t>
  </si>
  <si>
    <t>MMMBTU/HOUR</t>
  </si>
  <si>
    <t>ESTIMATED</t>
  </si>
  <si>
    <t>TOTAL FLOW</t>
  </si>
  <si>
    <t>GAS NOMINATIONS</t>
  </si>
  <si>
    <t>GAS</t>
  </si>
  <si>
    <t>NOMINATED</t>
  </si>
  <si>
    <t>REQUIREMENT</t>
  </si>
  <si>
    <t>LONG / SHORT</t>
  </si>
  <si>
    <t>PROJECTED BURN RATES</t>
  </si>
  <si>
    <t>GAS FLOW ESTIMATES</t>
  </si>
  <si>
    <t>713-853-7898  office</t>
  </si>
  <si>
    <t>800-507-0571  pager</t>
  </si>
  <si>
    <t>DATE / TIME</t>
  </si>
  <si>
    <t>ESTIMATE / mmbtu/day</t>
  </si>
  <si>
    <t>NEW ALBANY</t>
  </si>
  <si>
    <t>NEW ALBANY -  COLUMBIA GULF</t>
  </si>
  <si>
    <t>SITARA # :</t>
  </si>
  <si>
    <t>EPMI POOL:</t>
  </si>
  <si>
    <t>FTS1 K#  6/1:</t>
  </si>
  <si>
    <t>ITS1 K#</t>
  </si>
  <si>
    <t>DATE/TIME:</t>
  </si>
  <si>
    <t>GAS VOLUMES</t>
  </si>
  <si>
    <t>RECEIPTS</t>
  </si>
  <si>
    <t>DELIVERIES</t>
  </si>
  <si>
    <t>BURN</t>
  </si>
  <si>
    <t>OVER/</t>
  </si>
  <si>
    <t>UNDER</t>
  </si>
  <si>
    <t>SUPPLY</t>
  </si>
  <si>
    <t>BALANCE</t>
  </si>
  <si>
    <t>GAS COSTS $</t>
  </si>
  <si>
    <t>ONSH GD</t>
  </si>
  <si>
    <t>@ +.065</t>
  </si>
  <si>
    <t>NEGOTIATED</t>
  </si>
  <si>
    <t>TTL DAILY</t>
  </si>
  <si>
    <t>PURCH</t>
  </si>
  <si>
    <t>TOTALS</t>
  </si>
  <si>
    <t xml:space="preserve">      BOLD DATE = PIPELINE ACTUALS</t>
  </si>
  <si>
    <t>ESTIMATE</t>
  </si>
  <si>
    <t xml:space="preserve"> BALANCE </t>
  </si>
  <si>
    <t>6:00am - 9:00am</t>
  </si>
  <si>
    <t>East Desk Purchases</t>
  </si>
  <si>
    <t>Fuel</t>
  </si>
  <si>
    <t xml:space="preserve"> </t>
  </si>
  <si>
    <t>Jason Crawford</t>
  </si>
  <si>
    <t xml:space="preserve">      CONTACT:    Jim Homco</t>
  </si>
  <si>
    <t>713-853-3309  office</t>
  </si>
  <si>
    <t>800-928-6914  pager</t>
  </si>
  <si>
    <t xml:space="preserve">  </t>
  </si>
  <si>
    <t>Navigator</t>
  </si>
  <si>
    <t>9:00am - 11:00am</t>
  </si>
  <si>
    <t>Power Control Room (24 hr)</t>
  </si>
  <si>
    <t>877-294-3900</t>
  </si>
  <si>
    <t>TOTAL PURCHASES</t>
  </si>
  <si>
    <t>BURN * GDA</t>
  </si>
  <si>
    <t>TAX RATE - 1.5%</t>
  </si>
  <si>
    <t>12:00pm - :00pm</t>
  </si>
  <si>
    <t>12:00pm - 2:00pm</t>
  </si>
  <si>
    <t>7:00pm - 10:00pm</t>
  </si>
  <si>
    <t>9:00am - 10:00pm</t>
  </si>
  <si>
    <t>5%   =</t>
  </si>
  <si>
    <t>10:00am - 2:00pm</t>
  </si>
  <si>
    <t>NEW ALBANY  - March  2001</t>
  </si>
  <si>
    <t xml:space="preserve"> 3/12/2001</t>
  </si>
  <si>
    <t>a) 3/13/2001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</si>
</sst>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"/>
    <numFmt numFmtId="176" formatCode="0.000"/>
    <numFmt numFmtId="181" formatCode="0.000%"/>
    <numFmt numFmtId="185" formatCode="0_);[Red]\(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22" fontId="0" fillId="0" borderId="0" xfId="0" applyNumberFormat="1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3" fillId="0" borderId="0" xfId="0" applyNumberFormat="1" applyFont="1"/>
    <xf numFmtId="3" fontId="3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Border="1"/>
    <xf numFmtId="0" fontId="0" fillId="0" borderId="2" xfId="0" applyBorder="1"/>
    <xf numFmtId="0" fontId="5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0" fontId="0" fillId="0" borderId="0" xfId="2" applyNumberFormat="1" applyFont="1" applyBorder="1"/>
    <xf numFmtId="3" fontId="4" fillId="0" borderId="0" xfId="0" applyNumberFormat="1" applyFont="1" applyAlignment="1">
      <alignment horizontal="center"/>
    </xf>
    <xf numFmtId="176" fontId="0" fillId="0" borderId="0" xfId="0" applyNumberFormat="1"/>
    <xf numFmtId="168" fontId="0" fillId="0" borderId="0" xfId="1" applyNumberFormat="1" applyFont="1" applyBorder="1"/>
    <xf numFmtId="16" fontId="2" fillId="0" borderId="0" xfId="0" quotePrefix="1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3" xfId="1" applyNumberFormat="1" applyFont="1" applyBorder="1" applyAlignment="1">
      <alignment horizontal="center"/>
    </xf>
    <xf numFmtId="0" fontId="4" fillId="0" borderId="0" xfId="0" applyFont="1"/>
    <xf numFmtId="176" fontId="0" fillId="2" borderId="4" xfId="0" applyNumberFormat="1" applyFill="1" applyBorder="1"/>
    <xf numFmtId="170" fontId="0" fillId="2" borderId="4" xfId="2" applyNumberFormat="1" applyFont="1" applyFill="1" applyBorder="1"/>
    <xf numFmtId="176" fontId="0" fillId="0" borderId="4" xfId="0" applyNumberFormat="1" applyBorder="1"/>
    <xf numFmtId="170" fontId="0" fillId="0" borderId="4" xfId="2" applyNumberFormat="1" applyFont="1" applyBorder="1"/>
    <xf numFmtId="0" fontId="0" fillId="0" borderId="5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2" borderId="0" xfId="0" applyFill="1" applyBorder="1"/>
    <xf numFmtId="16" fontId="0" fillId="0" borderId="1" xfId="0" applyNumberFormat="1" applyBorder="1"/>
    <xf numFmtId="168" fontId="2" fillId="0" borderId="6" xfId="1" applyNumberFormat="1" applyFont="1" applyBorder="1"/>
    <xf numFmtId="0" fontId="2" fillId="0" borderId="6" xfId="0" applyFont="1" applyBorder="1"/>
    <xf numFmtId="16" fontId="6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4" xfId="0" quotePrefix="1" applyFont="1" applyBorder="1" applyAlignment="1">
      <alignment horizontal="center"/>
    </xf>
    <xf numFmtId="0" fontId="2" fillId="0" borderId="14" xfId="0" applyFont="1" applyBorder="1"/>
    <xf numFmtId="0" fontId="2" fillId="0" borderId="10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181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85" fontId="0" fillId="2" borderId="4" xfId="1" applyNumberFormat="1" applyFont="1" applyFill="1" applyBorder="1"/>
    <xf numFmtId="37" fontId="0" fillId="2" borderId="4" xfId="1" applyNumberFormat="1" applyFont="1" applyFill="1" applyBorder="1"/>
    <xf numFmtId="168" fontId="0" fillId="0" borderId="13" xfId="1" applyNumberFormat="1" applyFont="1" applyBorder="1"/>
    <xf numFmtId="168" fontId="0" fillId="0" borderId="8" xfId="1" applyNumberFormat="1" applyFont="1" applyBorder="1"/>
    <xf numFmtId="175" fontId="0" fillId="0" borderId="0" xfId="1" applyNumberFormat="1" applyFont="1" applyBorder="1"/>
    <xf numFmtId="0" fontId="0" fillId="0" borderId="14" xfId="0" applyBorder="1"/>
    <xf numFmtId="0" fontId="0" fillId="0" borderId="10" xfId="0" applyBorder="1"/>
    <xf numFmtId="168" fontId="0" fillId="2" borderId="17" xfId="1" applyNumberFormat="1" applyFont="1" applyFill="1" applyBorder="1"/>
    <xf numFmtId="170" fontId="0" fillId="2" borderId="18" xfId="0" applyNumberFormat="1" applyFill="1" applyBorder="1"/>
    <xf numFmtId="168" fontId="0" fillId="0" borderId="17" xfId="1" applyNumberFormat="1" applyFont="1" applyBorder="1"/>
    <xf numFmtId="170" fontId="0" fillId="0" borderId="18" xfId="0" applyNumberFormat="1" applyBorder="1"/>
    <xf numFmtId="168" fontId="0" fillId="0" borderId="1" xfId="1" applyNumberFormat="1" applyFont="1" applyBorder="1"/>
    <xf numFmtId="168" fontId="2" fillId="0" borderId="7" xfId="1" applyNumberFormat="1" applyFont="1" applyBorder="1"/>
    <xf numFmtId="170" fontId="2" fillId="0" borderId="19" xfId="0" applyNumberFormat="1" applyFont="1" applyBorder="1"/>
    <xf numFmtId="0" fontId="7" fillId="0" borderId="0" xfId="0" applyFont="1"/>
    <xf numFmtId="0" fontId="0" fillId="0" borderId="0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168" fontId="0" fillId="3" borderId="20" xfId="1" applyNumberFormat="1" applyFont="1" applyFill="1" applyBorder="1"/>
    <xf numFmtId="37" fontId="0" fillId="3" borderId="4" xfId="1" applyNumberFormat="1" applyFont="1" applyFill="1" applyBorder="1"/>
    <xf numFmtId="0" fontId="0" fillId="3" borderId="3" xfId="0" applyFill="1" applyBorder="1"/>
    <xf numFmtId="176" fontId="0" fillId="3" borderId="21" xfId="0" applyNumberFormat="1" applyFill="1" applyBorder="1"/>
    <xf numFmtId="170" fontId="0" fillId="3" borderId="21" xfId="2" applyNumberFormat="1" applyFont="1" applyFill="1" applyBorder="1"/>
    <xf numFmtId="170" fontId="0" fillId="3" borderId="22" xfId="0" applyNumberFormat="1" applyFill="1" applyBorder="1"/>
    <xf numFmtId="168" fontId="0" fillId="3" borderId="17" xfId="1" applyNumberFormat="1" applyFont="1" applyFill="1" applyBorder="1"/>
    <xf numFmtId="185" fontId="0" fillId="3" borderId="4" xfId="1" applyNumberFormat="1" applyFont="1" applyFill="1" applyBorder="1"/>
    <xf numFmtId="0" fontId="0" fillId="3" borderId="0" xfId="0" applyFill="1" applyBorder="1"/>
    <xf numFmtId="176" fontId="0" fillId="3" borderId="4" xfId="0" applyNumberFormat="1" applyFill="1" applyBorder="1"/>
    <xf numFmtId="170" fontId="0" fillId="3" borderId="4" xfId="2" applyNumberFormat="1" applyFont="1" applyFill="1" applyBorder="1"/>
    <xf numFmtId="170" fontId="0" fillId="3" borderId="18" xfId="0" applyNumberFormat="1" applyFill="1" applyBorder="1"/>
    <xf numFmtId="168" fontId="0" fillId="4" borderId="21" xfId="1" applyNumberFormat="1" applyFont="1" applyFill="1" applyBorder="1"/>
    <xf numFmtId="0" fontId="4" fillId="0" borderId="0" xfId="0" applyFont="1" applyBorder="1" applyAlignment="1">
      <alignment horizontal="center"/>
    </xf>
    <xf numFmtId="44" fontId="0" fillId="3" borderId="21" xfId="2" applyFont="1" applyFill="1" applyBorder="1"/>
    <xf numFmtId="44" fontId="0" fillId="2" borderId="4" xfId="2" applyFont="1" applyFill="1" applyBorder="1"/>
    <xf numFmtId="44" fontId="0" fillId="3" borderId="4" xfId="2" applyFont="1" applyFill="1" applyBorder="1"/>
    <xf numFmtId="44" fontId="0" fillId="0" borderId="4" xfId="2" applyFont="1" applyBorder="1"/>
    <xf numFmtId="16" fontId="4" fillId="2" borderId="1" xfId="0" applyNumberFormat="1" applyFont="1" applyFill="1" applyBorder="1"/>
    <xf numFmtId="0" fontId="2" fillId="0" borderId="23" xfId="0" applyFont="1" applyBorder="1" applyAlignment="1">
      <alignment horizontal="center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44" fontId="0" fillId="0" borderId="25" xfId="2" applyFont="1" applyBorder="1"/>
    <xf numFmtId="44" fontId="0" fillId="0" borderId="26" xfId="0" applyNumberFormat="1" applyBorder="1"/>
    <xf numFmtId="44" fontId="2" fillId="0" borderId="27" xfId="0" applyNumberFormat="1" applyFont="1" applyBorder="1"/>
    <xf numFmtId="170" fontId="0" fillId="2" borderId="25" xfId="0" applyNumberFormat="1" applyFill="1" applyBorder="1"/>
    <xf numFmtId="170" fontId="2" fillId="0" borderId="0" xfId="0" applyNumberFormat="1" applyFont="1" applyBorder="1"/>
    <xf numFmtId="170" fontId="0" fillId="2" borderId="28" xfId="0" applyNumberFormat="1" applyFill="1" applyBorder="1"/>
    <xf numFmtId="0" fontId="2" fillId="0" borderId="29" xfId="0" applyFont="1" applyBorder="1" applyAlignment="1">
      <alignment horizontal="center"/>
    </xf>
    <xf numFmtId="44" fontId="0" fillId="0" borderId="28" xfId="2" applyFont="1" applyBorder="1"/>
    <xf numFmtId="3" fontId="0" fillId="0" borderId="0" xfId="0" applyNumberFormat="1"/>
    <xf numFmtId="3" fontId="2" fillId="0" borderId="0" xfId="0" applyNumberFormat="1" applyFont="1"/>
    <xf numFmtId="3" fontId="4" fillId="0" borderId="0" xfId="0" applyNumberFormat="1" applyFont="1" applyBorder="1" applyAlignment="1">
      <alignment horizontal="center"/>
    </xf>
    <xf numFmtId="38" fontId="0" fillId="0" borderId="0" xfId="0" applyNumberFormat="1"/>
    <xf numFmtId="38" fontId="2" fillId="0" borderId="30" xfId="0" applyNumberFormat="1" applyFont="1" applyBorder="1" applyAlignment="1">
      <alignment horizontal="center"/>
    </xf>
    <xf numFmtId="38" fontId="2" fillId="0" borderId="31" xfId="0" applyNumberFormat="1" applyFont="1" applyBorder="1" applyAlignment="1">
      <alignment horizontal="center"/>
    </xf>
    <xf numFmtId="38" fontId="2" fillId="0" borderId="31" xfId="1" applyNumberFormat="1" applyFont="1" applyBorder="1"/>
    <xf numFmtId="38" fontId="0" fillId="3" borderId="21" xfId="1" applyNumberFormat="1" applyFont="1" applyFill="1" applyBorder="1"/>
    <xf numFmtId="38" fontId="0" fillId="2" borderId="4" xfId="1" applyNumberFormat="1" applyFont="1" applyFill="1" applyBorder="1"/>
    <xf numFmtId="38" fontId="0" fillId="3" borderId="4" xfId="1" applyNumberFormat="1" applyFont="1" applyFill="1" applyBorder="1"/>
    <xf numFmtId="38" fontId="0" fillId="0" borderId="0" xfId="1" applyNumberFormat="1" applyFont="1" applyBorder="1"/>
    <xf numFmtId="38" fontId="2" fillId="0" borderId="6" xfId="1" applyNumberFormat="1" applyFont="1" applyBorder="1"/>
    <xf numFmtId="14" fontId="4" fillId="0" borderId="0" xfId="0" applyNumberFormat="1" applyFont="1"/>
    <xf numFmtId="176" fontId="2" fillId="0" borderId="32" xfId="0" applyNumberFormat="1" applyFont="1" applyBorder="1" applyAlignment="1">
      <alignment horizontal="right"/>
    </xf>
    <xf numFmtId="43" fontId="2" fillId="0" borderId="33" xfId="1" applyNumberFormat="1" applyFont="1" applyBorder="1" applyAlignment="1">
      <alignment horizontal="left"/>
    </xf>
    <xf numFmtId="16" fontId="2" fillId="0" borderId="0" xfId="0" applyNumberFormat="1" applyFont="1"/>
    <xf numFmtId="3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8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workbookViewId="0">
      <selection sqref="A1:E1"/>
    </sheetView>
  </sheetViews>
  <sheetFormatPr defaultRowHeight="12.75" x14ac:dyDescent="0.2"/>
  <cols>
    <col min="2" max="2" width="12.28515625" bestFit="1" customWidth="1"/>
    <col min="3" max="3" width="22.7109375" customWidth="1"/>
    <col min="4" max="4" width="14.42578125" customWidth="1"/>
    <col min="5" max="5" width="16" customWidth="1"/>
  </cols>
  <sheetData>
    <row r="1" spans="1:5" ht="15.75" x14ac:dyDescent="0.25">
      <c r="A1" s="125" t="s">
        <v>0</v>
      </c>
      <c r="B1" s="125"/>
      <c r="C1" s="125"/>
      <c r="D1" s="125"/>
      <c r="E1" s="125"/>
    </row>
    <row r="2" spans="1:5" ht="15.75" x14ac:dyDescent="0.25">
      <c r="A2" s="125" t="s">
        <v>15</v>
      </c>
      <c r="B2" s="125"/>
      <c r="C2" s="125"/>
      <c r="D2" s="125"/>
      <c r="E2" s="125"/>
    </row>
    <row r="3" spans="1:5" ht="15.75" x14ac:dyDescent="0.25">
      <c r="A3" s="125" t="s">
        <v>22</v>
      </c>
      <c r="B3" s="125"/>
      <c r="C3" s="125"/>
      <c r="D3" s="125"/>
      <c r="E3" s="125"/>
    </row>
    <row r="5" spans="1:5" x14ac:dyDescent="0.2">
      <c r="C5" s="4" t="s">
        <v>11</v>
      </c>
      <c r="D5" s="4"/>
    </row>
    <row r="6" spans="1:5" x14ac:dyDescent="0.2">
      <c r="A6" s="3"/>
      <c r="B6" s="3"/>
      <c r="C6" s="4" t="s">
        <v>13</v>
      </c>
      <c r="D6" s="4"/>
      <c r="E6" s="3"/>
    </row>
    <row r="7" spans="1:5" x14ac:dyDescent="0.2">
      <c r="A7" s="3"/>
      <c r="B7" s="3"/>
      <c r="C7" s="4" t="s">
        <v>20</v>
      </c>
      <c r="D7" s="4"/>
      <c r="E7" s="4"/>
    </row>
    <row r="9" spans="1:5" x14ac:dyDescent="0.2">
      <c r="B9" s="5">
        <f ca="1">NOW( )</f>
        <v>36979.594254861113</v>
      </c>
      <c r="C9" s="7">
        <v>0</v>
      </c>
    </row>
    <row r="10" spans="1:5" ht="15.75" x14ac:dyDescent="0.25">
      <c r="B10" s="11">
        <f ca="1">NOW( )+1</f>
        <v>36980.594254861113</v>
      </c>
      <c r="C10" s="12">
        <v>0</v>
      </c>
    </row>
    <row r="11" spans="1:5" x14ac:dyDescent="0.2">
      <c r="B11" s="5">
        <f ca="1">NOW( )+2</f>
        <v>36981.594254861113</v>
      </c>
      <c r="C11" s="22">
        <v>0</v>
      </c>
    </row>
    <row r="12" spans="1:5" x14ac:dyDescent="0.2">
      <c r="B12" s="5">
        <f ca="1">NOW( )+3</f>
        <v>36982.594254861113</v>
      </c>
      <c r="C12" s="22">
        <v>0</v>
      </c>
    </row>
    <row r="13" spans="1:5" x14ac:dyDescent="0.2">
      <c r="B13" s="5">
        <f ca="1">NOW( )+4</f>
        <v>36983.594254861113</v>
      </c>
      <c r="C13" s="7">
        <v>0</v>
      </c>
    </row>
    <row r="14" spans="1:5" x14ac:dyDescent="0.2">
      <c r="B14" s="5">
        <f ca="1">NOW( )+5</f>
        <v>36984.594254861113</v>
      </c>
      <c r="C14" s="7">
        <v>0</v>
      </c>
    </row>
    <row r="15" spans="1:5" x14ac:dyDescent="0.2">
      <c r="B15" s="5">
        <f ca="1">NOW( )+6</f>
        <v>36985.594254861113</v>
      </c>
      <c r="C15" s="7">
        <v>0</v>
      </c>
    </row>
    <row r="16" spans="1:5" x14ac:dyDescent="0.2">
      <c r="B16" s="5">
        <f ca="1">NOW( )+7</f>
        <v>36986.594254861113</v>
      </c>
      <c r="C16" s="7">
        <v>0</v>
      </c>
    </row>
    <row r="19" spans="2:3" x14ac:dyDescent="0.2">
      <c r="B19" t="s">
        <v>23</v>
      </c>
      <c r="C19" s="10">
        <v>75876</v>
      </c>
    </row>
    <row r="21" spans="2:3" x14ac:dyDescent="0.2">
      <c r="B21" t="s">
        <v>24</v>
      </c>
      <c r="C21" s="10"/>
    </row>
    <row r="22" spans="2:3" x14ac:dyDescent="0.2">
      <c r="B22" t="s">
        <v>26</v>
      </c>
      <c r="C22" s="10">
        <v>63186</v>
      </c>
    </row>
    <row r="23" spans="2:3" x14ac:dyDescent="0.2">
      <c r="B23" t="s">
        <v>25</v>
      </c>
      <c r="C23" s="10">
        <v>61299</v>
      </c>
    </row>
    <row r="26" spans="2:3" x14ac:dyDescent="0.2">
      <c r="B26" t="s">
        <v>27</v>
      </c>
      <c r="C26" s="6">
        <f ca="1">NOW()</f>
        <v>36979.594254861113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51"/>
  <sheetViews>
    <sheetView workbookViewId="0">
      <selection sqref="A1:H1"/>
    </sheetView>
  </sheetViews>
  <sheetFormatPr defaultRowHeight="12.75" x14ac:dyDescent="0.2"/>
  <cols>
    <col min="1" max="1" width="6.28515625" customWidth="1"/>
    <col min="2" max="2" width="9.5703125" customWidth="1"/>
    <col min="3" max="3" width="12.28515625" customWidth="1"/>
    <col min="4" max="4" width="17.140625" customWidth="1"/>
    <col min="5" max="5" width="17.85546875" customWidth="1"/>
    <col min="6" max="6" width="16.5703125" customWidth="1"/>
    <col min="7" max="7" width="15.85546875" customWidth="1"/>
    <col min="8" max="8" width="1" customWidth="1"/>
  </cols>
  <sheetData>
    <row r="1" spans="1:8" ht="15.75" x14ac:dyDescent="0.25">
      <c r="A1" s="125" t="s">
        <v>0</v>
      </c>
      <c r="B1" s="125"/>
      <c r="C1" s="125"/>
      <c r="D1" s="125"/>
      <c r="E1" s="125"/>
      <c r="F1" s="125"/>
      <c r="G1" s="125"/>
      <c r="H1" s="125"/>
    </row>
    <row r="2" spans="1:8" ht="15.75" x14ac:dyDescent="0.25">
      <c r="A2" s="125" t="s">
        <v>15</v>
      </c>
      <c r="B2" s="125"/>
      <c r="C2" s="125"/>
      <c r="D2" s="125"/>
      <c r="E2" s="125"/>
      <c r="F2" s="125"/>
      <c r="G2" s="125"/>
      <c r="H2" s="125"/>
    </row>
    <row r="3" spans="1:8" ht="18.75" x14ac:dyDescent="0.3">
      <c r="A3" s="127" t="s">
        <v>21</v>
      </c>
      <c r="B3" s="127"/>
      <c r="C3" s="127"/>
      <c r="D3" s="127"/>
      <c r="E3" s="127"/>
      <c r="F3" s="127"/>
      <c r="G3" s="127"/>
      <c r="H3" s="127"/>
    </row>
    <row r="6" spans="1:8" ht="15.75" x14ac:dyDescent="0.25">
      <c r="A6" s="125" t="s">
        <v>10</v>
      </c>
      <c r="B6" s="125"/>
      <c r="C6" s="125"/>
      <c r="D6" s="125"/>
      <c r="E6" s="125"/>
      <c r="F6" s="125"/>
      <c r="G6" s="125"/>
      <c r="H6" s="125"/>
    </row>
    <row r="8" spans="1:8" x14ac:dyDescent="0.2">
      <c r="C8" s="4" t="s">
        <v>11</v>
      </c>
      <c r="D8" s="4" t="s">
        <v>11</v>
      </c>
      <c r="E8" s="1"/>
      <c r="F8" s="1"/>
    </row>
    <row r="9" spans="1:8" x14ac:dyDescent="0.2">
      <c r="A9" s="3"/>
      <c r="B9" s="4" t="s">
        <v>1</v>
      </c>
      <c r="C9" s="4" t="s">
        <v>12</v>
      </c>
      <c r="D9" s="4" t="s">
        <v>13</v>
      </c>
      <c r="E9" s="4"/>
      <c r="F9" s="4"/>
    </row>
    <row r="10" spans="1:8" x14ac:dyDescent="0.2">
      <c r="A10" s="3"/>
      <c r="C10" s="4" t="s">
        <v>55</v>
      </c>
      <c r="D10" s="4" t="s">
        <v>44</v>
      </c>
      <c r="E10" s="4" t="s">
        <v>14</v>
      </c>
      <c r="F10" s="4" t="s">
        <v>45</v>
      </c>
    </row>
    <row r="11" spans="1:8" x14ac:dyDescent="0.2">
      <c r="C11" s="106"/>
      <c r="D11" s="106"/>
      <c r="E11" s="106"/>
      <c r="F11" s="107">
        <v>14000</v>
      </c>
    </row>
    <row r="12" spans="1:8" x14ac:dyDescent="0.2">
      <c r="B12" s="75">
        <f ca="1">NOW( )</f>
        <v>36979.594254861113</v>
      </c>
      <c r="C12" s="22">
        <v>0</v>
      </c>
      <c r="D12" s="22">
        <v>0</v>
      </c>
      <c r="E12" s="22">
        <f>C12-D12</f>
        <v>0</v>
      </c>
      <c r="F12" s="108">
        <f>E12+F11</f>
        <v>14000</v>
      </c>
    </row>
    <row r="13" spans="1:8" x14ac:dyDescent="0.2">
      <c r="B13" s="75">
        <f ca="1">NOW( )+1</f>
        <v>36980.594254861113</v>
      </c>
      <c r="C13" s="22">
        <v>4000</v>
      </c>
      <c r="D13" s="22">
        <v>2838</v>
      </c>
      <c r="E13" s="22">
        <f>C13-D13</f>
        <v>1162</v>
      </c>
      <c r="F13" s="108">
        <f>E13+F12</f>
        <v>15162</v>
      </c>
    </row>
    <row r="14" spans="1:8" x14ac:dyDescent="0.2">
      <c r="B14" s="75">
        <f ca="1">NOW( )+2</f>
        <v>36981.594254861113</v>
      </c>
      <c r="C14" s="22">
        <v>0</v>
      </c>
      <c r="D14" s="22">
        <v>0</v>
      </c>
      <c r="E14" s="22">
        <f>C14-D14</f>
        <v>0</v>
      </c>
      <c r="F14" s="108">
        <f>E14+F13</f>
        <v>15162</v>
      </c>
    </row>
    <row r="15" spans="1:8" x14ac:dyDescent="0.2">
      <c r="B15" s="75">
        <f ca="1">NOW( )+3</f>
        <v>36982.594254861113</v>
      </c>
      <c r="C15" s="22">
        <v>0</v>
      </c>
      <c r="D15" s="22">
        <v>0</v>
      </c>
      <c r="E15" s="22">
        <f>C15-D15</f>
        <v>0</v>
      </c>
      <c r="F15" s="108">
        <f>E15+F14</f>
        <v>15162</v>
      </c>
    </row>
    <row r="16" spans="1:8" x14ac:dyDescent="0.2">
      <c r="B16" s="75"/>
      <c r="C16" s="26"/>
      <c r="D16" s="26"/>
      <c r="E16" s="26"/>
      <c r="F16" s="89"/>
    </row>
    <row r="17" spans="1:8" x14ac:dyDescent="0.2">
      <c r="B17" s="75"/>
      <c r="C17" s="1"/>
      <c r="D17" s="1"/>
      <c r="E17" s="1"/>
      <c r="F17" s="74"/>
    </row>
    <row r="18" spans="1:8" x14ac:dyDescent="0.2">
      <c r="B18" s="118"/>
    </row>
    <row r="19" spans="1:8" x14ac:dyDescent="0.2">
      <c r="B19" s="5"/>
    </row>
    <row r="20" spans="1:8" x14ac:dyDescent="0.2">
      <c r="B20" s="5"/>
      <c r="C20" s="3"/>
    </row>
    <row r="21" spans="1:8" x14ac:dyDescent="0.2">
      <c r="B21" s="5"/>
      <c r="C21" s="3"/>
    </row>
    <row r="22" spans="1:8" ht="15.75" x14ac:dyDescent="0.25">
      <c r="A22" s="125" t="s">
        <v>16</v>
      </c>
      <c r="B22" s="125"/>
      <c r="C22" s="125"/>
      <c r="D22" s="125"/>
      <c r="E22" s="125"/>
      <c r="F22" s="125"/>
      <c r="G22" s="125"/>
      <c r="H22" s="125"/>
    </row>
    <row r="24" spans="1:8" x14ac:dyDescent="0.2">
      <c r="B24" s="3"/>
      <c r="C24" s="3"/>
      <c r="D24" s="4" t="s">
        <v>8</v>
      </c>
      <c r="E24" s="4" t="s">
        <v>5</v>
      </c>
      <c r="F24" s="3"/>
    </row>
    <row r="25" spans="1:8" x14ac:dyDescent="0.2">
      <c r="B25" s="3"/>
      <c r="C25" s="4" t="s">
        <v>2</v>
      </c>
      <c r="D25" s="4" t="s">
        <v>9</v>
      </c>
      <c r="E25" s="4" t="s">
        <v>6</v>
      </c>
      <c r="F25" s="4" t="s">
        <v>5</v>
      </c>
    </row>
    <row r="26" spans="1:8" x14ac:dyDescent="0.2">
      <c r="B26" s="4" t="s">
        <v>1</v>
      </c>
      <c r="C26" s="4" t="s">
        <v>3</v>
      </c>
      <c r="D26" s="4" t="s">
        <v>4</v>
      </c>
      <c r="E26" s="3" t="s">
        <v>7</v>
      </c>
      <c r="F26" s="4" t="s">
        <v>3</v>
      </c>
    </row>
    <row r="27" spans="1:8" x14ac:dyDescent="0.2">
      <c r="B27" s="4"/>
      <c r="C27" s="4"/>
      <c r="D27" s="4"/>
      <c r="E27" s="3"/>
      <c r="F27" s="4"/>
    </row>
    <row r="28" spans="1:8" ht="14.25" x14ac:dyDescent="0.2">
      <c r="B28" s="5">
        <f ca="1">NOW( )</f>
        <v>36979.594254861113</v>
      </c>
      <c r="C28" s="26">
        <v>0</v>
      </c>
      <c r="D28" s="27">
        <f>C28*E28</f>
        <v>0</v>
      </c>
      <c r="E28" s="22">
        <v>0</v>
      </c>
      <c r="F28" s="26" t="s">
        <v>67</v>
      </c>
      <c r="G28" s="73" t="s">
        <v>49</v>
      </c>
    </row>
    <row r="29" spans="1:8" x14ac:dyDescent="0.2">
      <c r="B29" s="5">
        <f ca="1">NOW( )</f>
        <v>36979.594254861113</v>
      </c>
      <c r="C29" s="26">
        <v>0</v>
      </c>
      <c r="D29" s="27">
        <f>C29*E29</f>
        <v>0</v>
      </c>
      <c r="E29" s="22">
        <v>0</v>
      </c>
      <c r="F29" s="26" t="s">
        <v>65</v>
      </c>
    </row>
    <row r="30" spans="1:8" ht="13.5" thickBot="1" x14ac:dyDescent="0.25">
      <c r="B30" s="5">
        <f ca="1">NOW( )</f>
        <v>36979.594254861113</v>
      </c>
      <c r="C30" s="26">
        <v>0</v>
      </c>
      <c r="D30" s="27">
        <f>C30*E30</f>
        <v>0</v>
      </c>
      <c r="E30" s="22">
        <v>0</v>
      </c>
      <c r="F30" s="26" t="s">
        <v>64</v>
      </c>
    </row>
    <row r="31" spans="1:8" x14ac:dyDescent="0.2">
      <c r="B31" s="5"/>
      <c r="C31" s="26"/>
      <c r="D31" s="28">
        <f>SUM(D28:D30)</f>
        <v>0</v>
      </c>
      <c r="E31" s="22"/>
      <c r="F31" s="1"/>
    </row>
    <row r="33" spans="1:7" ht="14.25" x14ac:dyDescent="0.2">
      <c r="B33" s="5">
        <f ca="1">NOW( )+1</f>
        <v>36980.594254861113</v>
      </c>
      <c r="C33" s="4">
        <v>4</v>
      </c>
      <c r="D33" s="122">
        <f>C33*E33</f>
        <v>2838</v>
      </c>
      <c r="E33" s="123">
        <v>709.5</v>
      </c>
      <c r="F33" s="4" t="s">
        <v>67</v>
      </c>
      <c r="G33" s="73" t="s">
        <v>49</v>
      </c>
    </row>
    <row r="34" spans="1:7" ht="14.25" x14ac:dyDescent="0.2">
      <c r="B34" s="5">
        <f ca="1">NOW( )+1</f>
        <v>36980.594254861113</v>
      </c>
      <c r="C34" s="26">
        <v>0</v>
      </c>
      <c r="D34" s="27">
        <f>C34*E34</f>
        <v>0</v>
      </c>
      <c r="E34" s="22">
        <v>0</v>
      </c>
      <c r="F34" s="26" t="s">
        <v>63</v>
      </c>
      <c r="G34" s="73" t="s">
        <v>49</v>
      </c>
    </row>
    <row r="35" spans="1:7" ht="13.5" thickBot="1" x14ac:dyDescent="0.25">
      <c r="B35" s="5">
        <f ca="1">NOW( )+1</f>
        <v>36980.594254861113</v>
      </c>
      <c r="C35" s="26">
        <v>0</v>
      </c>
      <c r="D35" s="27">
        <f>C35*E35</f>
        <v>0</v>
      </c>
      <c r="E35" s="22">
        <v>0</v>
      </c>
      <c r="F35" s="1" t="s">
        <v>62</v>
      </c>
    </row>
    <row r="36" spans="1:7" x14ac:dyDescent="0.2">
      <c r="B36" s="5"/>
      <c r="C36" s="26"/>
      <c r="D36" s="28">
        <f>SUM(D33:D35)</f>
        <v>2838</v>
      </c>
      <c r="E36" s="22"/>
      <c r="F36" s="1"/>
    </row>
    <row r="37" spans="1:7" x14ac:dyDescent="0.2">
      <c r="B37" s="5"/>
      <c r="C37" s="26"/>
      <c r="D37" s="27"/>
      <c r="E37" s="22"/>
      <c r="F37" s="1"/>
    </row>
    <row r="38" spans="1:7" ht="14.25" x14ac:dyDescent="0.2">
      <c r="B38" s="5">
        <f ca="1">NOW( )+2</f>
        <v>36981.594254861113</v>
      </c>
      <c r="C38" s="26">
        <v>0</v>
      </c>
      <c r="D38" s="27">
        <f>C38*E38</f>
        <v>0</v>
      </c>
      <c r="E38" s="22">
        <v>0</v>
      </c>
      <c r="F38" s="26" t="s">
        <v>56</v>
      </c>
      <c r="G38" s="73" t="s">
        <v>49</v>
      </c>
    </row>
    <row r="39" spans="1:7" x14ac:dyDescent="0.2">
      <c r="B39" s="5">
        <f ca="1">NOW( )+2</f>
        <v>36981.594254861113</v>
      </c>
      <c r="C39" s="26">
        <v>0</v>
      </c>
      <c r="D39" s="27">
        <f>C39*E39</f>
        <v>0</v>
      </c>
      <c r="E39" s="22">
        <v>0</v>
      </c>
      <c r="F39" s="26" t="s">
        <v>63</v>
      </c>
      <c r="G39" t="s">
        <v>49</v>
      </c>
    </row>
    <row r="40" spans="1:7" ht="13.5" thickBot="1" x14ac:dyDescent="0.25">
      <c r="B40" s="5">
        <f ca="1">NOW( )+2</f>
        <v>36981.594254861113</v>
      </c>
      <c r="C40" s="26">
        <v>0</v>
      </c>
      <c r="D40" s="27">
        <f>C40*E40</f>
        <v>0</v>
      </c>
      <c r="E40" s="22">
        <v>0</v>
      </c>
      <c r="F40" s="1" t="s">
        <v>46</v>
      </c>
    </row>
    <row r="41" spans="1:7" x14ac:dyDescent="0.2">
      <c r="B41" s="5"/>
      <c r="C41" s="26"/>
      <c r="D41" s="28">
        <f>SUM(D38:D40)</f>
        <v>0</v>
      </c>
      <c r="E41" s="22"/>
      <c r="F41" s="1"/>
    </row>
    <row r="42" spans="1:7" x14ac:dyDescent="0.2">
      <c r="B42" s="5"/>
      <c r="C42" s="26"/>
      <c r="D42" s="27"/>
      <c r="E42" s="22"/>
      <c r="F42" s="1"/>
    </row>
    <row r="43" spans="1:7" x14ac:dyDescent="0.2">
      <c r="B43" s="5"/>
      <c r="C43" s="1"/>
      <c r="D43" s="2"/>
      <c r="E43" s="1"/>
      <c r="F43" s="1"/>
    </row>
    <row r="44" spans="1:7" x14ac:dyDescent="0.2">
      <c r="B44" s="5"/>
      <c r="C44" s="1"/>
      <c r="D44" s="2"/>
      <c r="E44" s="1"/>
      <c r="F44" s="1"/>
    </row>
    <row r="47" spans="1:7" x14ac:dyDescent="0.2">
      <c r="A47" t="s">
        <v>51</v>
      </c>
      <c r="D47" t="s">
        <v>17</v>
      </c>
      <c r="F47" s="6" t="s">
        <v>19</v>
      </c>
      <c r="G47" s="6">
        <f ca="1">NOW()</f>
        <v>36979.594254861113</v>
      </c>
    </row>
    <row r="48" spans="1:7" x14ac:dyDescent="0.2">
      <c r="D48" t="s">
        <v>18</v>
      </c>
    </row>
    <row r="49" spans="1:7" x14ac:dyDescent="0.2">
      <c r="A49" s="126" t="s">
        <v>50</v>
      </c>
      <c r="B49" s="126"/>
      <c r="C49" s="126"/>
      <c r="D49" t="s">
        <v>52</v>
      </c>
      <c r="F49" t="s">
        <v>57</v>
      </c>
    </row>
    <row r="50" spans="1:7" x14ac:dyDescent="0.2">
      <c r="A50" s="10"/>
      <c r="B50" t="s">
        <v>49</v>
      </c>
      <c r="C50" s="10" t="s">
        <v>49</v>
      </c>
      <c r="D50" t="s">
        <v>53</v>
      </c>
      <c r="G50" t="s">
        <v>58</v>
      </c>
    </row>
    <row r="51" spans="1:7" x14ac:dyDescent="0.2">
      <c r="B51" t="s">
        <v>49</v>
      </c>
    </row>
  </sheetData>
  <mergeCells count="6">
    <mergeCell ref="A49:C49"/>
    <mergeCell ref="A22:H22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7"/>
  <sheetViews>
    <sheetView tabSelected="1" topLeftCell="A11" workbookViewId="0">
      <selection activeCell="D22" sqref="D22:D39"/>
    </sheetView>
  </sheetViews>
  <sheetFormatPr defaultRowHeight="12.75" x14ac:dyDescent="0.2"/>
  <cols>
    <col min="1" max="1" width="8.28515625" customWidth="1"/>
    <col min="2" max="2" width="11" customWidth="1"/>
    <col min="3" max="3" width="12.5703125" customWidth="1"/>
    <col min="4" max="5" width="10.85546875" customWidth="1"/>
    <col min="6" max="6" width="10.140625" customWidth="1"/>
    <col min="7" max="7" width="10" style="109" customWidth="1"/>
    <col min="8" max="8" width="2.42578125" customWidth="1"/>
    <col min="9" max="9" width="10" customWidth="1"/>
    <col min="10" max="10" width="13.28515625" customWidth="1"/>
    <col min="11" max="11" width="12.28515625" customWidth="1"/>
    <col min="12" max="12" width="12.42578125" customWidth="1"/>
    <col min="13" max="13" width="1.5703125" customWidth="1"/>
    <col min="14" max="14" width="15.7109375" style="14" customWidth="1"/>
    <col min="15" max="15" width="16.42578125" customWidth="1"/>
  </cols>
  <sheetData>
    <row r="1" spans="1:19" ht="18" x14ac:dyDescent="0.25">
      <c r="A1" s="16" t="s">
        <v>68</v>
      </c>
      <c r="B1" s="16"/>
      <c r="C1" s="16"/>
    </row>
    <row r="3" spans="1:19" ht="13.5" thickBot="1" x14ac:dyDescent="0.25"/>
    <row r="4" spans="1:19" ht="13.5" thickBot="1" x14ac:dyDescent="0.25">
      <c r="A4" s="34"/>
      <c r="B4" s="128" t="s">
        <v>28</v>
      </c>
      <c r="C4" s="129"/>
      <c r="D4" s="129"/>
      <c r="E4" s="129"/>
      <c r="F4" s="129"/>
      <c r="G4" s="130"/>
      <c r="H4" s="35"/>
      <c r="I4" s="131" t="s">
        <v>36</v>
      </c>
      <c r="J4" s="132"/>
      <c r="K4" s="132"/>
      <c r="L4" s="133"/>
      <c r="M4" s="36"/>
      <c r="N4" s="134" t="s">
        <v>59</v>
      </c>
      <c r="O4" s="135"/>
      <c r="P4" s="14"/>
      <c r="Q4" s="14"/>
      <c r="R4" s="14"/>
      <c r="S4" s="14"/>
    </row>
    <row r="5" spans="1:19" x14ac:dyDescent="0.2">
      <c r="A5" s="17" t="s">
        <v>1</v>
      </c>
      <c r="B5" s="48"/>
      <c r="C5" s="47"/>
      <c r="D5" s="49"/>
      <c r="E5" s="36" t="s">
        <v>48</v>
      </c>
      <c r="F5" s="58" t="s">
        <v>32</v>
      </c>
      <c r="G5" s="110"/>
      <c r="H5" s="14"/>
      <c r="I5" s="46"/>
      <c r="J5" s="56" t="s">
        <v>47</v>
      </c>
      <c r="K5" s="55"/>
      <c r="L5" s="44" t="s">
        <v>40</v>
      </c>
      <c r="M5" s="19"/>
      <c r="N5" s="46"/>
      <c r="O5" s="104" t="s">
        <v>49</v>
      </c>
      <c r="P5" s="14"/>
      <c r="Q5" s="14"/>
      <c r="R5" s="14"/>
      <c r="S5" s="14"/>
    </row>
    <row r="6" spans="1:19" x14ac:dyDescent="0.2">
      <c r="A6" s="9"/>
      <c r="B6" s="50" t="s">
        <v>29</v>
      </c>
      <c r="C6" s="19" t="s">
        <v>30</v>
      </c>
      <c r="D6" s="42" t="s">
        <v>31</v>
      </c>
      <c r="E6" s="57">
        <v>2.8199999999999999E-2</v>
      </c>
      <c r="F6" s="42" t="s">
        <v>33</v>
      </c>
      <c r="G6" s="111" t="s">
        <v>35</v>
      </c>
      <c r="H6" s="14"/>
      <c r="I6" s="8" t="s">
        <v>37</v>
      </c>
      <c r="J6" s="52" t="s">
        <v>38</v>
      </c>
      <c r="K6" s="45" t="s">
        <v>39</v>
      </c>
      <c r="L6" s="20" t="s">
        <v>41</v>
      </c>
      <c r="M6" s="19"/>
      <c r="N6" s="17"/>
      <c r="O6" s="95" t="s">
        <v>49</v>
      </c>
      <c r="P6" s="14"/>
      <c r="Q6" s="14"/>
      <c r="R6" s="14"/>
      <c r="S6" s="14"/>
    </row>
    <row r="7" spans="1:19" x14ac:dyDescent="0.2">
      <c r="A7" s="9"/>
      <c r="B7" s="51"/>
      <c r="C7" s="18"/>
      <c r="D7" s="43"/>
      <c r="E7" s="18"/>
      <c r="F7" s="42" t="s">
        <v>34</v>
      </c>
      <c r="G7" s="111"/>
      <c r="H7" s="14"/>
      <c r="I7" s="17"/>
      <c r="J7" s="53"/>
      <c r="K7" s="54"/>
      <c r="L7" s="20"/>
      <c r="M7" s="19"/>
      <c r="N7" s="9"/>
      <c r="O7" s="96"/>
      <c r="P7" s="14"/>
      <c r="Q7" s="14"/>
      <c r="R7" s="14"/>
      <c r="S7" s="14"/>
    </row>
    <row r="8" spans="1:19" ht="13.5" thickBot="1" x14ac:dyDescent="0.25">
      <c r="A8" s="9"/>
      <c r="B8" s="61"/>
      <c r="C8" s="24"/>
      <c r="D8" s="62"/>
      <c r="E8" s="63" t="s">
        <v>49</v>
      </c>
      <c r="F8" s="62"/>
      <c r="G8" s="112">
        <v>12582</v>
      </c>
      <c r="H8" s="14"/>
      <c r="I8" s="9"/>
      <c r="J8" s="64"/>
      <c r="K8" s="65"/>
      <c r="L8" s="15"/>
      <c r="M8" s="14"/>
      <c r="N8" s="97" t="s">
        <v>60</v>
      </c>
      <c r="O8" s="97" t="s">
        <v>61</v>
      </c>
      <c r="P8" s="14"/>
      <c r="Q8" s="14"/>
      <c r="R8" s="14"/>
      <c r="S8" s="14"/>
    </row>
    <row r="9" spans="1:19" ht="13.5" thickBot="1" x14ac:dyDescent="0.25">
      <c r="A9" s="94">
        <v>36951</v>
      </c>
      <c r="B9" s="76">
        <v>0</v>
      </c>
      <c r="C9" s="77">
        <f t="shared" ref="C9:C26" si="0">B9*0.9718</f>
        <v>0</v>
      </c>
      <c r="D9" s="88">
        <v>1</v>
      </c>
      <c r="E9" s="60">
        <f>D9*0.0282</f>
        <v>2.8199999999999999E-2</v>
      </c>
      <c r="F9" s="83">
        <f>IF(B9&gt;0,((C9-D9)),IF(B9=0,B9-(D9)))+E9</f>
        <v>-0.9718</v>
      </c>
      <c r="G9" s="113">
        <f>G8+F9</f>
        <v>12581.028200000001</v>
      </c>
      <c r="H9" s="78"/>
      <c r="I9" s="79">
        <v>5.09</v>
      </c>
      <c r="J9" s="80">
        <f t="shared" ref="J9:J26" si="1">B9*(I9+0.065)</f>
        <v>0</v>
      </c>
      <c r="K9" s="90">
        <v>0</v>
      </c>
      <c r="L9" s="81">
        <f>J9+K9</f>
        <v>0</v>
      </c>
      <c r="M9" s="103"/>
      <c r="N9" s="105">
        <f>D9*I9</f>
        <v>5.09</v>
      </c>
      <c r="O9" s="99">
        <f>N9*0.015</f>
        <v>7.6350000000000001E-2</v>
      </c>
      <c r="P9" s="14"/>
      <c r="Q9" s="14"/>
      <c r="R9" s="14"/>
      <c r="S9" s="14"/>
    </row>
    <row r="10" spans="1:19" ht="13.5" thickBot="1" x14ac:dyDescent="0.25">
      <c r="A10" s="94">
        <v>36952</v>
      </c>
      <c r="B10" s="66">
        <v>0</v>
      </c>
      <c r="C10" s="60">
        <f t="shared" si="0"/>
        <v>0</v>
      </c>
      <c r="D10" s="88">
        <v>1</v>
      </c>
      <c r="E10" s="60">
        <f>B10*0.0282</f>
        <v>0</v>
      </c>
      <c r="F10" s="59">
        <f>IF(B10&gt;0,((C10-D10)),IF(B10=0,B10-(D10)))</f>
        <v>-1</v>
      </c>
      <c r="G10" s="114">
        <f t="shared" ref="G10:G39" si="2">G9+F10</f>
        <v>12580.028200000001</v>
      </c>
      <c r="H10" s="37"/>
      <c r="I10" s="30">
        <v>5.1150000000000002</v>
      </c>
      <c r="J10" s="31">
        <f t="shared" si="1"/>
        <v>0</v>
      </c>
      <c r="K10" s="91">
        <v>0</v>
      </c>
      <c r="L10" s="67">
        <f t="shared" ref="L10:L39" si="3">J10+K10</f>
        <v>0</v>
      </c>
      <c r="M10" s="101"/>
      <c r="N10" s="98">
        <f t="shared" ref="N10:N39" si="4">D10*I10</f>
        <v>5.1150000000000002</v>
      </c>
      <c r="O10" s="99">
        <f t="shared" ref="O10:O39" si="5">N10*0.015</f>
        <v>7.6725000000000002E-2</v>
      </c>
      <c r="P10" s="14"/>
      <c r="Q10" s="14"/>
      <c r="R10" s="14"/>
      <c r="S10" s="14"/>
    </row>
    <row r="11" spans="1:19" ht="13.5" thickBot="1" x14ac:dyDescent="0.25">
      <c r="A11" s="94">
        <v>36953</v>
      </c>
      <c r="B11" s="82">
        <v>0</v>
      </c>
      <c r="C11" s="77">
        <f t="shared" si="0"/>
        <v>0</v>
      </c>
      <c r="D11" s="88">
        <v>2</v>
      </c>
      <c r="E11" s="60">
        <f t="shared" ref="E11:E39" si="6">B11*0.0282</f>
        <v>0</v>
      </c>
      <c r="F11" s="83">
        <f t="shared" ref="F11:F35" si="7">IF(B11&gt;0,((C11-D11)),IF(B11=0,B11-(D11)))</f>
        <v>-2</v>
      </c>
      <c r="G11" s="115">
        <f t="shared" si="2"/>
        <v>12578.028200000001</v>
      </c>
      <c r="H11" s="84"/>
      <c r="I11" s="85">
        <v>5.0999999999999996</v>
      </c>
      <c r="J11" s="86">
        <f t="shared" si="1"/>
        <v>0</v>
      </c>
      <c r="K11" s="92">
        <v>0</v>
      </c>
      <c r="L11" s="87">
        <f t="shared" si="3"/>
        <v>0</v>
      </c>
      <c r="M11" s="101"/>
      <c r="N11" s="98">
        <f t="shared" si="4"/>
        <v>10.199999999999999</v>
      </c>
      <c r="O11" s="99">
        <f t="shared" si="5"/>
        <v>0.153</v>
      </c>
      <c r="P11" s="14"/>
      <c r="Q11" s="14"/>
      <c r="R11" s="14"/>
      <c r="S11" s="14"/>
    </row>
    <row r="12" spans="1:19" ht="13.5" thickBot="1" x14ac:dyDescent="0.25">
      <c r="A12" s="94">
        <v>36954</v>
      </c>
      <c r="B12" s="66">
        <v>0</v>
      </c>
      <c r="C12" s="60">
        <f t="shared" si="0"/>
        <v>0</v>
      </c>
      <c r="D12" s="88">
        <v>1</v>
      </c>
      <c r="E12" s="60">
        <f t="shared" si="6"/>
        <v>0</v>
      </c>
      <c r="F12" s="59">
        <f>IF(B12&gt;0,((C12-D12)),IF(B12=0,B12-(D12)))</f>
        <v>-1</v>
      </c>
      <c r="G12" s="114">
        <f t="shared" si="2"/>
        <v>12577.028200000001</v>
      </c>
      <c r="H12" s="37"/>
      <c r="I12" s="30">
        <v>5.0999999999999996</v>
      </c>
      <c r="J12" s="31">
        <f t="shared" si="1"/>
        <v>0</v>
      </c>
      <c r="K12" s="91">
        <v>0</v>
      </c>
      <c r="L12" s="67">
        <f t="shared" si="3"/>
        <v>0</v>
      </c>
      <c r="M12" s="101"/>
      <c r="N12" s="98">
        <f t="shared" si="4"/>
        <v>5.0999999999999996</v>
      </c>
      <c r="O12" s="99">
        <f t="shared" si="5"/>
        <v>7.6499999999999999E-2</v>
      </c>
      <c r="P12" s="14"/>
      <c r="Q12" s="14"/>
      <c r="R12" s="14"/>
      <c r="S12" s="14"/>
    </row>
    <row r="13" spans="1:19" ht="13.5" thickBot="1" x14ac:dyDescent="0.25">
      <c r="A13" s="94">
        <v>36955</v>
      </c>
      <c r="B13" s="82">
        <v>0</v>
      </c>
      <c r="C13" s="77">
        <f t="shared" si="0"/>
        <v>0</v>
      </c>
      <c r="D13" s="88">
        <v>7850</v>
      </c>
      <c r="E13" s="60">
        <f>D13*0.0282</f>
        <v>221.37</v>
      </c>
      <c r="F13" s="83">
        <f>IF(B13&gt;0,((C13-D13)),IF(B13=0,B13-(D13)))</f>
        <v>-7850</v>
      </c>
      <c r="G13" s="115">
        <f>G12+F13</f>
        <v>4727.0282000000007</v>
      </c>
      <c r="H13" s="84"/>
      <c r="I13" s="85">
        <v>5.0999999999999996</v>
      </c>
      <c r="J13" s="86">
        <f t="shared" si="1"/>
        <v>0</v>
      </c>
      <c r="K13" s="92">
        <v>0</v>
      </c>
      <c r="L13" s="87">
        <f t="shared" si="3"/>
        <v>0</v>
      </c>
      <c r="M13" s="101"/>
      <c r="N13" s="98">
        <f t="shared" si="4"/>
        <v>40035</v>
      </c>
      <c r="O13" s="99">
        <f t="shared" si="5"/>
        <v>600.52499999999998</v>
      </c>
      <c r="P13" s="14"/>
      <c r="Q13" s="14"/>
      <c r="R13" s="14"/>
      <c r="S13" s="14"/>
    </row>
    <row r="14" spans="1:19" ht="13.5" thickBot="1" x14ac:dyDescent="0.25">
      <c r="A14" s="94">
        <v>36956</v>
      </c>
      <c r="B14" s="66">
        <v>10000</v>
      </c>
      <c r="C14" s="60">
        <f t="shared" si="0"/>
        <v>9718</v>
      </c>
      <c r="D14" s="88">
        <v>3550</v>
      </c>
      <c r="E14" s="60">
        <f t="shared" si="6"/>
        <v>282</v>
      </c>
      <c r="F14" s="59">
        <f t="shared" si="7"/>
        <v>6168</v>
      </c>
      <c r="G14" s="114">
        <f t="shared" si="2"/>
        <v>10895.028200000001</v>
      </c>
      <c r="H14" s="37"/>
      <c r="I14" s="30">
        <v>5.32</v>
      </c>
      <c r="J14" s="31">
        <f t="shared" si="1"/>
        <v>53850.000000000007</v>
      </c>
      <c r="K14" s="91">
        <v>0</v>
      </c>
      <c r="L14" s="67">
        <f t="shared" si="3"/>
        <v>53850.000000000007</v>
      </c>
      <c r="M14" s="101"/>
      <c r="N14" s="98">
        <f t="shared" si="4"/>
        <v>18886</v>
      </c>
      <c r="O14" s="99">
        <f t="shared" si="5"/>
        <v>283.28999999999996</v>
      </c>
      <c r="P14" s="14"/>
      <c r="Q14" s="14"/>
      <c r="R14" s="14"/>
      <c r="S14" s="14"/>
    </row>
    <row r="15" spans="1:19" ht="13.5" thickBot="1" x14ac:dyDescent="0.25">
      <c r="A15" s="94">
        <v>36957</v>
      </c>
      <c r="B15" s="82">
        <v>0</v>
      </c>
      <c r="C15" s="77">
        <f t="shared" si="0"/>
        <v>0</v>
      </c>
      <c r="D15" s="88">
        <v>36</v>
      </c>
      <c r="E15" s="60">
        <f t="shared" si="6"/>
        <v>0</v>
      </c>
      <c r="F15" s="83">
        <f t="shared" si="7"/>
        <v>-36</v>
      </c>
      <c r="G15" s="115">
        <f t="shared" si="2"/>
        <v>10859.028200000001</v>
      </c>
      <c r="H15" s="84"/>
      <c r="I15" s="85">
        <v>5.27</v>
      </c>
      <c r="J15" s="86">
        <f t="shared" si="1"/>
        <v>0</v>
      </c>
      <c r="K15" s="92">
        <v>0</v>
      </c>
      <c r="L15" s="87">
        <f t="shared" si="3"/>
        <v>0</v>
      </c>
      <c r="M15" s="101"/>
      <c r="N15" s="98">
        <f t="shared" si="4"/>
        <v>189.71999999999997</v>
      </c>
      <c r="O15" s="99">
        <f t="shared" si="5"/>
        <v>2.8457999999999997</v>
      </c>
      <c r="P15" s="14"/>
      <c r="Q15" s="14"/>
      <c r="R15" s="14"/>
      <c r="S15" s="14"/>
    </row>
    <row r="16" spans="1:19" ht="13.5" thickBot="1" x14ac:dyDescent="0.25">
      <c r="A16" s="94">
        <v>36958</v>
      </c>
      <c r="B16" s="66">
        <v>0</v>
      </c>
      <c r="C16" s="60">
        <f t="shared" si="0"/>
        <v>0</v>
      </c>
      <c r="D16" s="88">
        <v>30</v>
      </c>
      <c r="E16" s="60">
        <f t="shared" si="6"/>
        <v>0</v>
      </c>
      <c r="F16" s="59">
        <f t="shared" si="7"/>
        <v>-30</v>
      </c>
      <c r="G16" s="114">
        <f t="shared" si="2"/>
        <v>10829.028200000001</v>
      </c>
      <c r="H16" s="37"/>
      <c r="I16" s="30">
        <v>5.22</v>
      </c>
      <c r="J16" s="31">
        <f t="shared" si="1"/>
        <v>0</v>
      </c>
      <c r="K16" s="91">
        <v>0</v>
      </c>
      <c r="L16" s="67">
        <f t="shared" si="3"/>
        <v>0</v>
      </c>
      <c r="M16" s="101"/>
      <c r="N16" s="98">
        <f t="shared" si="4"/>
        <v>156.6</v>
      </c>
      <c r="O16" s="99">
        <f t="shared" si="5"/>
        <v>2.3489999999999998</v>
      </c>
      <c r="P16" s="14"/>
      <c r="Q16" s="14"/>
      <c r="R16" s="14"/>
      <c r="S16" s="14"/>
    </row>
    <row r="17" spans="1:19" ht="13.5" thickBot="1" x14ac:dyDescent="0.25">
      <c r="A17" s="94">
        <v>36959</v>
      </c>
      <c r="B17" s="82">
        <v>0</v>
      </c>
      <c r="C17" s="77">
        <f t="shared" si="0"/>
        <v>0</v>
      </c>
      <c r="D17" s="88">
        <v>2</v>
      </c>
      <c r="E17" s="60">
        <f t="shared" si="6"/>
        <v>0</v>
      </c>
      <c r="F17" s="83">
        <f t="shared" si="7"/>
        <v>-2</v>
      </c>
      <c r="G17" s="115">
        <f t="shared" si="2"/>
        <v>10827.028200000001</v>
      </c>
      <c r="H17" s="84"/>
      <c r="I17" s="85">
        <v>5.2450000000000001</v>
      </c>
      <c r="J17" s="86">
        <f t="shared" si="1"/>
        <v>0</v>
      </c>
      <c r="K17" s="92">
        <v>0</v>
      </c>
      <c r="L17" s="87">
        <f t="shared" si="3"/>
        <v>0</v>
      </c>
      <c r="M17" s="101"/>
      <c r="N17" s="98">
        <f t="shared" si="4"/>
        <v>10.49</v>
      </c>
      <c r="O17" s="99">
        <f t="shared" si="5"/>
        <v>0.15734999999999999</v>
      </c>
      <c r="P17" s="14"/>
      <c r="Q17" s="14"/>
      <c r="R17" s="14"/>
      <c r="S17" s="14"/>
    </row>
    <row r="18" spans="1:19" ht="13.5" thickBot="1" x14ac:dyDescent="0.25">
      <c r="A18" s="94">
        <v>36960</v>
      </c>
      <c r="B18" s="66">
        <v>0</v>
      </c>
      <c r="C18" s="60">
        <f t="shared" si="0"/>
        <v>0</v>
      </c>
      <c r="D18" s="88">
        <v>2</v>
      </c>
      <c r="E18" s="60">
        <f t="shared" si="6"/>
        <v>0</v>
      </c>
      <c r="F18" s="59">
        <f t="shared" si="7"/>
        <v>-2</v>
      </c>
      <c r="G18" s="114">
        <f t="shared" si="2"/>
        <v>10825.028200000001</v>
      </c>
      <c r="H18" s="37"/>
      <c r="I18" s="30">
        <v>5.1349999999999998</v>
      </c>
      <c r="J18" s="31">
        <f t="shared" si="1"/>
        <v>0</v>
      </c>
      <c r="K18" s="91">
        <v>0</v>
      </c>
      <c r="L18" s="67">
        <f t="shared" si="3"/>
        <v>0</v>
      </c>
      <c r="M18" s="101"/>
      <c r="N18" s="98">
        <f t="shared" si="4"/>
        <v>10.27</v>
      </c>
      <c r="O18" s="99">
        <f t="shared" si="5"/>
        <v>0.15404999999999999</v>
      </c>
      <c r="P18" s="14"/>
      <c r="Q18" s="14"/>
      <c r="R18" s="14"/>
      <c r="S18" s="14"/>
    </row>
    <row r="19" spans="1:19" ht="13.5" thickBot="1" x14ac:dyDescent="0.25">
      <c r="A19" s="94">
        <v>36961</v>
      </c>
      <c r="B19" s="82">
        <v>0</v>
      </c>
      <c r="C19" s="77">
        <f t="shared" si="0"/>
        <v>0</v>
      </c>
      <c r="D19" s="88">
        <v>3</v>
      </c>
      <c r="E19" s="60">
        <f t="shared" si="6"/>
        <v>0</v>
      </c>
      <c r="F19" s="83">
        <f t="shared" si="7"/>
        <v>-3</v>
      </c>
      <c r="G19" s="115">
        <f t="shared" si="2"/>
        <v>10822.028200000001</v>
      </c>
      <c r="H19" s="84"/>
      <c r="I19" s="85">
        <v>5.1349999999999998</v>
      </c>
      <c r="J19" s="86">
        <v>0</v>
      </c>
      <c r="K19" s="92">
        <v>0</v>
      </c>
      <c r="L19" s="87">
        <f t="shared" si="3"/>
        <v>0</v>
      </c>
      <c r="M19" s="101"/>
      <c r="N19" s="98">
        <f t="shared" si="4"/>
        <v>15.404999999999999</v>
      </c>
      <c r="O19" s="99">
        <f t="shared" si="5"/>
        <v>0.23107499999999997</v>
      </c>
      <c r="P19" s="14"/>
      <c r="Q19" s="14"/>
      <c r="R19" s="14"/>
      <c r="S19" s="14"/>
    </row>
    <row r="20" spans="1:19" ht="13.5" thickBot="1" x14ac:dyDescent="0.25">
      <c r="A20" s="94" t="s">
        <v>69</v>
      </c>
      <c r="B20" s="66">
        <v>0</v>
      </c>
      <c r="C20" s="60">
        <f t="shared" si="0"/>
        <v>0</v>
      </c>
      <c r="D20" s="88">
        <v>2</v>
      </c>
      <c r="E20" s="60">
        <f t="shared" si="6"/>
        <v>0</v>
      </c>
      <c r="F20" s="59">
        <f t="shared" si="7"/>
        <v>-2</v>
      </c>
      <c r="G20" s="114">
        <f t="shared" si="2"/>
        <v>10820.028200000001</v>
      </c>
      <c r="H20" s="37"/>
      <c r="I20" s="30">
        <v>5.1349999999999998</v>
      </c>
      <c r="J20" s="31">
        <v>0</v>
      </c>
      <c r="K20" s="91">
        <v>0</v>
      </c>
      <c r="L20" s="67">
        <f t="shared" si="3"/>
        <v>0</v>
      </c>
      <c r="M20" s="101"/>
      <c r="N20" s="98">
        <f t="shared" si="4"/>
        <v>10.27</v>
      </c>
      <c r="O20" s="99">
        <f t="shared" si="5"/>
        <v>0.15404999999999999</v>
      </c>
      <c r="P20" s="14"/>
      <c r="Q20" s="14"/>
      <c r="R20" s="14"/>
      <c r="S20" s="14"/>
    </row>
    <row r="21" spans="1:19" ht="13.5" thickBot="1" x14ac:dyDescent="0.25">
      <c r="A21" s="94" t="s">
        <v>70</v>
      </c>
      <c r="B21" s="82">
        <v>0</v>
      </c>
      <c r="C21" s="77">
        <f t="shared" si="0"/>
        <v>0</v>
      </c>
      <c r="D21" s="88">
        <v>3406</v>
      </c>
      <c r="E21" s="60">
        <f t="shared" si="6"/>
        <v>0</v>
      </c>
      <c r="F21" s="83">
        <f t="shared" si="7"/>
        <v>-3406</v>
      </c>
      <c r="G21" s="115">
        <f t="shared" si="2"/>
        <v>7414.0282000000007</v>
      </c>
      <c r="H21" s="84"/>
      <c r="I21" s="85">
        <v>4.9800000000000004</v>
      </c>
      <c r="J21" s="86">
        <v>2520</v>
      </c>
      <c r="K21" s="92">
        <v>0</v>
      </c>
      <c r="L21" s="87">
        <f t="shared" si="3"/>
        <v>2520</v>
      </c>
      <c r="M21" s="101"/>
      <c r="N21" s="98">
        <f t="shared" si="4"/>
        <v>16961.88</v>
      </c>
      <c r="O21" s="99">
        <f t="shared" si="5"/>
        <v>254.4282</v>
      </c>
      <c r="P21" s="14"/>
      <c r="Q21" s="14"/>
      <c r="R21" s="14"/>
      <c r="S21" s="14"/>
    </row>
    <row r="22" spans="1:19" ht="13.5" thickBot="1" x14ac:dyDescent="0.25">
      <c r="A22" s="94">
        <v>36964</v>
      </c>
      <c r="B22" s="66">
        <v>0</v>
      </c>
      <c r="C22" s="60">
        <f t="shared" si="0"/>
        <v>0</v>
      </c>
      <c r="D22" s="88">
        <v>2</v>
      </c>
      <c r="E22" s="60">
        <f t="shared" si="6"/>
        <v>0</v>
      </c>
      <c r="F22" s="59">
        <f t="shared" si="7"/>
        <v>-2</v>
      </c>
      <c r="G22" s="114">
        <f t="shared" si="2"/>
        <v>7412.0282000000007</v>
      </c>
      <c r="H22" s="37"/>
      <c r="I22" s="30">
        <v>0</v>
      </c>
      <c r="J22" s="31">
        <v>0</v>
      </c>
      <c r="K22" s="91">
        <v>0</v>
      </c>
      <c r="L22" s="67">
        <f t="shared" si="3"/>
        <v>0</v>
      </c>
      <c r="M22" s="101"/>
      <c r="N22" s="98">
        <f t="shared" si="4"/>
        <v>0</v>
      </c>
      <c r="O22" s="99">
        <f t="shared" si="5"/>
        <v>0</v>
      </c>
      <c r="P22" s="14"/>
      <c r="Q22" s="14"/>
      <c r="R22" s="14"/>
      <c r="S22" s="14"/>
    </row>
    <row r="23" spans="1:19" ht="13.5" thickBot="1" x14ac:dyDescent="0.25">
      <c r="A23" s="94">
        <v>36965</v>
      </c>
      <c r="B23" s="82">
        <v>0</v>
      </c>
      <c r="C23" s="77">
        <f t="shared" si="0"/>
        <v>0</v>
      </c>
      <c r="D23" s="88">
        <v>4</v>
      </c>
      <c r="E23" s="60">
        <f t="shared" si="6"/>
        <v>0</v>
      </c>
      <c r="F23" s="83">
        <f t="shared" si="7"/>
        <v>-4</v>
      </c>
      <c r="G23" s="115">
        <f t="shared" si="2"/>
        <v>7408.0282000000007</v>
      </c>
      <c r="H23" s="84"/>
      <c r="I23" s="85">
        <v>0</v>
      </c>
      <c r="J23" s="86">
        <f t="shared" si="1"/>
        <v>0</v>
      </c>
      <c r="K23" s="92">
        <v>0</v>
      </c>
      <c r="L23" s="87">
        <f t="shared" si="3"/>
        <v>0</v>
      </c>
      <c r="M23" s="101"/>
      <c r="N23" s="98">
        <f t="shared" si="4"/>
        <v>0</v>
      </c>
      <c r="O23" s="99">
        <f t="shared" si="5"/>
        <v>0</v>
      </c>
      <c r="P23" s="14"/>
      <c r="Q23" s="14"/>
      <c r="R23" s="14"/>
      <c r="S23" s="14"/>
    </row>
    <row r="24" spans="1:19" ht="13.5" thickBot="1" x14ac:dyDescent="0.25">
      <c r="A24" s="94">
        <v>36966</v>
      </c>
      <c r="B24" s="66">
        <v>0</v>
      </c>
      <c r="C24" s="60">
        <f t="shared" si="0"/>
        <v>0</v>
      </c>
      <c r="D24" s="88">
        <v>3</v>
      </c>
      <c r="E24" s="60">
        <f t="shared" si="6"/>
        <v>0</v>
      </c>
      <c r="F24" s="59">
        <f t="shared" si="7"/>
        <v>-3</v>
      </c>
      <c r="G24" s="114">
        <f t="shared" si="2"/>
        <v>7405.0282000000007</v>
      </c>
      <c r="H24" s="37"/>
      <c r="I24" s="30">
        <v>0</v>
      </c>
      <c r="J24" s="31">
        <v>0</v>
      </c>
      <c r="K24" s="91">
        <v>0</v>
      </c>
      <c r="L24" s="67">
        <f t="shared" si="3"/>
        <v>0</v>
      </c>
      <c r="M24" s="101"/>
      <c r="N24" s="98">
        <f t="shared" si="4"/>
        <v>0</v>
      </c>
      <c r="O24" s="99">
        <f t="shared" si="5"/>
        <v>0</v>
      </c>
      <c r="P24" s="14"/>
      <c r="Q24" s="14"/>
      <c r="R24" s="14"/>
      <c r="S24" s="14"/>
    </row>
    <row r="25" spans="1:19" ht="13.5" thickBot="1" x14ac:dyDescent="0.25">
      <c r="A25" s="94">
        <v>36967</v>
      </c>
      <c r="B25" s="82">
        <v>0</v>
      </c>
      <c r="C25" s="77">
        <f t="shared" si="0"/>
        <v>0</v>
      </c>
      <c r="D25" s="88">
        <v>3</v>
      </c>
      <c r="E25" s="60">
        <f t="shared" si="6"/>
        <v>0</v>
      </c>
      <c r="F25" s="83">
        <f t="shared" si="7"/>
        <v>-3</v>
      </c>
      <c r="G25" s="115">
        <f t="shared" si="2"/>
        <v>7402.0282000000007</v>
      </c>
      <c r="H25" s="84"/>
      <c r="I25" s="85">
        <v>0</v>
      </c>
      <c r="J25" s="86">
        <f t="shared" si="1"/>
        <v>0</v>
      </c>
      <c r="K25" s="92">
        <v>0</v>
      </c>
      <c r="L25" s="87">
        <f t="shared" si="3"/>
        <v>0</v>
      </c>
      <c r="M25" s="101"/>
      <c r="N25" s="98">
        <f t="shared" si="4"/>
        <v>0</v>
      </c>
      <c r="O25" s="99">
        <f t="shared" si="5"/>
        <v>0</v>
      </c>
      <c r="P25" s="14"/>
      <c r="Q25" s="14"/>
      <c r="R25" s="14"/>
      <c r="S25" s="14"/>
    </row>
    <row r="26" spans="1:19" ht="13.5" thickBot="1" x14ac:dyDescent="0.25">
      <c r="A26" s="94">
        <v>36968</v>
      </c>
      <c r="B26" s="66">
        <v>0</v>
      </c>
      <c r="C26" s="60">
        <f t="shared" si="0"/>
        <v>0</v>
      </c>
      <c r="D26" s="88">
        <v>4</v>
      </c>
      <c r="E26" s="60">
        <f t="shared" si="6"/>
        <v>0</v>
      </c>
      <c r="F26" s="59">
        <f t="shared" si="7"/>
        <v>-4</v>
      </c>
      <c r="G26" s="114">
        <f t="shared" si="2"/>
        <v>7398.0282000000007</v>
      </c>
      <c r="H26" s="37"/>
      <c r="I26" s="30">
        <v>0</v>
      </c>
      <c r="J26" s="31">
        <f t="shared" si="1"/>
        <v>0</v>
      </c>
      <c r="K26" s="91">
        <v>0</v>
      </c>
      <c r="L26" s="67">
        <f t="shared" si="3"/>
        <v>0</v>
      </c>
      <c r="M26" s="101"/>
      <c r="N26" s="98">
        <f t="shared" si="4"/>
        <v>0</v>
      </c>
      <c r="O26" s="99">
        <f t="shared" si="5"/>
        <v>0</v>
      </c>
      <c r="P26" s="14"/>
      <c r="Q26" s="14"/>
      <c r="R26" s="14"/>
      <c r="S26" s="14"/>
    </row>
    <row r="27" spans="1:19" ht="13.5" thickBot="1" x14ac:dyDescent="0.25">
      <c r="A27" s="94">
        <v>36969</v>
      </c>
      <c r="B27" s="82">
        <v>0</v>
      </c>
      <c r="C27" s="77">
        <f>B27*0.9718</f>
        <v>0</v>
      </c>
      <c r="D27" s="88">
        <v>1</v>
      </c>
      <c r="E27" s="60">
        <f t="shared" si="6"/>
        <v>0</v>
      </c>
      <c r="F27" s="83">
        <f t="shared" si="7"/>
        <v>-1</v>
      </c>
      <c r="G27" s="115">
        <f t="shared" si="2"/>
        <v>7397.0282000000007</v>
      </c>
      <c r="H27" s="84"/>
      <c r="I27" s="85">
        <v>0</v>
      </c>
      <c r="J27" s="86">
        <f t="shared" ref="J27:J32" si="8">B27*(I27+0.065)</f>
        <v>0</v>
      </c>
      <c r="K27" s="92">
        <v>0</v>
      </c>
      <c r="L27" s="87">
        <f t="shared" si="3"/>
        <v>0</v>
      </c>
      <c r="M27" s="101"/>
      <c r="N27" s="98">
        <f t="shared" si="4"/>
        <v>0</v>
      </c>
      <c r="O27" s="99">
        <f t="shared" si="5"/>
        <v>0</v>
      </c>
      <c r="P27" s="14"/>
      <c r="Q27" s="14"/>
      <c r="R27" s="14"/>
      <c r="S27" s="14"/>
    </row>
    <row r="28" spans="1:19" ht="13.5" thickBot="1" x14ac:dyDescent="0.25">
      <c r="A28" s="94">
        <v>36970</v>
      </c>
      <c r="B28" s="68">
        <v>0</v>
      </c>
      <c r="C28" s="60">
        <f t="shared" ref="C28:C39" si="9">B28*0.9718</f>
        <v>0</v>
      </c>
      <c r="D28" s="88">
        <v>1</v>
      </c>
      <c r="E28" s="60">
        <f t="shared" si="6"/>
        <v>0</v>
      </c>
      <c r="F28" s="59">
        <f t="shared" si="7"/>
        <v>-1</v>
      </c>
      <c r="G28" s="114">
        <f t="shared" si="2"/>
        <v>7396.0282000000007</v>
      </c>
      <c r="H28" s="14"/>
      <c r="I28" s="32">
        <v>0</v>
      </c>
      <c r="J28" s="33">
        <f t="shared" si="8"/>
        <v>0</v>
      </c>
      <c r="K28" s="93">
        <v>0</v>
      </c>
      <c r="L28" s="69">
        <f t="shared" si="3"/>
        <v>0</v>
      </c>
      <c r="M28" s="101"/>
      <c r="N28" s="98">
        <f t="shared" si="4"/>
        <v>0</v>
      </c>
      <c r="O28" s="99">
        <f t="shared" si="5"/>
        <v>0</v>
      </c>
      <c r="P28" s="14"/>
      <c r="Q28" s="14"/>
      <c r="R28" s="14"/>
      <c r="S28" s="14"/>
    </row>
    <row r="29" spans="1:19" ht="13.5" thickBot="1" x14ac:dyDescent="0.25">
      <c r="A29" s="94">
        <v>36971</v>
      </c>
      <c r="B29" s="82">
        <v>0</v>
      </c>
      <c r="C29" s="77">
        <f t="shared" si="9"/>
        <v>0</v>
      </c>
      <c r="D29" s="88">
        <v>1</v>
      </c>
      <c r="E29" s="60">
        <f t="shared" si="6"/>
        <v>0</v>
      </c>
      <c r="F29" s="83">
        <f t="shared" si="7"/>
        <v>-1</v>
      </c>
      <c r="G29" s="115">
        <f t="shared" si="2"/>
        <v>7395.0282000000007</v>
      </c>
      <c r="H29" s="84"/>
      <c r="I29" s="85">
        <v>0</v>
      </c>
      <c r="J29" s="86">
        <f t="shared" si="8"/>
        <v>0</v>
      </c>
      <c r="K29" s="92">
        <v>0</v>
      </c>
      <c r="L29" s="87">
        <f t="shared" si="3"/>
        <v>0</v>
      </c>
      <c r="M29" s="101"/>
      <c r="N29" s="98">
        <f t="shared" si="4"/>
        <v>0</v>
      </c>
      <c r="O29" s="99">
        <f t="shared" si="5"/>
        <v>0</v>
      </c>
      <c r="P29" s="14"/>
      <c r="Q29" s="14"/>
      <c r="R29" s="14"/>
      <c r="S29" s="14"/>
    </row>
    <row r="30" spans="1:19" ht="13.5" thickBot="1" x14ac:dyDescent="0.25">
      <c r="A30" s="94">
        <v>36972</v>
      </c>
      <c r="B30" s="68">
        <v>0</v>
      </c>
      <c r="C30" s="60">
        <f t="shared" si="9"/>
        <v>0</v>
      </c>
      <c r="D30" s="88">
        <v>1</v>
      </c>
      <c r="E30" s="60">
        <f t="shared" si="6"/>
        <v>0</v>
      </c>
      <c r="F30" s="59">
        <f t="shared" si="7"/>
        <v>-1</v>
      </c>
      <c r="G30" s="114">
        <f t="shared" si="2"/>
        <v>7394.0282000000007</v>
      </c>
      <c r="H30" s="14"/>
      <c r="I30" s="32">
        <v>0</v>
      </c>
      <c r="J30" s="33">
        <f t="shared" si="8"/>
        <v>0</v>
      </c>
      <c r="K30" s="93">
        <v>0</v>
      </c>
      <c r="L30" s="69">
        <f t="shared" si="3"/>
        <v>0</v>
      </c>
      <c r="M30" s="101"/>
      <c r="N30" s="98">
        <f t="shared" si="4"/>
        <v>0</v>
      </c>
      <c r="O30" s="99">
        <f t="shared" si="5"/>
        <v>0</v>
      </c>
      <c r="P30" s="14"/>
      <c r="Q30" s="14"/>
      <c r="R30" s="14"/>
      <c r="S30" s="14"/>
    </row>
    <row r="31" spans="1:19" ht="13.5" thickBot="1" x14ac:dyDescent="0.25">
      <c r="A31" s="94">
        <v>36973</v>
      </c>
      <c r="B31" s="82">
        <v>0</v>
      </c>
      <c r="C31" s="77">
        <f t="shared" si="9"/>
        <v>0</v>
      </c>
      <c r="D31" s="88">
        <v>2</v>
      </c>
      <c r="E31" s="60">
        <f t="shared" si="6"/>
        <v>0</v>
      </c>
      <c r="F31" s="83">
        <f t="shared" si="7"/>
        <v>-2</v>
      </c>
      <c r="G31" s="115">
        <f t="shared" si="2"/>
        <v>7392.0282000000007</v>
      </c>
      <c r="H31" s="84"/>
      <c r="I31" s="85">
        <v>0</v>
      </c>
      <c r="J31" s="86">
        <f t="shared" si="8"/>
        <v>0</v>
      </c>
      <c r="K31" s="92">
        <v>0</v>
      </c>
      <c r="L31" s="87">
        <f t="shared" si="3"/>
        <v>0</v>
      </c>
      <c r="M31" s="101"/>
      <c r="N31" s="98">
        <f t="shared" si="4"/>
        <v>0</v>
      </c>
      <c r="O31" s="99">
        <f t="shared" si="5"/>
        <v>0</v>
      </c>
      <c r="P31" s="14"/>
      <c r="Q31" s="14"/>
      <c r="R31" s="14"/>
      <c r="S31" s="14"/>
    </row>
    <row r="32" spans="1:19" ht="13.5" thickBot="1" x14ac:dyDescent="0.25">
      <c r="A32" s="94">
        <v>36974</v>
      </c>
      <c r="B32" s="68">
        <v>0</v>
      </c>
      <c r="C32" s="60">
        <f t="shared" si="9"/>
        <v>0</v>
      </c>
      <c r="D32" s="88">
        <v>1</v>
      </c>
      <c r="E32" s="60">
        <f t="shared" si="6"/>
        <v>0</v>
      </c>
      <c r="F32" s="59">
        <f t="shared" si="7"/>
        <v>-1</v>
      </c>
      <c r="G32" s="114">
        <f t="shared" si="2"/>
        <v>7391.0282000000007</v>
      </c>
      <c r="H32" s="14"/>
      <c r="I32" s="32">
        <v>0</v>
      </c>
      <c r="J32" s="33">
        <f t="shared" si="8"/>
        <v>0</v>
      </c>
      <c r="K32" s="93">
        <v>0</v>
      </c>
      <c r="L32" s="69">
        <f t="shared" si="3"/>
        <v>0</v>
      </c>
      <c r="M32" s="101"/>
      <c r="N32" s="98">
        <f t="shared" si="4"/>
        <v>0</v>
      </c>
      <c r="O32" s="99">
        <f t="shared" si="5"/>
        <v>0</v>
      </c>
      <c r="P32" s="14"/>
      <c r="Q32" s="14"/>
      <c r="R32" s="14"/>
      <c r="S32" s="14"/>
    </row>
    <row r="33" spans="1:19" ht="13.5" thickBot="1" x14ac:dyDescent="0.25">
      <c r="A33" s="94">
        <v>36975</v>
      </c>
      <c r="B33" s="82">
        <v>0</v>
      </c>
      <c r="C33" s="77">
        <f t="shared" si="9"/>
        <v>0</v>
      </c>
      <c r="D33" s="88">
        <v>1</v>
      </c>
      <c r="E33" s="60">
        <f t="shared" si="6"/>
        <v>0</v>
      </c>
      <c r="F33" s="83">
        <f t="shared" si="7"/>
        <v>-1</v>
      </c>
      <c r="G33" s="115">
        <f t="shared" si="2"/>
        <v>7390.0282000000007</v>
      </c>
      <c r="H33" s="84"/>
      <c r="I33" s="85">
        <v>0</v>
      </c>
      <c r="J33" s="86">
        <v>0</v>
      </c>
      <c r="K33" s="92">
        <f>C33*4.55</f>
        <v>0</v>
      </c>
      <c r="L33" s="87">
        <f t="shared" si="3"/>
        <v>0</v>
      </c>
      <c r="M33" s="101"/>
      <c r="N33" s="98">
        <f t="shared" si="4"/>
        <v>0</v>
      </c>
      <c r="O33" s="99">
        <f t="shared" si="5"/>
        <v>0</v>
      </c>
      <c r="P33" s="14"/>
      <c r="Q33" s="14"/>
      <c r="R33" s="14"/>
      <c r="S33" s="14"/>
    </row>
    <row r="34" spans="1:19" ht="13.5" thickBot="1" x14ac:dyDescent="0.25">
      <c r="A34" s="94">
        <v>36976</v>
      </c>
      <c r="B34" s="68">
        <v>0</v>
      </c>
      <c r="C34" s="60">
        <f t="shared" si="9"/>
        <v>0</v>
      </c>
      <c r="D34" s="88">
        <v>2</v>
      </c>
      <c r="E34" s="60">
        <f t="shared" si="6"/>
        <v>0</v>
      </c>
      <c r="F34" s="59">
        <f>IF(B34&gt;0,((C34-D34)),IF(B34=0,B34-(D34)))</f>
        <v>-2</v>
      </c>
      <c r="G34" s="114">
        <f t="shared" si="2"/>
        <v>7388.0282000000007</v>
      </c>
      <c r="H34" s="14"/>
      <c r="I34" s="32">
        <v>0</v>
      </c>
      <c r="J34" s="33">
        <f>B34*I34</f>
        <v>0</v>
      </c>
      <c r="K34" s="93">
        <v>0</v>
      </c>
      <c r="L34" s="69">
        <f t="shared" si="3"/>
        <v>0</v>
      </c>
      <c r="M34" s="101"/>
      <c r="N34" s="98">
        <f t="shared" si="4"/>
        <v>0</v>
      </c>
      <c r="O34" s="99">
        <f t="shared" si="5"/>
        <v>0</v>
      </c>
      <c r="P34" s="14"/>
      <c r="Q34" s="14"/>
      <c r="R34" s="14"/>
      <c r="S34" s="14"/>
    </row>
    <row r="35" spans="1:19" ht="13.5" thickBot="1" x14ac:dyDescent="0.25">
      <c r="A35" s="94">
        <v>36977</v>
      </c>
      <c r="B35" s="82">
        <v>0</v>
      </c>
      <c r="C35" s="77">
        <f t="shared" si="9"/>
        <v>0</v>
      </c>
      <c r="D35" s="88">
        <v>1</v>
      </c>
      <c r="E35" s="60">
        <f t="shared" si="6"/>
        <v>0</v>
      </c>
      <c r="F35" s="83">
        <f t="shared" si="7"/>
        <v>-1</v>
      </c>
      <c r="G35" s="115">
        <f t="shared" si="2"/>
        <v>7387.0282000000007</v>
      </c>
      <c r="H35" s="84"/>
      <c r="I35" s="85">
        <v>0</v>
      </c>
      <c r="J35" s="86">
        <f>B35*I35</f>
        <v>0</v>
      </c>
      <c r="K35" s="92">
        <v>0</v>
      </c>
      <c r="L35" s="87">
        <f t="shared" si="3"/>
        <v>0</v>
      </c>
      <c r="M35" s="101"/>
      <c r="N35" s="98">
        <f t="shared" si="4"/>
        <v>0</v>
      </c>
      <c r="O35" s="99">
        <f t="shared" si="5"/>
        <v>0</v>
      </c>
      <c r="P35" s="14"/>
      <c r="Q35" s="14"/>
      <c r="R35" s="14"/>
      <c r="S35" s="14"/>
    </row>
    <row r="36" spans="1:19" ht="13.5" thickBot="1" x14ac:dyDescent="0.25">
      <c r="A36" s="94">
        <v>36978</v>
      </c>
      <c r="B36" s="68">
        <v>0</v>
      </c>
      <c r="C36" s="60">
        <f t="shared" si="9"/>
        <v>0</v>
      </c>
      <c r="D36" s="88">
        <v>1</v>
      </c>
      <c r="E36" s="60">
        <f t="shared" si="6"/>
        <v>0</v>
      </c>
      <c r="F36" s="59">
        <f>IF(B36&gt;0,((C36-D36)),IF(B36=0,B36-(D36)))</f>
        <v>-1</v>
      </c>
      <c r="G36" s="114">
        <f t="shared" si="2"/>
        <v>7386.0282000000007</v>
      </c>
      <c r="H36" s="14"/>
      <c r="I36" s="32">
        <v>0</v>
      </c>
      <c r="J36" s="31">
        <v>0</v>
      </c>
      <c r="K36" s="93">
        <v>0</v>
      </c>
      <c r="L36" s="69">
        <f t="shared" si="3"/>
        <v>0</v>
      </c>
      <c r="M36" s="101"/>
      <c r="N36" s="98">
        <f t="shared" si="4"/>
        <v>0</v>
      </c>
      <c r="O36" s="99">
        <f t="shared" si="5"/>
        <v>0</v>
      </c>
      <c r="P36" s="14"/>
      <c r="Q36" s="14"/>
      <c r="R36" s="14"/>
      <c r="S36" s="14"/>
    </row>
    <row r="37" spans="1:19" ht="13.5" thickBot="1" x14ac:dyDescent="0.25">
      <c r="A37" s="94">
        <v>36979</v>
      </c>
      <c r="B37" s="82">
        <v>0</v>
      </c>
      <c r="C37" s="77">
        <f t="shared" si="9"/>
        <v>0</v>
      </c>
      <c r="D37" s="88">
        <v>1</v>
      </c>
      <c r="E37" s="60">
        <f t="shared" si="6"/>
        <v>0</v>
      </c>
      <c r="F37" s="83">
        <f>IF(B37&gt;0,((C37-D37)),IF(B37=0,B37-(D37+E37)))</f>
        <v>-1</v>
      </c>
      <c r="G37" s="115">
        <f t="shared" si="2"/>
        <v>7385.0282000000007</v>
      </c>
      <c r="H37" s="84"/>
      <c r="I37" s="85">
        <v>0</v>
      </c>
      <c r="J37" s="86">
        <v>0</v>
      </c>
      <c r="K37" s="92">
        <v>0</v>
      </c>
      <c r="L37" s="87">
        <f t="shared" si="3"/>
        <v>0</v>
      </c>
      <c r="M37" s="101"/>
      <c r="N37" s="98">
        <f t="shared" si="4"/>
        <v>0</v>
      </c>
      <c r="O37" s="99">
        <f t="shared" si="5"/>
        <v>0</v>
      </c>
      <c r="P37" s="14"/>
      <c r="Q37" s="14"/>
      <c r="R37" s="14"/>
      <c r="S37" s="14"/>
    </row>
    <row r="38" spans="1:19" ht="13.5" thickBot="1" x14ac:dyDescent="0.25">
      <c r="A38" s="94">
        <v>36980</v>
      </c>
      <c r="B38" s="68">
        <v>0</v>
      </c>
      <c r="C38" s="60">
        <f t="shared" si="9"/>
        <v>0</v>
      </c>
      <c r="D38" s="88">
        <v>1</v>
      </c>
      <c r="E38" s="60">
        <f t="shared" si="6"/>
        <v>0</v>
      </c>
      <c r="F38" s="59">
        <f>IF(B38&gt;0,((C38-D38)),IF(B38=0,B38-(D38+E38)))</f>
        <v>-1</v>
      </c>
      <c r="G38" s="114">
        <f t="shared" si="2"/>
        <v>7384.0282000000007</v>
      </c>
      <c r="H38" s="14"/>
      <c r="I38" s="32">
        <v>0</v>
      </c>
      <c r="J38" s="31">
        <f>B38*(I38+0.065)</f>
        <v>0</v>
      </c>
      <c r="K38" s="93">
        <v>0</v>
      </c>
      <c r="L38" s="69">
        <f t="shared" si="3"/>
        <v>0</v>
      </c>
      <c r="M38" s="101"/>
      <c r="N38" s="98">
        <f t="shared" si="4"/>
        <v>0</v>
      </c>
      <c r="O38" s="99">
        <f t="shared" si="5"/>
        <v>0</v>
      </c>
      <c r="P38" s="14"/>
      <c r="Q38" s="14"/>
      <c r="R38" s="14"/>
      <c r="S38" s="14"/>
    </row>
    <row r="39" spans="1:19" x14ac:dyDescent="0.2">
      <c r="A39" s="94">
        <v>36981</v>
      </c>
      <c r="B39" s="82">
        <v>0</v>
      </c>
      <c r="C39" s="77">
        <f t="shared" si="9"/>
        <v>0</v>
      </c>
      <c r="D39" s="88">
        <v>1</v>
      </c>
      <c r="E39" s="60">
        <f t="shared" si="6"/>
        <v>0</v>
      </c>
      <c r="F39" s="83">
        <f>IF(B39&gt;0,((C39-D39)),IF(B39=0,B39-(D39)))</f>
        <v>-1</v>
      </c>
      <c r="G39" s="115">
        <f t="shared" si="2"/>
        <v>7383.0282000000007</v>
      </c>
      <c r="H39" s="84"/>
      <c r="I39" s="85">
        <v>0</v>
      </c>
      <c r="J39" s="86">
        <f>B39*(I39+0.065)</f>
        <v>0</v>
      </c>
      <c r="K39" s="92">
        <v>0</v>
      </c>
      <c r="L39" s="87">
        <f t="shared" si="3"/>
        <v>0</v>
      </c>
      <c r="M39" s="101"/>
      <c r="N39" s="98">
        <f t="shared" si="4"/>
        <v>0</v>
      </c>
      <c r="O39" s="99">
        <f t="shared" si="5"/>
        <v>0</v>
      </c>
      <c r="P39" s="14"/>
      <c r="Q39" s="14"/>
      <c r="R39" s="14"/>
      <c r="S39" s="14"/>
    </row>
    <row r="40" spans="1:19" ht="13.5" thickBot="1" x14ac:dyDescent="0.25">
      <c r="A40" s="38"/>
      <c r="B40" s="70"/>
      <c r="C40" s="24"/>
      <c r="D40" s="24"/>
      <c r="E40" s="24"/>
      <c r="F40" s="24"/>
      <c r="G40" s="116"/>
      <c r="H40" s="14"/>
      <c r="I40" s="124">
        <v>0</v>
      </c>
      <c r="J40" s="21"/>
      <c r="K40" s="14"/>
      <c r="L40" s="15"/>
      <c r="M40" s="14"/>
      <c r="N40"/>
      <c r="P40" s="14"/>
      <c r="Q40" s="14"/>
      <c r="R40" s="14"/>
      <c r="S40" s="14"/>
    </row>
    <row r="41" spans="1:19" ht="13.5" thickBot="1" x14ac:dyDescent="0.25">
      <c r="A41" s="41" t="s">
        <v>42</v>
      </c>
      <c r="B41" s="71">
        <f>SUM(B9:B39)</f>
        <v>10000</v>
      </c>
      <c r="C41" s="39">
        <f>SUM(C9:C39)</f>
        <v>9718</v>
      </c>
      <c r="D41" s="39">
        <f>SUM(D9:D39)</f>
        <v>14917</v>
      </c>
      <c r="E41" s="39">
        <f>SUM(E9:E39)</f>
        <v>503.39819999999997</v>
      </c>
      <c r="F41" s="39">
        <f>SUM(F9:F39)</f>
        <v>-5198.9718000000003</v>
      </c>
      <c r="G41" s="117"/>
      <c r="H41" s="40" t="s">
        <v>49</v>
      </c>
      <c r="I41" s="119" t="s">
        <v>66</v>
      </c>
      <c r="J41" s="120">
        <f>D41*0.05</f>
        <v>745.85</v>
      </c>
      <c r="K41" s="40"/>
      <c r="L41" s="72">
        <f>SUM(L9:L40)</f>
        <v>56370.000000000007</v>
      </c>
      <c r="M41" s="102"/>
      <c r="N41" s="100">
        <f>SUM(N9:N40)</f>
        <v>76301.139999999985</v>
      </c>
      <c r="O41" s="100">
        <f>SUM(O9:O40)</f>
        <v>1144.5171</v>
      </c>
      <c r="P41" s="14"/>
      <c r="Q41" s="14"/>
      <c r="R41" s="14"/>
      <c r="S41" s="14"/>
    </row>
    <row r="42" spans="1:19" x14ac:dyDescent="0.2">
      <c r="A42" s="13"/>
      <c r="I42" t="s">
        <v>54</v>
      </c>
      <c r="P42" s="14"/>
      <c r="Q42" s="14"/>
      <c r="R42" s="14"/>
      <c r="S42" s="14"/>
    </row>
    <row r="43" spans="1:19" x14ac:dyDescent="0.2">
      <c r="A43" s="25" t="s">
        <v>43</v>
      </c>
      <c r="L43" s="23"/>
      <c r="M43" s="23"/>
    </row>
    <row r="44" spans="1:19" x14ac:dyDescent="0.2">
      <c r="A44" s="25"/>
      <c r="L44" s="23"/>
      <c r="M44" s="23"/>
    </row>
    <row r="45" spans="1:19" x14ac:dyDescent="0.2">
      <c r="A45" s="121" t="s">
        <v>49</v>
      </c>
      <c r="B45" s="3"/>
      <c r="L45" s="23"/>
      <c r="M45" s="23"/>
    </row>
    <row r="46" spans="1:19" x14ac:dyDescent="0.2">
      <c r="A46" s="121" t="s">
        <v>49</v>
      </c>
      <c r="B46" s="3"/>
    </row>
    <row r="47" spans="1:19" x14ac:dyDescent="0.2">
      <c r="A47" s="13"/>
      <c r="B47" s="29"/>
    </row>
  </sheetData>
  <mergeCells count="3">
    <mergeCell ref="B4:G4"/>
    <mergeCell ref="I4:L4"/>
    <mergeCell ref="N4:O4"/>
  </mergeCells>
  <phoneticPr fontId="0" type="noConversion"/>
  <pageMargins left="0.75" right="0.75" top="1" bottom="1" header="0.5" footer="0.5"/>
  <pageSetup scale="78" orientation="landscape" r:id="rId1"/>
  <headerFooter alignWithMargins="0">
    <oddFooter>&amp;L&amp;D&amp;Cm:\genco\gas supply\&amp;F&amp;R&amp;T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 Andy Ring</vt:lpstr>
      <vt:lpstr>to CGULF Pipeline</vt:lpstr>
      <vt:lpstr>wacog</vt:lpstr>
      <vt:lpstr>'to CGULF Pipeline'!Print_Area</vt:lpstr>
      <vt:lpstr>wacog!Print_Area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dc:description>- Oracle 8i ODBC QueryFix Applied</dc:description>
  <cp:lastModifiedBy>Jan Havlíček</cp:lastModifiedBy>
  <cp:lastPrinted>2001-03-29T15:16:09Z</cp:lastPrinted>
  <dcterms:created xsi:type="dcterms:W3CDTF">1999-04-23T12:35:15Z</dcterms:created>
  <dcterms:modified xsi:type="dcterms:W3CDTF">2023-09-14T19:21:42Z</dcterms:modified>
</cp:coreProperties>
</file>