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E8A0C2D-84BE-42C6-A9C4-FD132B08611E}" xr6:coauthVersionLast="47" xr6:coauthVersionMax="47" xr10:uidLastSave="{00000000-0000-0000-0000-000000000000}"/>
  <bookViews>
    <workbookView xWindow="-120" yWindow="-120" windowWidth="38640" windowHeight="15720" tabRatio="599"/>
  </bookViews>
  <sheets>
    <sheet name="Jan  Setup" sheetId="1" r:id="rId1"/>
  </sheets>
  <definedNames>
    <definedName name="_xlnm.Print_Area" localSheetId="0">'Jan  Setup'!$BL$13:$HE$75</definedName>
    <definedName name="_xlnm.Print_Titles" localSheetId="0">'Jan  Setup'!$A:$V,'Jan  Setup'!$1:$7</definedName>
  </definedNames>
  <calcPr calcId="0" fullCalcOnLoad="1"/>
</workbook>
</file>

<file path=xl/calcChain.xml><?xml version="1.0" encoding="utf-8"?>
<calcChain xmlns="http://schemas.openxmlformats.org/spreadsheetml/2006/main">
  <c r="HE3" i="1" l="1"/>
  <c r="N8" i="1"/>
  <c r="O8" i="1"/>
  <c r="Q8" i="1"/>
  <c r="R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BB8" i="1"/>
  <c r="BC8" i="1"/>
  <c r="BD8" i="1"/>
  <c r="HE8" i="1"/>
  <c r="N9" i="1"/>
  <c r="O9" i="1"/>
  <c r="Q9" i="1"/>
  <c r="R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BB9" i="1"/>
  <c r="BC9" i="1"/>
  <c r="BD9" i="1"/>
  <c r="HE9" i="1"/>
  <c r="N10" i="1"/>
  <c r="O10" i="1"/>
  <c r="Q10" i="1"/>
  <c r="R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BB10" i="1"/>
  <c r="BC10" i="1"/>
  <c r="BD10" i="1"/>
  <c r="HE10" i="1"/>
  <c r="N11" i="1"/>
  <c r="O11" i="1"/>
  <c r="Q11" i="1"/>
  <c r="R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BB11" i="1"/>
  <c r="BC11" i="1"/>
  <c r="BD11" i="1"/>
  <c r="HE11" i="1"/>
  <c r="N12" i="1"/>
  <c r="O12" i="1"/>
  <c r="Q12" i="1"/>
  <c r="R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BB12" i="1"/>
  <c r="BC12" i="1"/>
  <c r="BD12" i="1"/>
  <c r="HE12" i="1"/>
  <c r="N13" i="1"/>
  <c r="O13" i="1"/>
  <c r="Q13" i="1"/>
  <c r="R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BB13" i="1"/>
  <c r="BC13" i="1"/>
  <c r="BD13" i="1"/>
  <c r="HE13" i="1"/>
  <c r="N14" i="1"/>
  <c r="O14" i="1"/>
  <c r="Q14" i="1"/>
  <c r="R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BB14" i="1"/>
  <c r="BC14" i="1"/>
  <c r="BD14" i="1"/>
  <c r="HE14" i="1"/>
  <c r="N15" i="1"/>
  <c r="O15" i="1"/>
  <c r="Q15" i="1"/>
  <c r="R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BB15" i="1"/>
  <c r="BC15" i="1"/>
  <c r="BD15" i="1"/>
  <c r="HE15" i="1"/>
  <c r="N16" i="1"/>
  <c r="O16" i="1"/>
  <c r="Q16" i="1"/>
  <c r="R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BB16" i="1"/>
  <c r="BC16" i="1"/>
  <c r="BD16" i="1"/>
  <c r="HE16" i="1"/>
  <c r="N17" i="1"/>
  <c r="O17" i="1"/>
  <c r="Q17" i="1"/>
  <c r="R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BB17" i="1"/>
  <c r="BC17" i="1"/>
  <c r="BD17" i="1"/>
  <c r="HE17" i="1"/>
  <c r="N18" i="1"/>
  <c r="O18" i="1"/>
  <c r="Q18" i="1"/>
  <c r="R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BB18" i="1"/>
  <c r="BC18" i="1"/>
  <c r="BD18" i="1"/>
  <c r="HE18" i="1"/>
  <c r="N19" i="1"/>
  <c r="O19" i="1"/>
  <c r="Q19" i="1"/>
  <c r="R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BB19" i="1"/>
  <c r="BC19" i="1"/>
  <c r="BD19" i="1"/>
  <c r="HE19" i="1"/>
  <c r="N20" i="1"/>
  <c r="O20" i="1"/>
  <c r="Q20" i="1"/>
  <c r="R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BB20" i="1"/>
  <c r="BC20" i="1"/>
  <c r="BD20" i="1"/>
  <c r="HE20" i="1"/>
  <c r="N21" i="1"/>
  <c r="O21" i="1"/>
  <c r="Q21" i="1"/>
  <c r="R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BB21" i="1"/>
  <c r="BC21" i="1"/>
  <c r="BD21" i="1"/>
  <c r="HE21" i="1"/>
  <c r="N22" i="1"/>
  <c r="O22" i="1"/>
  <c r="Q22" i="1"/>
  <c r="R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BB22" i="1"/>
  <c r="BC22" i="1"/>
  <c r="BD22" i="1"/>
  <c r="HE22" i="1"/>
  <c r="N23" i="1"/>
  <c r="O23" i="1"/>
  <c r="Q23" i="1"/>
  <c r="R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BB23" i="1"/>
  <c r="BC23" i="1"/>
  <c r="BD23" i="1"/>
  <c r="HE23" i="1"/>
  <c r="N24" i="1"/>
  <c r="O24" i="1"/>
  <c r="Q24" i="1"/>
  <c r="R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BB24" i="1"/>
  <c r="BC24" i="1"/>
  <c r="BD24" i="1"/>
  <c r="HE24" i="1"/>
  <c r="N25" i="1"/>
  <c r="O25" i="1"/>
  <c r="Q25" i="1"/>
  <c r="R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BB25" i="1"/>
  <c r="BC25" i="1"/>
  <c r="BD25" i="1"/>
  <c r="HE25" i="1"/>
  <c r="N26" i="1"/>
  <c r="O26" i="1"/>
  <c r="Q26" i="1"/>
  <c r="R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BB26" i="1"/>
  <c r="BC26" i="1"/>
  <c r="BD26" i="1"/>
  <c r="HE26" i="1"/>
  <c r="N27" i="1"/>
  <c r="O27" i="1"/>
  <c r="Q27" i="1"/>
  <c r="R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BB27" i="1"/>
  <c r="BC27" i="1"/>
  <c r="BD27" i="1"/>
  <c r="HE27" i="1"/>
  <c r="N28" i="1"/>
  <c r="O28" i="1"/>
  <c r="Q28" i="1"/>
  <c r="R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BB28" i="1"/>
  <c r="BC28" i="1"/>
  <c r="BD28" i="1"/>
  <c r="HE28" i="1"/>
  <c r="N29" i="1"/>
  <c r="O29" i="1"/>
  <c r="Q29" i="1"/>
  <c r="R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BB29" i="1"/>
  <c r="BC29" i="1"/>
  <c r="BD29" i="1"/>
  <c r="HE29" i="1"/>
  <c r="N30" i="1"/>
  <c r="O30" i="1"/>
  <c r="Q30" i="1"/>
  <c r="R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BB30" i="1"/>
  <c r="BC30" i="1"/>
  <c r="BD30" i="1"/>
  <c r="HE30" i="1"/>
  <c r="N31" i="1"/>
  <c r="O31" i="1"/>
  <c r="Q31" i="1"/>
  <c r="R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BB31" i="1"/>
  <c r="BC31" i="1"/>
  <c r="BD31" i="1"/>
  <c r="HE31" i="1"/>
  <c r="N32" i="1"/>
  <c r="O32" i="1"/>
  <c r="Q32" i="1"/>
  <c r="R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BB32" i="1"/>
  <c r="BC32" i="1"/>
  <c r="BD32" i="1"/>
  <c r="HE32" i="1"/>
  <c r="N33" i="1"/>
  <c r="O33" i="1"/>
  <c r="Q33" i="1"/>
  <c r="R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BB33" i="1"/>
  <c r="BC33" i="1"/>
  <c r="BD33" i="1"/>
  <c r="HE33" i="1"/>
  <c r="N34" i="1"/>
  <c r="O34" i="1"/>
  <c r="Q34" i="1"/>
  <c r="R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B34" i="1"/>
  <c r="BC34" i="1"/>
  <c r="BD34" i="1"/>
  <c r="HH34" i="1"/>
  <c r="N35" i="1"/>
  <c r="O35" i="1"/>
  <c r="Q35" i="1"/>
  <c r="R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B35" i="1"/>
  <c r="BC35" i="1"/>
  <c r="BD35" i="1"/>
  <c r="HH35" i="1"/>
  <c r="N36" i="1"/>
  <c r="O36" i="1"/>
  <c r="Q36" i="1"/>
  <c r="R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B36" i="1"/>
  <c r="BC36" i="1"/>
  <c r="BD36" i="1"/>
  <c r="HH36" i="1"/>
  <c r="N37" i="1"/>
  <c r="O37" i="1"/>
  <c r="Q37" i="1"/>
  <c r="R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B37" i="1"/>
  <c r="BC37" i="1"/>
  <c r="BD37" i="1"/>
  <c r="HH37" i="1"/>
  <c r="N38" i="1"/>
  <c r="O38" i="1"/>
  <c r="Q38" i="1"/>
  <c r="R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B38" i="1"/>
  <c r="BC38" i="1"/>
  <c r="BD38" i="1"/>
  <c r="HH38" i="1"/>
  <c r="N39" i="1"/>
  <c r="O39" i="1"/>
  <c r="Q39" i="1"/>
  <c r="R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B39" i="1"/>
  <c r="BC39" i="1"/>
  <c r="BD39" i="1"/>
  <c r="HH39" i="1"/>
  <c r="N40" i="1"/>
  <c r="O40" i="1"/>
  <c r="Q40" i="1"/>
  <c r="R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B40" i="1"/>
  <c r="BC40" i="1"/>
  <c r="BD40" i="1"/>
  <c r="HH40" i="1"/>
  <c r="N41" i="1"/>
  <c r="O41" i="1"/>
  <c r="Q41" i="1"/>
  <c r="R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B41" i="1"/>
  <c r="BC41" i="1"/>
  <c r="BD41" i="1"/>
  <c r="HH41" i="1"/>
  <c r="N42" i="1"/>
  <c r="O42" i="1"/>
  <c r="Q42" i="1"/>
  <c r="R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B42" i="1"/>
  <c r="BC42" i="1"/>
  <c r="BD42" i="1"/>
  <c r="HH42" i="1"/>
  <c r="H43" i="1"/>
  <c r="N43" i="1"/>
  <c r="O43" i="1"/>
  <c r="Q43" i="1"/>
  <c r="R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BB43" i="1"/>
  <c r="BC43" i="1"/>
  <c r="BD43" i="1"/>
  <c r="HE43" i="1"/>
  <c r="H44" i="1"/>
  <c r="N44" i="1"/>
  <c r="O44" i="1"/>
  <c r="Q44" i="1"/>
  <c r="R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BB44" i="1"/>
  <c r="BC44" i="1"/>
  <c r="BD44" i="1"/>
  <c r="HE44" i="1"/>
  <c r="H45" i="1"/>
  <c r="N45" i="1"/>
  <c r="O45" i="1"/>
  <c r="Q45" i="1"/>
  <c r="R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BB45" i="1"/>
  <c r="BC45" i="1"/>
  <c r="BD45" i="1"/>
  <c r="HE45" i="1"/>
  <c r="H46" i="1"/>
  <c r="N46" i="1"/>
  <c r="O46" i="1"/>
  <c r="Q46" i="1"/>
  <c r="R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BB46" i="1"/>
  <c r="BC46" i="1"/>
  <c r="BD46" i="1"/>
  <c r="HE46" i="1"/>
  <c r="H47" i="1"/>
  <c r="N47" i="1"/>
  <c r="O47" i="1"/>
  <c r="Q47" i="1"/>
  <c r="R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BB47" i="1"/>
  <c r="BC47" i="1"/>
  <c r="BD47" i="1"/>
  <c r="HE47" i="1"/>
  <c r="N48" i="1"/>
  <c r="O48" i="1"/>
  <c r="Q48" i="1"/>
  <c r="R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BB48" i="1"/>
  <c r="BC48" i="1"/>
  <c r="BD48" i="1"/>
  <c r="HE48" i="1"/>
  <c r="N49" i="1"/>
  <c r="O49" i="1"/>
  <c r="Q49" i="1"/>
  <c r="R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BB49" i="1"/>
  <c r="BC49" i="1"/>
  <c r="BD49" i="1"/>
  <c r="HE49" i="1"/>
  <c r="N50" i="1"/>
  <c r="O50" i="1"/>
  <c r="Q50" i="1"/>
  <c r="R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BB50" i="1"/>
  <c r="BC50" i="1"/>
  <c r="BD50" i="1"/>
  <c r="HE50" i="1"/>
  <c r="N51" i="1"/>
  <c r="O51" i="1"/>
  <c r="Q51" i="1"/>
  <c r="R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BB51" i="1"/>
  <c r="BC51" i="1"/>
  <c r="BD51" i="1"/>
  <c r="HE51" i="1"/>
  <c r="N52" i="1"/>
  <c r="O52" i="1"/>
  <c r="Q52" i="1"/>
  <c r="R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BB52" i="1"/>
  <c r="BC52" i="1"/>
  <c r="BD52" i="1"/>
  <c r="HE52" i="1"/>
  <c r="N53" i="1"/>
  <c r="O53" i="1"/>
  <c r="Q53" i="1"/>
  <c r="R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BB53" i="1"/>
  <c r="BC53" i="1"/>
  <c r="BD53" i="1"/>
  <c r="HE53" i="1"/>
  <c r="N54" i="1"/>
  <c r="O54" i="1"/>
  <c r="Q54" i="1"/>
  <c r="R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BB54" i="1"/>
  <c r="BC54" i="1"/>
  <c r="BD54" i="1"/>
  <c r="HE54" i="1"/>
  <c r="N55" i="1"/>
  <c r="O55" i="1"/>
  <c r="Q55" i="1"/>
  <c r="R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BB55" i="1"/>
  <c r="BC55" i="1"/>
  <c r="BD55" i="1"/>
  <c r="HE55" i="1"/>
  <c r="N56" i="1"/>
  <c r="O56" i="1"/>
  <c r="Q56" i="1"/>
  <c r="R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BB56" i="1"/>
  <c r="BC56" i="1"/>
  <c r="BD56" i="1"/>
  <c r="HE56" i="1"/>
  <c r="N57" i="1"/>
  <c r="O57" i="1"/>
  <c r="Q57" i="1"/>
  <c r="R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BB57" i="1"/>
  <c r="BC57" i="1"/>
  <c r="BD57" i="1"/>
  <c r="HE57" i="1"/>
  <c r="N58" i="1"/>
  <c r="O58" i="1"/>
  <c r="Q58" i="1"/>
  <c r="R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BB58" i="1"/>
  <c r="BC58" i="1"/>
  <c r="BD58" i="1"/>
  <c r="HE58" i="1"/>
  <c r="N59" i="1"/>
  <c r="O59" i="1"/>
  <c r="Q59" i="1"/>
  <c r="R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BB59" i="1"/>
  <c r="BC59" i="1"/>
  <c r="BD59" i="1"/>
  <c r="HE59" i="1"/>
  <c r="N60" i="1"/>
  <c r="O60" i="1"/>
  <c r="Q60" i="1"/>
  <c r="R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BB60" i="1"/>
  <c r="BC60" i="1"/>
  <c r="BD60" i="1"/>
  <c r="HE60" i="1"/>
  <c r="N61" i="1"/>
  <c r="O61" i="1"/>
  <c r="Q61" i="1"/>
  <c r="R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BB61" i="1"/>
  <c r="BC61" i="1"/>
  <c r="BD61" i="1"/>
  <c r="HE61" i="1"/>
  <c r="N62" i="1"/>
  <c r="O62" i="1"/>
  <c r="Q62" i="1"/>
  <c r="R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BB62" i="1"/>
  <c r="BC62" i="1"/>
  <c r="BD62" i="1"/>
  <c r="HE62" i="1"/>
  <c r="N63" i="1"/>
  <c r="O63" i="1"/>
  <c r="Q63" i="1"/>
  <c r="R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BB63" i="1"/>
  <c r="BC63" i="1"/>
  <c r="BD63" i="1"/>
  <c r="HE63" i="1"/>
  <c r="N64" i="1"/>
  <c r="O64" i="1"/>
  <c r="Q64" i="1"/>
  <c r="R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BB64" i="1"/>
  <c r="BC64" i="1"/>
  <c r="BD64" i="1"/>
  <c r="HE64" i="1"/>
  <c r="N65" i="1"/>
  <c r="O65" i="1"/>
  <c r="Q65" i="1"/>
  <c r="R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BB65" i="1"/>
  <c r="BC65" i="1"/>
  <c r="BD65" i="1"/>
  <c r="HE65" i="1"/>
  <c r="N66" i="1"/>
  <c r="O66" i="1"/>
  <c r="Q66" i="1"/>
  <c r="R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BB66" i="1"/>
  <c r="BC66" i="1"/>
  <c r="BD66" i="1"/>
  <c r="HE66" i="1"/>
  <c r="N67" i="1"/>
  <c r="O67" i="1"/>
  <c r="Q67" i="1"/>
  <c r="R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BB67" i="1"/>
  <c r="BC67" i="1"/>
  <c r="BD67" i="1"/>
  <c r="HE67" i="1"/>
  <c r="N68" i="1"/>
  <c r="O68" i="1"/>
  <c r="Q68" i="1"/>
  <c r="R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BB68" i="1"/>
  <c r="BC68" i="1"/>
  <c r="BD68" i="1"/>
  <c r="HE68" i="1"/>
  <c r="N69" i="1"/>
  <c r="O69" i="1"/>
  <c r="Q69" i="1"/>
  <c r="R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BB69" i="1"/>
  <c r="BC69" i="1"/>
  <c r="BD69" i="1"/>
  <c r="HE69" i="1"/>
  <c r="N71" i="1"/>
  <c r="O71" i="1"/>
  <c r="Q71" i="1"/>
  <c r="R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BB71" i="1"/>
  <c r="BC71" i="1"/>
  <c r="BD71" i="1"/>
  <c r="HE71" i="1"/>
  <c r="N72" i="1"/>
  <c r="O72" i="1"/>
  <c r="Q72" i="1"/>
  <c r="R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BB72" i="1"/>
  <c r="BC72" i="1"/>
  <c r="BD72" i="1"/>
  <c r="HE72" i="1"/>
  <c r="HF72" i="1"/>
  <c r="Q74" i="1"/>
  <c r="R74" i="1"/>
  <c r="S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BB74" i="1"/>
  <c r="BC74" i="1"/>
  <c r="BD74" i="1"/>
  <c r="BG74" i="1"/>
  <c r="BH74" i="1"/>
  <c r="BI74" i="1"/>
  <c r="BK74" i="1"/>
  <c r="BM74" i="1"/>
  <c r="BO74" i="1"/>
  <c r="BQ74" i="1"/>
  <c r="BS74" i="1"/>
  <c r="BU74" i="1"/>
  <c r="BW74" i="1"/>
  <c r="BY74" i="1"/>
  <c r="CA74" i="1"/>
  <c r="CC74" i="1"/>
  <c r="CE74" i="1"/>
  <c r="CG74" i="1"/>
  <c r="CI74" i="1"/>
  <c r="CK74" i="1"/>
  <c r="CM74" i="1"/>
  <c r="CO74" i="1"/>
  <c r="CQ74" i="1"/>
  <c r="CS74" i="1"/>
  <c r="CU74" i="1"/>
  <c r="CW74" i="1"/>
  <c r="CY74" i="1"/>
  <c r="DA74" i="1"/>
  <c r="DC74" i="1"/>
  <c r="DE74" i="1"/>
  <c r="DG74" i="1"/>
  <c r="DI74" i="1"/>
  <c r="DK74" i="1"/>
  <c r="DM74" i="1"/>
  <c r="DO74" i="1"/>
  <c r="DQ74" i="1"/>
  <c r="DS74" i="1"/>
  <c r="DU74" i="1"/>
  <c r="DW74" i="1"/>
  <c r="DY74" i="1"/>
  <c r="EA74" i="1"/>
  <c r="EC74" i="1"/>
  <c r="EE74" i="1"/>
  <c r="EG74" i="1"/>
  <c r="EI74" i="1"/>
  <c r="EK74" i="1"/>
  <c r="EM74" i="1"/>
  <c r="EO74" i="1"/>
  <c r="EQ74" i="1"/>
  <c r="ES74" i="1"/>
  <c r="EU74" i="1"/>
  <c r="EW74" i="1"/>
  <c r="EY74" i="1"/>
  <c r="FA74" i="1"/>
  <c r="FC74" i="1"/>
  <c r="FE74" i="1"/>
  <c r="FG74" i="1"/>
  <c r="FI74" i="1"/>
  <c r="FK74" i="1"/>
  <c r="FM74" i="1"/>
  <c r="FO74" i="1"/>
  <c r="FQ74" i="1"/>
  <c r="FS74" i="1"/>
  <c r="FU74" i="1"/>
  <c r="FW74" i="1"/>
  <c r="FY74" i="1"/>
  <c r="GA74" i="1"/>
  <c r="GC74" i="1"/>
  <c r="GE74" i="1"/>
  <c r="GG74" i="1"/>
  <c r="GI74" i="1"/>
  <c r="GK74" i="1"/>
  <c r="GM74" i="1"/>
  <c r="GO74" i="1"/>
  <c r="GQ74" i="1"/>
  <c r="GS74" i="1"/>
  <c r="GU74" i="1"/>
  <c r="GW74" i="1"/>
  <c r="GY74" i="1"/>
  <c r="HA74" i="1"/>
  <c r="HC74" i="1"/>
  <c r="BG75" i="1"/>
  <c r="BH75" i="1"/>
  <c r="BI75" i="1"/>
  <c r="BK75" i="1"/>
  <c r="BM75" i="1"/>
  <c r="BO75" i="1"/>
  <c r="BQ75" i="1"/>
  <c r="BS75" i="1"/>
  <c r="BU75" i="1"/>
  <c r="BW75" i="1"/>
  <c r="BY75" i="1"/>
  <c r="CA75" i="1"/>
  <c r="CC75" i="1"/>
  <c r="CE75" i="1"/>
  <c r="CG75" i="1"/>
  <c r="CI75" i="1"/>
  <c r="CK75" i="1"/>
  <c r="CM75" i="1"/>
  <c r="CO75" i="1"/>
  <c r="CQ75" i="1"/>
  <c r="CS75" i="1"/>
  <c r="CU75" i="1"/>
  <c r="CW75" i="1"/>
  <c r="CY75" i="1"/>
  <c r="DA75" i="1"/>
  <c r="DC75" i="1"/>
  <c r="DE75" i="1"/>
  <c r="DG75" i="1"/>
  <c r="DI75" i="1"/>
  <c r="DK75" i="1"/>
  <c r="DM75" i="1"/>
  <c r="DO75" i="1"/>
  <c r="DQ75" i="1"/>
  <c r="DS75" i="1"/>
  <c r="DU75" i="1"/>
  <c r="DW75" i="1"/>
  <c r="DY75" i="1"/>
  <c r="EA75" i="1"/>
  <c r="EC75" i="1"/>
  <c r="EE75" i="1"/>
  <c r="EG75" i="1"/>
  <c r="EI75" i="1"/>
  <c r="EK75" i="1"/>
  <c r="EM75" i="1"/>
  <c r="EO75" i="1"/>
  <c r="EQ75" i="1"/>
  <c r="ES75" i="1"/>
  <c r="EU75" i="1"/>
  <c r="EW75" i="1"/>
  <c r="EY75" i="1"/>
  <c r="FA75" i="1"/>
  <c r="FC75" i="1"/>
  <c r="FE75" i="1"/>
  <c r="FG75" i="1"/>
  <c r="FI75" i="1"/>
  <c r="FK75" i="1"/>
  <c r="FM75" i="1"/>
  <c r="FO75" i="1"/>
  <c r="FQ75" i="1"/>
  <c r="FS75" i="1"/>
  <c r="FU75" i="1"/>
  <c r="FW75" i="1"/>
  <c r="FY75" i="1"/>
  <c r="GA75" i="1"/>
  <c r="GC75" i="1"/>
  <c r="GE75" i="1"/>
  <c r="GG75" i="1"/>
  <c r="GI75" i="1"/>
  <c r="GK75" i="1"/>
  <c r="GM75" i="1"/>
  <c r="GO75" i="1"/>
  <c r="GQ75" i="1"/>
  <c r="GS75" i="1"/>
  <c r="GU75" i="1"/>
  <c r="GW75" i="1"/>
  <c r="GY75" i="1"/>
  <c r="HA75" i="1"/>
  <c r="HC75" i="1"/>
  <c r="FO77" i="1"/>
  <c r="N80" i="1"/>
  <c r="S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BB80" i="1"/>
  <c r="BC80" i="1"/>
  <c r="BD80" i="1"/>
  <c r="HE80" i="1"/>
  <c r="N81" i="1"/>
  <c r="Q81" i="1"/>
  <c r="S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BB81" i="1"/>
  <c r="BC81" i="1"/>
  <c r="BD81" i="1"/>
  <c r="HE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BB82" i="1"/>
  <c r="BC82" i="1"/>
  <c r="BD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BB83" i="1"/>
  <c r="BC83" i="1"/>
  <c r="BD83" i="1"/>
  <c r="N84" i="1"/>
  <c r="S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BB84" i="1"/>
  <c r="BC84" i="1"/>
  <c r="BD84" i="1"/>
  <c r="HE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BB85" i="1"/>
  <c r="BC85" i="1"/>
  <c r="BD85" i="1"/>
  <c r="S87" i="1"/>
  <c r="BD87" i="1"/>
  <c r="S88" i="1"/>
  <c r="BD88" i="1"/>
  <c r="S89" i="1"/>
  <c r="BD89" i="1"/>
  <c r="S90" i="1"/>
  <c r="BD90" i="1"/>
  <c r="S91" i="1"/>
  <c r="BD91" i="1"/>
  <c r="FU92" i="1"/>
  <c r="FW92" i="1"/>
  <c r="FY92" i="1"/>
  <c r="GA92" i="1"/>
  <c r="GC92" i="1"/>
  <c r="GE92" i="1"/>
  <c r="GM92" i="1"/>
  <c r="GO92" i="1"/>
  <c r="GQ92" i="1"/>
  <c r="GS92" i="1"/>
  <c r="GU92" i="1"/>
  <c r="GW92" i="1"/>
  <c r="GY92" i="1"/>
  <c r="HA92" i="1"/>
  <c r="HC92" i="1"/>
  <c r="S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BB93" i="1"/>
  <c r="BC93" i="1"/>
  <c r="BD93" i="1"/>
  <c r="FU93" i="1"/>
  <c r="FW93" i="1"/>
  <c r="FY93" i="1"/>
  <c r="GA93" i="1"/>
  <c r="GC93" i="1"/>
  <c r="GE93" i="1"/>
  <c r="GM93" i="1"/>
  <c r="GO93" i="1"/>
  <c r="GQ93" i="1"/>
  <c r="GS93" i="1"/>
  <c r="GU93" i="1"/>
  <c r="GW93" i="1"/>
  <c r="GY93" i="1"/>
  <c r="HA93" i="1"/>
  <c r="HC93" i="1"/>
  <c r="HE93" i="1"/>
  <c r="S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BB94" i="1"/>
  <c r="BC94" i="1"/>
  <c r="BD94" i="1"/>
  <c r="HE94" i="1"/>
  <c r="S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BB95" i="1"/>
  <c r="BC95" i="1"/>
  <c r="BD95" i="1"/>
  <c r="GQ95" i="1"/>
  <c r="HE95" i="1"/>
  <c r="S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BB96" i="1"/>
  <c r="BC96" i="1"/>
  <c r="BD96" i="1"/>
  <c r="HE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BB97" i="1"/>
  <c r="BC97" i="1"/>
  <c r="BD97" i="1"/>
  <c r="G101" i="1"/>
  <c r="H101" i="1"/>
  <c r="I101" i="1"/>
  <c r="J101" i="1"/>
  <c r="K101" i="1"/>
  <c r="Q101" i="1"/>
  <c r="R101" i="1"/>
  <c r="G102" i="1"/>
  <c r="H102" i="1"/>
  <c r="I102" i="1"/>
  <c r="J102" i="1"/>
  <c r="K102" i="1"/>
  <c r="Q102" i="1"/>
  <c r="R102" i="1"/>
  <c r="G103" i="1"/>
  <c r="H103" i="1"/>
  <c r="I103" i="1"/>
  <c r="J103" i="1"/>
  <c r="K103" i="1"/>
  <c r="Q103" i="1"/>
  <c r="R103" i="1"/>
  <c r="G104" i="1"/>
  <c r="H104" i="1"/>
  <c r="I104" i="1"/>
  <c r="J104" i="1"/>
  <c r="K104" i="1"/>
  <c r="Q104" i="1"/>
  <c r="R104" i="1"/>
  <c r="G105" i="1"/>
  <c r="H105" i="1"/>
  <c r="I105" i="1"/>
  <c r="J105" i="1"/>
  <c r="K105" i="1"/>
  <c r="Q105" i="1"/>
  <c r="R105" i="1"/>
  <c r="G106" i="1"/>
  <c r="H106" i="1"/>
  <c r="I106" i="1"/>
  <c r="J106" i="1"/>
  <c r="K106" i="1"/>
  <c r="Q106" i="1"/>
  <c r="R106" i="1"/>
  <c r="G107" i="1"/>
  <c r="H107" i="1"/>
  <c r="I107" i="1"/>
  <c r="J107" i="1"/>
  <c r="K107" i="1"/>
  <c r="Q107" i="1"/>
  <c r="R107" i="1"/>
  <c r="G108" i="1"/>
  <c r="H108" i="1"/>
  <c r="I108" i="1"/>
  <c r="J108" i="1"/>
  <c r="K108" i="1"/>
  <c r="Q108" i="1"/>
  <c r="R108" i="1"/>
  <c r="G109" i="1"/>
  <c r="H109" i="1"/>
  <c r="I109" i="1"/>
  <c r="J109" i="1"/>
  <c r="K109" i="1"/>
  <c r="Q109" i="1"/>
  <c r="R109" i="1"/>
  <c r="G110" i="1"/>
  <c r="H110" i="1"/>
  <c r="I110" i="1"/>
  <c r="J110" i="1"/>
  <c r="K110" i="1"/>
  <c r="Q110" i="1"/>
  <c r="R110" i="1"/>
  <c r="G111" i="1"/>
  <c r="H111" i="1"/>
  <c r="I111" i="1"/>
  <c r="J111" i="1"/>
  <c r="K111" i="1"/>
  <c r="Q111" i="1"/>
  <c r="R111" i="1"/>
  <c r="G112" i="1"/>
  <c r="H112" i="1"/>
  <c r="I112" i="1"/>
  <c r="J112" i="1"/>
  <c r="K112" i="1"/>
  <c r="G113" i="1"/>
  <c r="H113" i="1"/>
  <c r="I113" i="1"/>
  <c r="J113" i="1"/>
  <c r="K113" i="1"/>
  <c r="Q113" i="1"/>
  <c r="R113" i="1"/>
  <c r="G114" i="1"/>
  <c r="H114" i="1"/>
  <c r="I114" i="1"/>
  <c r="J114" i="1"/>
  <c r="K114" i="1"/>
  <c r="G115" i="1"/>
  <c r="H115" i="1"/>
  <c r="I115" i="1"/>
  <c r="J115" i="1"/>
  <c r="K115" i="1"/>
  <c r="G116" i="1"/>
  <c r="H116" i="1"/>
  <c r="I116" i="1"/>
  <c r="J116" i="1"/>
  <c r="K116" i="1"/>
  <c r="G117" i="1"/>
  <c r="H117" i="1"/>
  <c r="I117" i="1"/>
  <c r="J117" i="1"/>
  <c r="K117" i="1"/>
  <c r="R117" i="1"/>
  <c r="S117" i="1"/>
  <c r="G118" i="1"/>
  <c r="H118" i="1"/>
  <c r="I118" i="1"/>
  <c r="J118" i="1"/>
  <c r="K118" i="1"/>
  <c r="R118" i="1"/>
  <c r="S118" i="1"/>
  <c r="G119" i="1"/>
  <c r="H119" i="1"/>
  <c r="I119" i="1"/>
  <c r="J119" i="1"/>
  <c r="K119" i="1"/>
  <c r="R119" i="1"/>
  <c r="S119" i="1"/>
  <c r="G120" i="1"/>
  <c r="H120" i="1"/>
  <c r="I120" i="1"/>
  <c r="J120" i="1"/>
  <c r="K120" i="1"/>
  <c r="R120" i="1"/>
  <c r="S120" i="1"/>
  <c r="G121" i="1"/>
  <c r="H121" i="1"/>
  <c r="I121" i="1"/>
  <c r="J121" i="1"/>
  <c r="K121" i="1"/>
  <c r="EU121" i="1"/>
  <c r="EW121" i="1"/>
  <c r="EY121" i="1"/>
  <c r="FA121" i="1"/>
  <c r="FC121" i="1"/>
  <c r="FE121" i="1"/>
  <c r="GG121" i="1"/>
  <c r="GI121" i="1"/>
  <c r="GK121" i="1"/>
  <c r="G122" i="1"/>
  <c r="H122" i="1"/>
  <c r="I122" i="1"/>
  <c r="J122" i="1"/>
  <c r="K122" i="1"/>
  <c r="EU122" i="1"/>
  <c r="EW122" i="1"/>
  <c r="EY122" i="1"/>
  <c r="FA122" i="1"/>
  <c r="FC122" i="1"/>
  <c r="FE122" i="1"/>
  <c r="GG122" i="1"/>
  <c r="GI122" i="1"/>
  <c r="GK122" i="1"/>
  <c r="G123" i="1"/>
  <c r="H123" i="1"/>
  <c r="I123" i="1"/>
  <c r="J123" i="1"/>
  <c r="K123" i="1"/>
  <c r="G124" i="1"/>
  <c r="H124" i="1"/>
  <c r="I124" i="1"/>
  <c r="J124" i="1"/>
  <c r="K124" i="1"/>
  <c r="R124" i="1"/>
  <c r="S124" i="1"/>
  <c r="G125" i="1"/>
  <c r="H125" i="1"/>
  <c r="I125" i="1"/>
  <c r="J125" i="1"/>
  <c r="K125" i="1"/>
  <c r="G126" i="1"/>
  <c r="H126" i="1"/>
  <c r="I126" i="1"/>
  <c r="J126" i="1"/>
  <c r="K126" i="1"/>
  <c r="G127" i="1"/>
  <c r="H127" i="1"/>
  <c r="I127" i="1"/>
  <c r="J127" i="1"/>
  <c r="K127" i="1"/>
  <c r="G128" i="1"/>
  <c r="H128" i="1"/>
  <c r="I128" i="1"/>
  <c r="J128" i="1"/>
  <c r="K128" i="1"/>
  <c r="G129" i="1"/>
  <c r="H129" i="1"/>
  <c r="I129" i="1"/>
  <c r="J129" i="1"/>
  <c r="K129" i="1"/>
  <c r="G130" i="1"/>
  <c r="H130" i="1"/>
  <c r="I130" i="1"/>
  <c r="J130" i="1"/>
  <c r="K130" i="1"/>
  <c r="G131" i="1"/>
  <c r="H131" i="1"/>
  <c r="I131" i="1"/>
  <c r="J131" i="1"/>
  <c r="K131" i="1"/>
  <c r="G132" i="1"/>
  <c r="H132" i="1"/>
  <c r="I132" i="1"/>
  <c r="J132" i="1"/>
  <c r="K132" i="1"/>
  <c r="G133" i="1"/>
  <c r="H133" i="1"/>
  <c r="I133" i="1"/>
  <c r="J133" i="1"/>
  <c r="K133" i="1"/>
  <c r="G134" i="1"/>
  <c r="H134" i="1"/>
  <c r="I134" i="1"/>
  <c r="J134" i="1"/>
  <c r="K134" i="1"/>
  <c r="G135" i="1"/>
  <c r="H135" i="1"/>
  <c r="I135" i="1"/>
  <c r="J135" i="1"/>
  <c r="K135" i="1"/>
  <c r="G136" i="1"/>
  <c r="H136" i="1"/>
  <c r="I136" i="1"/>
  <c r="J136" i="1"/>
  <c r="K136" i="1"/>
  <c r="G137" i="1"/>
  <c r="H137" i="1"/>
  <c r="I137" i="1"/>
  <c r="J137" i="1"/>
  <c r="K137" i="1"/>
  <c r="G138" i="1"/>
  <c r="H138" i="1"/>
  <c r="I138" i="1"/>
  <c r="J138" i="1"/>
  <c r="K138" i="1"/>
  <c r="G139" i="1"/>
  <c r="H139" i="1"/>
  <c r="I139" i="1"/>
  <c r="J139" i="1"/>
  <c r="K139" i="1"/>
  <c r="G141" i="1"/>
  <c r="H141" i="1"/>
  <c r="I141" i="1"/>
  <c r="J141" i="1"/>
  <c r="K141" i="1"/>
  <c r="J144" i="1"/>
  <c r="G146" i="1"/>
  <c r="H146" i="1"/>
  <c r="I146" i="1"/>
  <c r="J146" i="1"/>
  <c r="K146" i="1"/>
  <c r="G148" i="1"/>
  <c r="H148" i="1"/>
  <c r="J148" i="1"/>
</calcChain>
</file>

<file path=xl/comments1.xml><?xml version="1.0" encoding="utf-8"?>
<comments xmlns="http://schemas.openxmlformats.org/spreadsheetml/2006/main">
  <authors>
    <author>jporter2</author>
    <author>kdestep</author>
  </authors>
  <commentList>
    <comment ref="V18" authorId="0" shapeId="0">
      <text>
        <r>
          <rPr>
            <b/>
            <sz val="8"/>
            <color indexed="81"/>
            <rFont val="Tahoma"/>
          </rPr>
          <t>3rd party B/S</t>
        </r>
      </text>
    </comment>
    <comment ref="V55" authorId="1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BGE does not differentiate b/t Comm and Res for noms effective 9/1/00</t>
        </r>
      </text>
    </comment>
  </commentList>
</comments>
</file>

<file path=xl/sharedStrings.xml><?xml version="1.0" encoding="utf-8"?>
<sst xmlns="http://schemas.openxmlformats.org/spreadsheetml/2006/main" count="1081" uniqueCount="294">
  <si>
    <t>Red - need to check</t>
  </si>
  <si>
    <t>Receipt</t>
  </si>
  <si>
    <t>Lebanon</t>
  </si>
  <si>
    <t>SST</t>
  </si>
  <si>
    <t>Tol Ag (A3,F4,XR)</t>
  </si>
  <si>
    <t>1000-App</t>
  </si>
  <si>
    <t>801-Leach</t>
  </si>
  <si>
    <t>STOW</t>
  </si>
  <si>
    <t>B9-Broadrun</t>
  </si>
  <si>
    <t>801/A05/A06</t>
  </si>
  <si>
    <t>Blue - oper area 1</t>
  </si>
  <si>
    <t>Delivery</t>
  </si>
  <si>
    <t>COH-7</t>
  </si>
  <si>
    <t>23N-coh 5</t>
  </si>
  <si>
    <t>23-coh 7</t>
  </si>
  <si>
    <t>19-cmd 8</t>
  </si>
  <si>
    <t>19E-cmd 4</t>
  </si>
  <si>
    <t>22-coh 3</t>
  </si>
  <si>
    <t>24-coh 8</t>
  </si>
  <si>
    <t>CGV-10</t>
  </si>
  <si>
    <t>46-CGV-10</t>
  </si>
  <si>
    <t>19-CMD-8</t>
  </si>
  <si>
    <t>833469-Calp</t>
  </si>
  <si>
    <t>19E-CMD-4</t>
  </si>
  <si>
    <t>25-CPA-8</t>
  </si>
  <si>
    <t>25E-CPA-4</t>
  </si>
  <si>
    <t>4-BGE-10</t>
  </si>
  <si>
    <t>pink - oper area 4</t>
  </si>
  <si>
    <t xml:space="preserve">Sat </t>
  </si>
  <si>
    <t>Sun</t>
  </si>
  <si>
    <t>Volume</t>
  </si>
  <si>
    <t>Green - oper area 10</t>
  </si>
  <si>
    <t>CUSTOMER</t>
  </si>
  <si>
    <t>DAILY</t>
  </si>
  <si>
    <t>TRANSPORT</t>
  </si>
  <si>
    <t>SOURCE</t>
  </si>
  <si>
    <t>Shipper</t>
  </si>
  <si>
    <t>DAYTON</t>
  </si>
  <si>
    <t>TIMET</t>
  </si>
  <si>
    <t xml:space="preserve">Sort for </t>
  </si>
  <si>
    <t>Sort for</t>
  </si>
  <si>
    <t>AVG</t>
  </si>
  <si>
    <t>Source</t>
  </si>
  <si>
    <t>ANR - Leb</t>
  </si>
  <si>
    <t>A3 - MAUMEE</t>
  </si>
  <si>
    <t>Retail/</t>
  </si>
  <si>
    <t>Base/</t>
  </si>
  <si>
    <t>Mkt -7</t>
  </si>
  <si>
    <t>Mkt -4</t>
  </si>
  <si>
    <t>Mkt- 9</t>
  </si>
  <si>
    <t>Mkt -26</t>
  </si>
  <si>
    <t>Mkt -27</t>
  </si>
  <si>
    <t>Mkt -35</t>
  </si>
  <si>
    <t>Mkt -30</t>
  </si>
  <si>
    <t>Mkt  -  15</t>
  </si>
  <si>
    <t>Mkt  -  1</t>
  </si>
  <si>
    <t>Mkt  -  3</t>
  </si>
  <si>
    <t>Mkt  -  4</t>
  </si>
  <si>
    <t>Mkt  -  5</t>
  </si>
  <si>
    <t>Mkt  -  6</t>
  </si>
  <si>
    <t>Mkt  -  8</t>
  </si>
  <si>
    <t>Mkt  -  9</t>
  </si>
  <si>
    <t>Mkt  -  2</t>
  </si>
  <si>
    <t>Mkt  -  7</t>
  </si>
  <si>
    <t>Mkt  -  35</t>
  </si>
  <si>
    <t>Mkt  -  39</t>
  </si>
  <si>
    <t>Mkt -32</t>
  </si>
  <si>
    <t>Mkt -38</t>
  </si>
  <si>
    <t>Mkt -39</t>
  </si>
  <si>
    <t>Mkt -25</t>
  </si>
  <si>
    <t>CityGate</t>
  </si>
  <si>
    <t>MLI #</t>
  </si>
  <si>
    <t>UDC</t>
  </si>
  <si>
    <t>MKT</t>
  </si>
  <si>
    <t>OP</t>
  </si>
  <si>
    <t>LDC SCH</t>
  </si>
  <si>
    <t>Date Rec</t>
  </si>
  <si>
    <t>Deal Type</t>
  </si>
  <si>
    <t>RESP</t>
  </si>
  <si>
    <t>Daily Bal</t>
  </si>
  <si>
    <t>Comments</t>
  </si>
  <si>
    <t>Wholesale</t>
  </si>
  <si>
    <t>Incr</t>
  </si>
  <si>
    <t>VOLUME</t>
  </si>
  <si>
    <t>AGENT</t>
  </si>
  <si>
    <t>TOTAL</t>
  </si>
  <si>
    <t>Daily Avg</t>
  </si>
  <si>
    <t>Daily Max #</t>
  </si>
  <si>
    <t>Contract#</t>
  </si>
  <si>
    <t>SWAP</t>
  </si>
  <si>
    <t>CGV-1</t>
  </si>
  <si>
    <t>30CS</t>
  </si>
  <si>
    <t>Allied Signal</t>
  </si>
  <si>
    <t>Base</t>
  </si>
  <si>
    <t>R</t>
  </si>
  <si>
    <t>no</t>
  </si>
  <si>
    <t>S11</t>
  </si>
  <si>
    <t>CES Endusers</t>
  </si>
  <si>
    <t>RICH</t>
  </si>
  <si>
    <t>yes</t>
  </si>
  <si>
    <t>GELP</t>
  </si>
  <si>
    <t>Ron</t>
  </si>
  <si>
    <t>W</t>
  </si>
  <si>
    <t>CALP</t>
  </si>
  <si>
    <t>Hopewell</t>
  </si>
  <si>
    <t>S12</t>
  </si>
  <si>
    <t>NYSEG</t>
  </si>
  <si>
    <t>COH-3</t>
  </si>
  <si>
    <t>Kara</t>
  </si>
  <si>
    <t>S58</t>
  </si>
  <si>
    <t>S6</t>
  </si>
  <si>
    <t xml:space="preserve">Choice </t>
  </si>
  <si>
    <t>S7</t>
  </si>
  <si>
    <t>CKY-3</t>
  </si>
  <si>
    <t>Heidi</t>
  </si>
  <si>
    <t>S8</t>
  </si>
  <si>
    <t>MGC-3</t>
  </si>
  <si>
    <t>Diane</t>
  </si>
  <si>
    <t>S24</t>
  </si>
  <si>
    <t>S26</t>
  </si>
  <si>
    <t>S27</t>
  </si>
  <si>
    <t>CPA 4</t>
  </si>
  <si>
    <t>25E</t>
  </si>
  <si>
    <t>Choice</t>
  </si>
  <si>
    <t>S4</t>
  </si>
  <si>
    <t>S1</t>
  </si>
  <si>
    <t>S2</t>
  </si>
  <si>
    <t>CMD 4</t>
  </si>
  <si>
    <t>19E</t>
  </si>
  <si>
    <t>S5</t>
  </si>
  <si>
    <t>S3</t>
  </si>
  <si>
    <t>Penn Fuel</t>
  </si>
  <si>
    <t>FP&amp;L</t>
  </si>
  <si>
    <t>O&amp;R</t>
  </si>
  <si>
    <t>ESNG</t>
  </si>
  <si>
    <t>COH 5</t>
  </si>
  <si>
    <t>23N</t>
  </si>
  <si>
    <t>S28</t>
  </si>
  <si>
    <t>John</t>
  </si>
  <si>
    <t>ULHP</t>
  </si>
  <si>
    <t>COH 7</t>
  </si>
  <si>
    <t>Swing</t>
  </si>
  <si>
    <t>S21</t>
  </si>
  <si>
    <t>Noel</t>
  </si>
  <si>
    <t>WOG</t>
  </si>
  <si>
    <t>COH 8</t>
  </si>
  <si>
    <t>CPA 8</t>
  </si>
  <si>
    <t>Don</t>
  </si>
  <si>
    <t>S54</t>
  </si>
  <si>
    <t>Texaco</t>
  </si>
  <si>
    <t>CMD 8</t>
  </si>
  <si>
    <t>MGC-8</t>
  </si>
  <si>
    <t>Phil</t>
  </si>
  <si>
    <t>BG&amp;E</t>
  </si>
  <si>
    <t>WGES</t>
  </si>
  <si>
    <t>AMG</t>
  </si>
  <si>
    <t>Covepoint</t>
  </si>
  <si>
    <t>RGC</t>
  </si>
  <si>
    <t>WGL</t>
  </si>
  <si>
    <t>S67</t>
  </si>
  <si>
    <t>Providence Hosp.</t>
  </si>
  <si>
    <t>STOI</t>
  </si>
  <si>
    <t>ST</t>
  </si>
  <si>
    <t>Storage</t>
  </si>
  <si>
    <t>Beth Gas</t>
  </si>
  <si>
    <t>Remaining</t>
  </si>
  <si>
    <t>Total Gate Demand</t>
  </si>
  <si>
    <t>Used</t>
  </si>
  <si>
    <t>Agency Deals</t>
  </si>
  <si>
    <t>WHO</t>
  </si>
  <si>
    <t>Own Trans</t>
  </si>
  <si>
    <t>Union Camp</t>
  </si>
  <si>
    <t>Term</t>
  </si>
  <si>
    <t>62077/01</t>
  </si>
  <si>
    <t>Pool gas/Union Camp's K#</t>
  </si>
  <si>
    <t>A03 TCO Headquarters</t>
  </si>
  <si>
    <t>38992/19</t>
  </si>
  <si>
    <t>A03</t>
  </si>
  <si>
    <t>Solar Turbines</t>
  </si>
  <si>
    <t>37859/64</t>
  </si>
  <si>
    <t>Beaver Creek Supply</t>
  </si>
  <si>
    <t>OWN</t>
  </si>
  <si>
    <t>37859/91</t>
  </si>
  <si>
    <t>Kermit</t>
  </si>
  <si>
    <t>Lukens</t>
  </si>
  <si>
    <t>37841/28</t>
  </si>
  <si>
    <t>Pool gas from 48050-AS(Cora)</t>
  </si>
  <si>
    <t>Alliance Tubular</t>
  </si>
  <si>
    <t>38064/10</t>
  </si>
  <si>
    <t>Pool gas/Alliance's K#(Cora)</t>
  </si>
  <si>
    <t>Honda</t>
  </si>
  <si>
    <t>Lee</t>
  </si>
  <si>
    <t>41424/387</t>
  </si>
  <si>
    <t>Rayne</t>
  </si>
  <si>
    <t>41424/409</t>
  </si>
  <si>
    <t>Own</t>
  </si>
  <si>
    <t>DPL</t>
  </si>
  <si>
    <t>41424/410</t>
  </si>
  <si>
    <t>41424/411</t>
  </si>
  <si>
    <t>41424/412</t>
  </si>
  <si>
    <t>Aristech</t>
  </si>
  <si>
    <t>22R</t>
  </si>
  <si>
    <t>Mainline</t>
  </si>
  <si>
    <t>RETAIL</t>
  </si>
  <si>
    <t>WHOLE</t>
  </si>
  <si>
    <t>CITY GATE</t>
  </si>
  <si>
    <t>BASE</t>
  </si>
  <si>
    <t>INC</t>
  </si>
  <si>
    <t>HOPEWELL</t>
  </si>
  <si>
    <t>CPA-4</t>
  </si>
  <si>
    <t>CMD-4</t>
  </si>
  <si>
    <t>PENN FUEL</t>
  </si>
  <si>
    <t>COH-5</t>
  </si>
  <si>
    <t>CKY-6</t>
  </si>
  <si>
    <t>Del</t>
  </si>
  <si>
    <t>Gross Up</t>
  </si>
  <si>
    <t>Not reflected in #'s</t>
  </si>
  <si>
    <t>Anchor Hoc</t>
  </si>
  <si>
    <t>2) Dayton Swap est. 0 (any gate)</t>
  </si>
  <si>
    <t>Agg</t>
  </si>
  <si>
    <t>SURBURBAN</t>
  </si>
  <si>
    <t>Total</t>
  </si>
  <si>
    <t>MURPHY</t>
  </si>
  <si>
    <t>ORWELL</t>
  </si>
  <si>
    <t>LAKESIDE</t>
  </si>
  <si>
    <t>COH-8</t>
  </si>
  <si>
    <t>CPA-8</t>
  </si>
  <si>
    <t>CMD-8</t>
  </si>
  <si>
    <t>RCG</t>
  </si>
  <si>
    <t>less CPA direct</t>
  </si>
  <si>
    <t>less Beth/ strg</t>
  </si>
  <si>
    <t>Gross up</t>
  </si>
  <si>
    <t>A03 TCO Headquarter</t>
  </si>
  <si>
    <t>Scott</t>
  </si>
  <si>
    <t>TCO</t>
  </si>
  <si>
    <t>Firm Gas</t>
  </si>
  <si>
    <t>FIRM</t>
  </si>
  <si>
    <t>FIRM- another Mktr's Choice</t>
  </si>
  <si>
    <t>Does not include 6900 for Unioncamp</t>
  </si>
  <si>
    <t>BLACKSVILLE</t>
  </si>
  <si>
    <t>NYSEG-2</t>
  </si>
  <si>
    <t>NYSEG-8</t>
  </si>
  <si>
    <t>Timet</t>
  </si>
  <si>
    <t>Mkt-25</t>
  </si>
  <si>
    <t>k# 38992/21</t>
  </si>
  <si>
    <t>Mkt - 25</t>
  </si>
  <si>
    <t xml:space="preserve">1) interconnect est. </t>
  </si>
  <si>
    <t>3) CDC swap = 0</t>
  </si>
  <si>
    <t>S20</t>
  </si>
  <si>
    <t>S25</t>
  </si>
  <si>
    <t>S29</t>
  </si>
  <si>
    <t>S33</t>
  </si>
  <si>
    <t>Met Ed-21</t>
  </si>
  <si>
    <t>S30</t>
  </si>
  <si>
    <t>S31</t>
  </si>
  <si>
    <t>S128</t>
  </si>
  <si>
    <t>WGES - udc 150</t>
  </si>
  <si>
    <t>Commercial-Choice udc 116</t>
  </si>
  <si>
    <t>Residential-Choice udc 116</t>
  </si>
  <si>
    <t>DELAprVA</t>
  </si>
  <si>
    <t>Mkt-34</t>
  </si>
  <si>
    <t>ENA</t>
  </si>
  <si>
    <t xml:space="preserve">ENA </t>
  </si>
  <si>
    <t>ENA Tran</t>
  </si>
  <si>
    <t>GC001-Gatherco</t>
  </si>
  <si>
    <t>23N-coh 7</t>
  </si>
  <si>
    <t>A06-McClelland</t>
  </si>
  <si>
    <t>Mkt -36</t>
  </si>
  <si>
    <t>Mkt - 28</t>
  </si>
  <si>
    <t>MET ED</t>
  </si>
  <si>
    <t>A05- Delmont</t>
  </si>
  <si>
    <t>25-CPA 8</t>
  </si>
  <si>
    <t>Keyspan</t>
  </si>
  <si>
    <t>BGE STORAGE INJ</t>
  </si>
  <si>
    <t>CHRIS</t>
  </si>
  <si>
    <t>Marianne</t>
  </si>
  <si>
    <t>S124</t>
  </si>
  <si>
    <t>S125</t>
  </si>
  <si>
    <t>S126</t>
  </si>
  <si>
    <t>S109/121</t>
  </si>
  <si>
    <t>S58/66</t>
  </si>
  <si>
    <t>734462 -  Xrds</t>
  </si>
  <si>
    <t>23N-COH-5</t>
  </si>
  <si>
    <t>F4- MONCLOVA</t>
  </si>
  <si>
    <t>734462 - XRDS</t>
  </si>
  <si>
    <t>CNR02</t>
  </si>
  <si>
    <t>CNR</t>
  </si>
  <si>
    <t>00999</t>
  </si>
  <si>
    <t>23COH-7</t>
  </si>
  <si>
    <t>734462- XRDS</t>
  </si>
  <si>
    <t>MidAmerican</t>
  </si>
  <si>
    <t>Kim</t>
  </si>
  <si>
    <t>Janec - udc 172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</si>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</sst>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0"/>
  </numFmts>
  <fonts count="24" x14ac:knownFonts="1"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sz val="10"/>
      <name val="Century Gothic"/>
      <family val="2"/>
    </font>
    <font>
      <sz val="10"/>
      <color indexed="10"/>
      <name val="Century Gothic"/>
      <family val="2"/>
    </font>
    <font>
      <b/>
      <sz val="10"/>
      <color indexed="10"/>
      <name val="Century Gothic"/>
      <family val="2"/>
    </font>
    <font>
      <b/>
      <sz val="10"/>
      <color indexed="20"/>
      <name val="Century Gothic"/>
      <family val="2"/>
    </font>
    <font>
      <b/>
      <sz val="10"/>
      <color indexed="53"/>
      <name val="Century Gothic"/>
      <family val="2"/>
    </font>
    <font>
      <sz val="10"/>
      <color indexed="12"/>
      <name val="Century Gothic"/>
      <family val="2"/>
    </font>
    <font>
      <b/>
      <sz val="10"/>
      <name val="Century Gothic"/>
      <family val="2"/>
    </font>
    <font>
      <sz val="10"/>
      <color indexed="14"/>
      <name val="Century Gothic"/>
      <family val="2"/>
    </font>
    <font>
      <sz val="10"/>
      <color indexed="17"/>
      <name val="Century Gothic"/>
      <family val="2"/>
    </font>
    <font>
      <b/>
      <sz val="10"/>
      <color indexed="17"/>
      <name val="Century Gothic"/>
      <family val="2"/>
    </font>
    <font>
      <b/>
      <sz val="10"/>
      <color indexed="12"/>
      <name val="Century Gothic"/>
      <family val="2"/>
    </font>
    <font>
      <sz val="10"/>
      <color indexed="8"/>
      <name val="Century Gothic"/>
      <family val="2"/>
    </font>
    <font>
      <b/>
      <sz val="10"/>
      <color indexed="8"/>
      <name val="Century Gothic"/>
      <family val="2"/>
    </font>
    <font>
      <b/>
      <sz val="10"/>
      <color indexed="14"/>
      <name val="Century Gothic"/>
      <family val="2"/>
    </font>
    <font>
      <sz val="10"/>
      <color indexed="59"/>
      <name val="Century Gothic"/>
      <family val="2"/>
    </font>
    <font>
      <b/>
      <sz val="10"/>
      <color indexed="54"/>
      <name val="Century Gothic"/>
      <family val="2"/>
    </font>
    <font>
      <b/>
      <u/>
      <sz val="10"/>
      <name val="Century Gothic"/>
      <family val="2"/>
    </font>
    <font>
      <i/>
      <sz val="10"/>
      <color indexed="10"/>
      <name val="Century Gothic"/>
      <family val="2"/>
    </font>
    <font>
      <i/>
      <sz val="10"/>
      <color indexed="12"/>
      <name val="Century Gothic"/>
      <family val="2"/>
    </font>
    <font>
      <b/>
      <i/>
      <u/>
      <sz val="10"/>
      <name val="Century Gothic"/>
      <family val="2"/>
    </font>
    <font>
      <sz val="10"/>
      <color indexed="57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47"/>
      </patternFill>
    </fill>
  </fills>
  <borders count="4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3" fillId="0" borderId="0" xfId="0" applyFont="1"/>
    <xf numFmtId="0" fontId="4" fillId="0" borderId="0" xfId="0" applyFont="1" applyAlignment="1" applyProtection="1">
      <alignment horizontal="left"/>
      <protection locked="0"/>
    </xf>
    <xf numFmtId="0" fontId="5" fillId="0" borderId="0" xfId="0" applyFont="1" applyAlignment="1">
      <alignment horizontal="left"/>
    </xf>
    <xf numFmtId="3" fontId="5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right"/>
    </xf>
    <xf numFmtId="0" fontId="5" fillId="0" borderId="1" xfId="0" applyNumberFormat="1" applyFont="1" applyFill="1" applyBorder="1" applyAlignment="1">
      <alignment horizontal="right"/>
    </xf>
    <xf numFmtId="49" fontId="5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10" fillId="0" borderId="0" xfId="0" applyFont="1"/>
    <xf numFmtId="0" fontId="9" fillId="0" borderId="0" xfId="0" applyFont="1" applyAlignment="1">
      <alignment horizontal="right"/>
    </xf>
    <xf numFmtId="0" fontId="9" fillId="0" borderId="0" xfId="0" applyFont="1"/>
    <xf numFmtId="3" fontId="9" fillId="0" borderId="0" xfId="0" applyNumberFormat="1" applyFont="1"/>
    <xf numFmtId="0" fontId="9" fillId="0" borderId="0" xfId="0" applyNumberFormat="1" applyFont="1" applyAlignment="1">
      <alignment horizontal="right"/>
    </xf>
    <xf numFmtId="0" fontId="9" fillId="0" borderId="0" xfId="0" applyNumberFormat="1" applyFont="1" applyBorder="1" applyAlignment="1">
      <alignment horizontal="right"/>
    </xf>
    <xf numFmtId="3" fontId="9" fillId="0" borderId="0" xfId="0" applyNumberFormat="1" applyFont="1" applyAlignment="1">
      <alignment horizontal="center"/>
    </xf>
    <xf numFmtId="49" fontId="9" fillId="0" borderId="0" xfId="0" applyNumberFormat="1" applyFont="1"/>
    <xf numFmtId="0" fontId="6" fillId="0" borderId="0" xfId="0" applyFont="1"/>
    <xf numFmtId="0" fontId="9" fillId="0" borderId="0" xfId="0" applyFont="1" applyFill="1"/>
    <xf numFmtId="3" fontId="3" fillId="0" borderId="0" xfId="0" applyNumberFormat="1" applyFont="1"/>
    <xf numFmtId="0" fontId="11" fillId="0" borderId="0" xfId="0" applyFont="1"/>
    <xf numFmtId="0" fontId="12" fillId="0" borderId="0" xfId="0" applyFont="1" applyAlignment="1">
      <alignment horizontal="right"/>
    </xf>
    <xf numFmtId="0" fontId="12" fillId="0" borderId="0" xfId="0" applyFont="1"/>
    <xf numFmtId="3" fontId="9" fillId="0" borderId="2" xfId="0" applyNumberFormat="1" applyFont="1" applyBorder="1"/>
    <xf numFmtId="0" fontId="9" fillId="0" borderId="0" xfId="0" applyFont="1" applyAlignment="1">
      <alignment horizontal="center"/>
    </xf>
    <xf numFmtId="0" fontId="9" fillId="0" borderId="2" xfId="0" applyNumberFormat="1" applyFont="1" applyBorder="1" applyAlignment="1">
      <alignment horizontal="right"/>
    </xf>
    <xf numFmtId="0" fontId="9" fillId="0" borderId="1" xfId="0" applyNumberFormat="1" applyFont="1" applyFill="1" applyBorder="1" applyAlignment="1">
      <alignment horizontal="right"/>
    </xf>
    <xf numFmtId="49" fontId="9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9" fillId="0" borderId="0" xfId="0" applyFont="1" applyFill="1" applyAlignment="1">
      <alignment horizontal="right"/>
    </xf>
    <xf numFmtId="0" fontId="13" fillId="0" borderId="0" xfId="0" applyFont="1"/>
    <xf numFmtId="0" fontId="13" fillId="0" borderId="0" xfId="0" applyFont="1" applyAlignment="1">
      <alignment horizontal="right"/>
    </xf>
    <xf numFmtId="3" fontId="13" fillId="0" borderId="2" xfId="0" applyNumberFormat="1" applyFont="1" applyBorder="1"/>
    <xf numFmtId="0" fontId="13" fillId="0" borderId="2" xfId="0" applyNumberFormat="1" applyFont="1" applyBorder="1" applyAlignment="1">
      <alignment horizontal="right"/>
    </xf>
    <xf numFmtId="0" fontId="13" fillId="0" borderId="0" xfId="0" applyNumberFormat="1" applyFont="1" applyBorder="1" applyAlignment="1">
      <alignment horizontal="right"/>
    </xf>
    <xf numFmtId="0" fontId="13" fillId="0" borderId="1" xfId="0" applyNumberFormat="1" applyFont="1" applyFill="1" applyBorder="1" applyAlignment="1">
      <alignment horizontal="right"/>
    </xf>
    <xf numFmtId="3" fontId="13" fillId="0" borderId="0" xfId="0" applyNumberFormat="1" applyFont="1" applyAlignment="1">
      <alignment horizontal="center"/>
    </xf>
    <xf numFmtId="49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horizontal="right"/>
    </xf>
    <xf numFmtId="0" fontId="9" fillId="0" borderId="2" xfId="0" applyFont="1" applyBorder="1"/>
    <xf numFmtId="0" fontId="9" fillId="0" borderId="2" xfId="0" applyFont="1" applyBorder="1" applyAlignment="1">
      <alignment horizontal="right"/>
    </xf>
    <xf numFmtId="0" fontId="9" fillId="0" borderId="3" xfId="0" applyFont="1" applyFill="1" applyBorder="1" applyAlignment="1">
      <alignment horizontal="right"/>
    </xf>
    <xf numFmtId="0" fontId="9" fillId="0" borderId="2" xfId="0" applyNumberFormat="1" applyFont="1" applyBorder="1"/>
    <xf numFmtId="49" fontId="9" fillId="0" borderId="2" xfId="0" applyNumberFormat="1" applyFont="1" applyBorder="1"/>
    <xf numFmtId="0" fontId="6" fillId="0" borderId="2" xfId="0" applyFont="1" applyBorder="1"/>
    <xf numFmtId="0" fontId="9" fillId="0" borderId="2" xfId="0" applyFont="1" applyFill="1" applyBorder="1"/>
    <xf numFmtId="0" fontId="8" fillId="0" borderId="0" xfId="0" applyFont="1"/>
    <xf numFmtId="0" fontId="8" fillId="0" borderId="0" xfId="0" applyFont="1" applyAlignment="1">
      <alignment horizontal="right"/>
    </xf>
    <xf numFmtId="14" fontId="8" fillId="0" borderId="0" xfId="0" applyNumberFormat="1" applyFont="1"/>
    <xf numFmtId="3" fontId="8" fillId="0" borderId="0" xfId="0" applyNumberFormat="1" applyFont="1"/>
    <xf numFmtId="0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49" fontId="8" fillId="0" borderId="0" xfId="0" applyNumberFormat="1" applyFont="1"/>
    <xf numFmtId="0" fontId="8" fillId="0" borderId="1" xfId="0" applyNumberFormat="1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Fill="1"/>
    <xf numFmtId="14" fontId="14" fillId="0" borderId="0" xfId="0" applyNumberFormat="1" applyFont="1"/>
    <xf numFmtId="0" fontId="15" fillId="0" borderId="0" xfId="0" applyFont="1" applyFill="1" applyBorder="1" applyAlignment="1">
      <alignment horizontal="center"/>
    </xf>
    <xf numFmtId="0" fontId="8" fillId="2" borderId="0" xfId="0" applyFont="1" applyFill="1"/>
    <xf numFmtId="0" fontId="3" fillId="0" borderId="0" xfId="0" applyNumberFormat="1" applyFont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49" fontId="3" fillId="0" borderId="0" xfId="0" applyNumberFormat="1" applyFont="1"/>
    <xf numFmtId="0" fontId="3" fillId="3" borderId="1" xfId="0" applyNumberFormat="1" applyFont="1" applyFill="1" applyBorder="1" applyAlignment="1">
      <alignment horizontal="right"/>
    </xf>
    <xf numFmtId="0" fontId="7" fillId="0" borderId="0" xfId="0" applyFont="1"/>
    <xf numFmtId="49" fontId="7" fillId="0" borderId="0" xfId="0" applyNumberFormat="1" applyFont="1"/>
    <xf numFmtId="14" fontId="15" fillId="0" borderId="0" xfId="0" applyNumberFormat="1" applyFont="1"/>
    <xf numFmtId="0" fontId="14" fillId="4" borderId="0" xfId="0" applyFont="1" applyFill="1"/>
    <xf numFmtId="0" fontId="10" fillId="0" borderId="0" xfId="0" applyFont="1" applyAlignment="1">
      <alignment horizontal="right"/>
    </xf>
    <xf numFmtId="0" fontId="16" fillId="0" borderId="0" xfId="0" applyFont="1"/>
    <xf numFmtId="14" fontId="10" fillId="0" borderId="0" xfId="0" applyNumberFormat="1" applyFont="1"/>
    <xf numFmtId="3" fontId="10" fillId="0" borderId="0" xfId="0" applyNumberFormat="1" applyFont="1"/>
    <xf numFmtId="0" fontId="10" fillId="0" borderId="0" xfId="0" applyNumberFormat="1" applyFont="1" applyAlignment="1">
      <alignment horizontal="right"/>
    </xf>
    <xf numFmtId="0" fontId="10" fillId="3" borderId="1" xfId="0" applyNumberFormat="1" applyFont="1" applyFill="1" applyBorder="1" applyAlignment="1">
      <alignment horizontal="right"/>
    </xf>
    <xf numFmtId="49" fontId="10" fillId="0" borderId="0" xfId="0" applyNumberFormat="1" applyFont="1"/>
    <xf numFmtId="0" fontId="10" fillId="0" borderId="1" xfId="0" applyNumberFormat="1" applyFont="1" applyFill="1" applyBorder="1" applyAlignment="1">
      <alignment horizontal="right"/>
    </xf>
    <xf numFmtId="49" fontId="16" fillId="0" borderId="0" xfId="0" applyNumberFormat="1" applyFont="1"/>
    <xf numFmtId="0" fontId="14" fillId="0" borderId="0" xfId="0" applyNumberFormat="1" applyFont="1" applyAlignment="1">
      <alignment horizontal="right"/>
    </xf>
    <xf numFmtId="0" fontId="17" fillId="0" borderId="0" xfId="0" applyFont="1" applyFill="1"/>
    <xf numFmtId="0" fontId="5" fillId="0" borderId="0" xfId="0" applyFont="1"/>
    <xf numFmtId="0" fontId="15" fillId="0" borderId="0" xfId="0" applyNumberFormat="1" applyFont="1" applyAlignment="1">
      <alignment horizontal="right"/>
    </xf>
    <xf numFmtId="14" fontId="3" fillId="0" borderId="0" xfId="0" applyNumberFormat="1" applyFont="1"/>
    <xf numFmtId="0" fontId="11" fillId="0" borderId="0" xfId="0" applyFont="1" applyBorder="1"/>
    <xf numFmtId="0" fontId="11" fillId="0" borderId="0" xfId="0" applyFont="1" applyBorder="1" applyAlignment="1">
      <alignment horizontal="right"/>
    </xf>
    <xf numFmtId="0" fontId="12" fillId="0" borderId="0" xfId="0" applyFont="1" applyBorder="1"/>
    <xf numFmtId="14" fontId="11" fillId="0" borderId="0" xfId="0" applyNumberFormat="1" applyFont="1"/>
    <xf numFmtId="3" fontId="11" fillId="0" borderId="0" xfId="0" applyNumberFormat="1" applyFont="1" applyBorder="1"/>
    <xf numFmtId="0" fontId="11" fillId="0" borderId="0" xfId="0" applyNumberFormat="1" applyFont="1" applyBorder="1" applyAlignment="1">
      <alignment horizontal="right"/>
    </xf>
    <xf numFmtId="0" fontId="11" fillId="0" borderId="1" xfId="0" applyNumberFormat="1" applyFont="1" applyFill="1" applyBorder="1" applyAlignment="1">
      <alignment horizontal="right"/>
    </xf>
    <xf numFmtId="0" fontId="11" fillId="0" borderId="0" xfId="0" applyNumberFormat="1" applyFont="1" applyAlignment="1">
      <alignment horizontal="right"/>
    </xf>
    <xf numFmtId="49" fontId="11" fillId="0" borderId="0" xfId="0" applyNumberFormat="1" applyFont="1" applyBorder="1"/>
    <xf numFmtId="0" fontId="4" fillId="3" borderId="1" xfId="0" applyNumberFormat="1" applyFont="1" applyFill="1" applyBorder="1" applyAlignment="1">
      <alignment horizontal="right"/>
    </xf>
    <xf numFmtId="0" fontId="11" fillId="0" borderId="0" xfId="0" applyFont="1" applyAlignment="1">
      <alignment horizontal="right"/>
    </xf>
    <xf numFmtId="0" fontId="11" fillId="2" borderId="0" xfId="0" applyFont="1" applyFill="1"/>
    <xf numFmtId="3" fontId="11" fillId="0" borderId="0" xfId="0" applyNumberFormat="1" applyFont="1"/>
    <xf numFmtId="49" fontId="11" fillId="0" borderId="0" xfId="0" applyNumberFormat="1" applyFont="1"/>
    <xf numFmtId="0" fontId="11" fillId="0" borderId="0" xfId="0" applyFont="1" applyFill="1"/>
    <xf numFmtId="14" fontId="12" fillId="0" borderId="0" xfId="0" applyNumberFormat="1" applyFont="1"/>
    <xf numFmtId="3" fontId="12" fillId="0" borderId="0" xfId="0" applyNumberFormat="1" applyFont="1"/>
    <xf numFmtId="0" fontId="12" fillId="0" borderId="0" xfId="0" applyNumberFormat="1" applyFont="1" applyAlignment="1">
      <alignment horizontal="right"/>
    </xf>
    <xf numFmtId="0" fontId="12" fillId="0" borderId="1" xfId="0" applyNumberFormat="1" applyFont="1" applyFill="1" applyBorder="1" applyAlignment="1">
      <alignment horizontal="right"/>
    </xf>
    <xf numFmtId="49" fontId="12" fillId="0" borderId="0" xfId="0" applyNumberFormat="1" applyFont="1"/>
    <xf numFmtId="3" fontId="12" fillId="0" borderId="0" xfId="0" applyNumberFormat="1" applyFont="1" applyBorder="1"/>
    <xf numFmtId="0" fontId="18" fillId="0" borderId="0" xfId="0" applyFont="1"/>
    <xf numFmtId="0" fontId="11" fillId="3" borderId="1" xfId="0" applyNumberFormat="1" applyFont="1" applyFill="1" applyBorder="1" applyAlignment="1">
      <alignment horizontal="right"/>
    </xf>
    <xf numFmtId="0" fontId="4" fillId="0" borderId="0" xfId="0" applyFont="1"/>
    <xf numFmtId="0" fontId="12" fillId="0" borderId="0" xfId="0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14" fontId="4" fillId="0" borderId="0" xfId="0" applyNumberFormat="1" applyFont="1"/>
    <xf numFmtId="3" fontId="4" fillId="0" borderId="0" xfId="0" applyNumberFormat="1" applyFont="1"/>
    <xf numFmtId="0" fontId="4" fillId="0" borderId="0" xfId="0" applyNumberFormat="1" applyFont="1" applyAlignment="1">
      <alignment horizontal="right"/>
    </xf>
    <xf numFmtId="0" fontId="4" fillId="0" borderId="1" xfId="0" applyNumberFormat="1" applyFont="1" applyFill="1" applyBorder="1" applyAlignment="1">
      <alignment horizontal="right"/>
    </xf>
    <xf numFmtId="49" fontId="4" fillId="0" borderId="0" xfId="0" applyNumberFormat="1" applyFont="1"/>
    <xf numFmtId="3" fontId="4" fillId="0" borderId="0" xfId="0" applyNumberFormat="1" applyFont="1" applyBorder="1"/>
    <xf numFmtId="0" fontId="19" fillId="0" borderId="0" xfId="0" applyFont="1"/>
    <xf numFmtId="0" fontId="14" fillId="0" borderId="0" xfId="0" applyFont="1"/>
    <xf numFmtId="0" fontId="9" fillId="0" borderId="0" xfId="0" applyFont="1" applyBorder="1" applyAlignment="1">
      <alignment horizontal="right"/>
    </xf>
    <xf numFmtId="0" fontId="9" fillId="0" borderId="1" xfId="0" applyFont="1" applyFill="1" applyBorder="1" applyAlignment="1">
      <alignment horizontal="right"/>
    </xf>
    <xf numFmtId="0" fontId="20" fillId="0" borderId="0" xfId="0" applyFont="1"/>
    <xf numFmtId="0" fontId="14" fillId="0" borderId="0" xfId="0" applyFont="1" applyAlignment="1">
      <alignment horizontal="right"/>
    </xf>
    <xf numFmtId="0" fontId="15" fillId="0" borderId="0" xfId="0" applyFont="1"/>
    <xf numFmtId="3" fontId="14" fillId="0" borderId="0" xfId="0" applyNumberFormat="1" applyFont="1"/>
    <xf numFmtId="0" fontId="14" fillId="0" borderId="1" xfId="0" applyNumberFormat="1" applyFont="1" applyFill="1" applyBorder="1" applyAlignment="1">
      <alignment horizontal="right"/>
    </xf>
    <xf numFmtId="49" fontId="14" fillId="0" borderId="0" xfId="0" applyNumberFormat="1" applyFont="1"/>
    <xf numFmtId="0" fontId="21" fillId="0" borderId="0" xfId="0" applyFont="1"/>
    <xf numFmtId="16" fontId="3" fillId="0" borderId="0" xfId="0" applyNumberFormat="1" applyFont="1"/>
    <xf numFmtId="3" fontId="8" fillId="0" borderId="1" xfId="0" applyNumberFormat="1" applyFont="1" applyFill="1" applyBorder="1" applyAlignment="1">
      <alignment horizontal="right"/>
    </xf>
    <xf numFmtId="16" fontId="8" fillId="0" borderId="0" xfId="0" applyNumberFormat="1" applyFont="1"/>
    <xf numFmtId="3" fontId="9" fillId="0" borderId="0" xfId="0" applyNumberFormat="1" applyFont="1" applyBorder="1"/>
    <xf numFmtId="0" fontId="9" fillId="0" borderId="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2" xfId="0" applyFont="1" applyBorder="1"/>
    <xf numFmtId="3" fontId="22" fillId="0" borderId="0" xfId="0" applyNumberFormat="1" applyFont="1"/>
    <xf numFmtId="3" fontId="19" fillId="0" borderId="0" xfId="0" applyNumberFormat="1" applyFont="1" applyBorder="1" applyAlignment="1">
      <alignment horizontal="center"/>
    </xf>
    <xf numFmtId="0" fontId="19" fillId="0" borderId="0" xfId="0" applyNumberFormat="1" applyFont="1" applyAlignment="1">
      <alignment horizontal="center"/>
    </xf>
    <xf numFmtId="3" fontId="19" fillId="0" borderId="0" xfId="0" applyNumberFormat="1" applyFont="1" applyAlignment="1">
      <alignment horizontal="center"/>
    </xf>
    <xf numFmtId="0" fontId="3" fillId="0" borderId="0" xfId="0" applyNumberFormat="1" applyFont="1"/>
    <xf numFmtId="3" fontId="3" fillId="0" borderId="0" xfId="0" applyNumberFormat="1" applyFont="1" applyAlignment="1">
      <alignment horizontal="right"/>
    </xf>
    <xf numFmtId="3" fontId="3" fillId="0" borderId="2" xfId="0" applyNumberFormat="1" applyFont="1" applyBorder="1"/>
    <xf numFmtId="0" fontId="9" fillId="0" borderId="0" xfId="0" applyNumberFormat="1" applyFont="1" applyAlignment="1">
      <alignment horizontal="left"/>
    </xf>
    <xf numFmtId="0" fontId="9" fillId="0" borderId="1" xfId="0" applyNumberFormat="1" applyFont="1" applyFill="1" applyBorder="1" applyAlignment="1">
      <alignment horizontal="left"/>
    </xf>
    <xf numFmtId="164" fontId="9" fillId="0" borderId="0" xfId="0" applyNumberFormat="1" applyFont="1"/>
    <xf numFmtId="0" fontId="9" fillId="0" borderId="0" xfId="0" applyFont="1" applyBorder="1"/>
    <xf numFmtId="0" fontId="3" fillId="0" borderId="0" xfId="0" applyFont="1" applyAlignment="1">
      <alignment horizontal="left"/>
    </xf>
    <xf numFmtId="0" fontId="3" fillId="0" borderId="2" xfId="0" applyFont="1" applyBorder="1"/>
    <xf numFmtId="0" fontId="15" fillId="0" borderId="0" xfId="0" applyFont="1" applyAlignment="1">
      <alignment horizontal="right"/>
    </xf>
    <xf numFmtId="49" fontId="15" fillId="0" borderId="0" xfId="0" applyNumberFormat="1" applyFont="1"/>
    <xf numFmtId="49" fontId="15" fillId="0" borderId="0" xfId="0" applyNumberFormat="1" applyFont="1" applyAlignment="1">
      <alignment horizontal="right"/>
    </xf>
    <xf numFmtId="0" fontId="15" fillId="5" borderId="0" xfId="0" applyFont="1" applyFill="1"/>
    <xf numFmtId="0" fontId="15" fillId="5" borderId="0" xfId="0" applyFont="1" applyFill="1" applyAlignment="1">
      <alignment horizontal="right"/>
    </xf>
    <xf numFmtId="0" fontId="15" fillId="5" borderId="0" xfId="0" applyFont="1" applyFill="1" applyAlignment="1">
      <alignment horizontal="center"/>
    </xf>
    <xf numFmtId="0" fontId="15" fillId="5" borderId="0" xfId="0" applyFont="1" applyFill="1" applyAlignment="1">
      <alignment horizontal="left"/>
    </xf>
    <xf numFmtId="0" fontId="15" fillId="5" borderId="2" xfId="0" applyFont="1" applyFill="1" applyBorder="1"/>
    <xf numFmtId="0" fontId="15" fillId="0" borderId="0" xfId="0" applyFont="1" applyFill="1" applyAlignment="1">
      <alignment horizontal="right"/>
    </xf>
    <xf numFmtId="0" fontId="9" fillId="0" borderId="0" xfId="0" quotePrefix="1" applyFont="1" applyAlignment="1">
      <alignment horizontal="right"/>
    </xf>
    <xf numFmtId="3" fontId="14" fillId="0" borderId="0" xfId="0" applyNumberFormat="1" applyFont="1" applyBorder="1"/>
    <xf numFmtId="0" fontId="13" fillId="6" borderId="0" xfId="0" applyFont="1" applyFill="1"/>
    <xf numFmtId="0" fontId="23" fillId="7" borderId="0" xfId="0" applyFont="1" applyFill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194"/>
  <sheetViews>
    <sheetView tabSelected="1" topLeftCell="A43" zoomScaleNormal="100" workbookViewId="0">
      <selection activeCell="V75" sqref="V75"/>
    </sheetView>
  </sheetViews>
  <sheetFormatPr defaultRowHeight="13.5" outlineLevelRow="1" outlineLevelCol="1" x14ac:dyDescent="0.25"/>
  <cols>
    <col min="1" max="1" width="17.5703125" style="1" bestFit="1" customWidth="1"/>
    <col min="2" max="2" width="3.42578125" style="58" customWidth="1"/>
    <col min="3" max="3" width="4.85546875" style="1" hidden="1" customWidth="1"/>
    <col min="4" max="4" width="2.7109375" style="14" customWidth="1"/>
    <col min="5" max="5" width="4.42578125" style="1" bestFit="1" customWidth="1"/>
    <col min="6" max="6" width="17.28515625" style="1" customWidth="1"/>
    <col min="7" max="7" width="9" style="1" hidden="1" customWidth="1" outlineLevel="1"/>
    <col min="8" max="8" width="14.140625" style="1" hidden="1" customWidth="1" outlineLevel="1"/>
    <col min="9" max="9" width="9.7109375" style="1" hidden="1" customWidth="1" outlineLevel="1"/>
    <col min="10" max="10" width="9.140625" style="1" hidden="1" customWidth="1" outlineLevel="1"/>
    <col min="11" max="11" width="12.28515625" style="58" hidden="1" customWidth="1" outlineLevel="1"/>
    <col min="12" max="12" width="8.7109375" style="1" hidden="1" customWidth="1" outlineLevel="1"/>
    <col min="13" max="13" width="10.42578125" style="1" hidden="1" customWidth="1" outlineLevel="1"/>
    <col min="14" max="14" width="10.5703125" style="1" hidden="1" customWidth="1" outlineLevel="1"/>
    <col min="15" max="15" width="13.5703125" style="1" hidden="1" customWidth="1" outlineLevel="1"/>
    <col min="16" max="16" width="3.5703125" style="1" hidden="1" customWidth="1" outlineLevel="1"/>
    <col min="17" max="17" width="10.28515625" style="22" hidden="1" customWidth="1" outlineLevel="1"/>
    <col min="18" max="18" width="9" style="22" hidden="1" customWidth="1" outlineLevel="1"/>
    <col min="19" max="19" width="9.28515625" style="22" hidden="1" customWidth="1" outlineLevel="1"/>
    <col min="20" max="20" width="8.85546875" style="63" hidden="1" customWidth="1" outlineLevel="1"/>
    <col min="21" max="21" width="3" style="63" hidden="1" customWidth="1" outlineLevel="1"/>
    <col min="22" max="22" width="8.85546875" style="64" customWidth="1" collapsed="1"/>
    <col min="23" max="52" width="8.85546875" style="63" customWidth="1" outlineLevel="1"/>
    <col min="53" max="53" width="3" style="63" customWidth="1" outlineLevel="1"/>
    <col min="54" max="54" width="10.7109375" style="63" customWidth="1" outlineLevel="1"/>
    <col min="55" max="55" width="12.140625" style="63" customWidth="1" outlineLevel="1"/>
    <col min="56" max="56" width="12.7109375" style="63" customWidth="1"/>
    <col min="57" max="57" width="3.28515625" style="63" customWidth="1"/>
    <col min="58" max="58" width="9.85546875" style="22" hidden="1" customWidth="1" outlineLevel="1"/>
    <col min="59" max="61" width="11" style="1" hidden="1" customWidth="1" outlineLevel="1"/>
    <col min="62" max="62" width="2.7109375" style="1" hidden="1" customWidth="1" outlineLevel="1"/>
    <col min="63" max="63" width="11" style="1" hidden="1" customWidth="1" outlineLevel="1"/>
    <col min="64" max="64" width="2.5703125" style="1" hidden="1" customWidth="1" outlineLevel="1"/>
    <col min="65" max="65" width="11" style="1" hidden="1" customWidth="1" outlineLevel="1"/>
    <col min="66" max="66" width="4.28515625" style="1" hidden="1" customWidth="1" outlineLevel="1"/>
    <col min="67" max="67" width="12.140625" style="1" hidden="1" customWidth="1" outlineLevel="1"/>
    <col min="68" max="68" width="2.7109375" style="1" hidden="1" customWidth="1" outlineLevel="1"/>
    <col min="69" max="69" width="12.140625" style="1" hidden="1" customWidth="1" outlineLevel="1"/>
    <col min="70" max="70" width="2.7109375" style="1" hidden="1" customWidth="1" outlineLevel="1"/>
    <col min="71" max="71" width="12.140625" style="1" hidden="1" customWidth="1" outlineLevel="1"/>
    <col min="72" max="72" width="2.7109375" style="1" hidden="1" customWidth="1" outlineLevel="1"/>
    <col min="73" max="73" width="12.140625" style="1" hidden="1" customWidth="1" outlineLevel="1"/>
    <col min="74" max="74" width="2.7109375" style="1" hidden="1" customWidth="1" outlineLevel="1"/>
    <col min="75" max="75" width="12.140625" style="1" hidden="1" customWidth="1" outlineLevel="1"/>
    <col min="76" max="76" width="2.7109375" style="1" hidden="1" customWidth="1" outlineLevel="1"/>
    <col min="77" max="77" width="12.140625" style="1" hidden="1" customWidth="1" outlineLevel="1"/>
    <col min="78" max="78" width="2.7109375" style="1" hidden="1" customWidth="1" outlineLevel="1"/>
    <col min="79" max="79" width="12.140625" style="1" hidden="1" customWidth="1" outlineLevel="1"/>
    <col min="80" max="80" width="2.7109375" style="1" hidden="1" customWidth="1" outlineLevel="1"/>
    <col min="81" max="81" width="11" style="1" hidden="1" customWidth="1" outlineLevel="1"/>
    <col min="82" max="82" width="2.7109375" style="1" hidden="1" customWidth="1" outlineLevel="1"/>
    <col min="83" max="83" width="12.42578125" style="1" hidden="1" customWidth="1" outlineLevel="1"/>
    <col min="84" max="84" width="2.7109375" style="1" hidden="1" customWidth="1" outlineLevel="1"/>
    <col min="85" max="85" width="11" style="1" hidden="1" customWidth="1" outlineLevel="1"/>
    <col min="86" max="86" width="4" style="1" hidden="1" customWidth="1" outlineLevel="1"/>
    <col min="87" max="87" width="12.42578125" style="1" hidden="1" customWidth="1" outlineLevel="1"/>
    <col min="88" max="88" width="2.7109375" style="1" hidden="1" customWidth="1" outlineLevel="1"/>
    <col min="89" max="89" width="12.140625" style="1" hidden="1" customWidth="1" outlineLevel="1"/>
    <col min="90" max="90" width="2.7109375" style="1" hidden="1" customWidth="1" outlineLevel="1"/>
    <col min="91" max="91" width="12.140625" style="1" hidden="1" customWidth="1" outlineLevel="1"/>
    <col min="92" max="92" width="2.7109375" style="1" hidden="1" customWidth="1" outlineLevel="1"/>
    <col min="93" max="93" width="12.140625" style="1" hidden="1" customWidth="1" outlineLevel="1"/>
    <col min="94" max="94" width="2.7109375" style="1" hidden="1" customWidth="1" outlineLevel="1"/>
    <col min="95" max="95" width="12.140625" style="1" hidden="1" customWidth="1" outlineLevel="1"/>
    <col min="96" max="96" width="2.7109375" style="1" hidden="1" customWidth="1" outlineLevel="1"/>
    <col min="97" max="97" width="12.140625" style="1" hidden="1" customWidth="1" outlineLevel="1"/>
    <col min="98" max="98" width="2.7109375" style="1" hidden="1" customWidth="1" outlineLevel="1"/>
    <col min="99" max="99" width="14.28515625" style="1" hidden="1" customWidth="1" outlineLevel="1"/>
    <col min="100" max="100" width="2.7109375" style="1" hidden="1" customWidth="1" outlineLevel="1"/>
    <col min="101" max="101" width="14.28515625" style="1" hidden="1" customWidth="1" outlineLevel="1"/>
    <col min="102" max="102" width="2.7109375" style="1" hidden="1" customWidth="1" outlineLevel="1"/>
    <col min="103" max="103" width="11" style="1" hidden="1" customWidth="1" outlineLevel="1"/>
    <col min="104" max="104" width="3.5703125" style="1" hidden="1" customWidth="1" outlineLevel="1"/>
    <col min="105" max="105" width="11" style="1" hidden="1" customWidth="1" outlineLevel="1"/>
    <col min="106" max="106" width="4.28515625" style="1" hidden="1" customWidth="1" outlineLevel="1"/>
    <col min="107" max="107" width="11" style="1" hidden="1" customWidth="1" outlineLevel="1"/>
    <col min="108" max="108" width="4.28515625" style="1" hidden="1" customWidth="1" outlineLevel="1"/>
    <col min="109" max="109" width="11" style="1" hidden="1" customWidth="1" outlineLevel="1"/>
    <col min="110" max="110" width="3.5703125" style="1" hidden="1" customWidth="1" outlineLevel="1"/>
    <col min="111" max="111" width="11" style="1" hidden="1" customWidth="1" outlineLevel="1"/>
    <col min="112" max="112" width="4.28515625" style="1" hidden="1" customWidth="1" outlineLevel="1"/>
    <col min="113" max="113" width="11" style="1" hidden="1" customWidth="1" outlineLevel="1"/>
    <col min="114" max="114" width="4.28515625" style="1" hidden="1" customWidth="1" outlineLevel="1"/>
    <col min="115" max="115" width="11" style="1" hidden="1" customWidth="1" outlineLevel="1"/>
    <col min="116" max="116" width="4.28515625" style="1" hidden="1" customWidth="1" outlineLevel="1"/>
    <col min="117" max="117" width="11" style="1" hidden="1" customWidth="1" outlineLevel="1"/>
    <col min="118" max="118" width="4.28515625" style="1" hidden="1" customWidth="1" outlineLevel="1"/>
    <col min="119" max="119" width="11" style="1" hidden="1" customWidth="1" outlineLevel="1"/>
    <col min="120" max="120" width="4" style="1" hidden="1" customWidth="1" outlineLevel="1"/>
    <col min="121" max="121" width="11" style="1" hidden="1" customWidth="1" outlineLevel="1"/>
    <col min="122" max="122" width="2.7109375" style="1" hidden="1" customWidth="1" outlineLevel="1"/>
    <col min="123" max="123" width="11" style="1" hidden="1" customWidth="1" outlineLevel="1"/>
    <col min="124" max="124" width="4.28515625" style="1" hidden="1" customWidth="1" outlineLevel="1"/>
    <col min="125" max="125" width="11" style="1" hidden="1" customWidth="1" outlineLevel="1"/>
    <col min="126" max="126" width="2.7109375" style="1" hidden="1" customWidth="1" outlineLevel="1"/>
    <col min="127" max="127" width="12.140625" style="1" hidden="1" customWidth="1" outlineLevel="1"/>
    <col min="128" max="128" width="4" style="1" hidden="1" customWidth="1" outlineLevel="1"/>
    <col min="129" max="129" width="12.140625" style="1" hidden="1" customWidth="1" outlineLevel="1"/>
    <col min="130" max="130" width="2.7109375" style="1" hidden="1" customWidth="1" outlineLevel="1"/>
    <col min="131" max="131" width="12.140625" style="1" hidden="1" customWidth="1" outlineLevel="1"/>
    <col min="132" max="132" width="2.7109375" style="1" hidden="1" customWidth="1" outlineLevel="1"/>
    <col min="133" max="133" width="11" style="1" hidden="1" customWidth="1" outlineLevel="1"/>
    <col min="134" max="134" width="3.28515625" style="1" hidden="1" customWidth="1" outlineLevel="1"/>
    <col min="135" max="135" width="11" style="1" hidden="1" customWidth="1" outlineLevel="1"/>
    <col min="136" max="136" width="3.28515625" style="1" hidden="1" customWidth="1" outlineLevel="1"/>
    <col min="137" max="137" width="11" style="1" hidden="1" customWidth="1" outlineLevel="1"/>
    <col min="138" max="138" width="3.28515625" style="1" hidden="1" customWidth="1" outlineLevel="1"/>
    <col min="139" max="139" width="12.140625" style="1" hidden="1" customWidth="1" outlineLevel="1"/>
    <col min="140" max="140" width="2.7109375" style="1" hidden="1" customWidth="1" outlineLevel="1"/>
    <col min="141" max="141" width="12.140625" style="1" hidden="1" customWidth="1" outlineLevel="1"/>
    <col min="142" max="142" width="2.7109375" style="1" hidden="1" customWidth="1" outlineLevel="1"/>
    <col min="143" max="143" width="11" style="1" hidden="1" customWidth="1" outlineLevel="1"/>
    <col min="144" max="144" width="4.140625" style="1" hidden="1" customWidth="1" outlineLevel="1"/>
    <col min="145" max="145" width="11" style="1" hidden="1" customWidth="1" outlineLevel="1"/>
    <col min="146" max="146" width="3.28515625" style="1" hidden="1" customWidth="1" outlineLevel="1"/>
    <col min="147" max="147" width="13.140625" style="1" hidden="1" customWidth="1" outlineLevel="1"/>
    <col min="148" max="148" width="3.28515625" style="1" hidden="1" customWidth="1" outlineLevel="1"/>
    <col min="149" max="149" width="12.140625" style="1" hidden="1" customWidth="1" outlineLevel="1"/>
    <col min="150" max="150" width="2.7109375" style="1" hidden="1" customWidth="1" outlineLevel="1"/>
    <col min="151" max="151" width="17.5703125" style="1" hidden="1" customWidth="1" outlineLevel="1"/>
    <col min="152" max="152" width="3.7109375" style="65" hidden="1" customWidth="1" outlineLevel="1"/>
    <col min="153" max="153" width="17.7109375" style="1" hidden="1" customWidth="1" outlineLevel="1"/>
    <col min="154" max="154" width="4.28515625" style="1" hidden="1" customWidth="1" outlineLevel="1"/>
    <col min="155" max="155" width="17.7109375" style="1" hidden="1" customWidth="1" outlineLevel="1"/>
    <col min="156" max="156" width="4.28515625" style="1" hidden="1" customWidth="1" outlineLevel="1"/>
    <col min="157" max="157" width="17.5703125" style="1" hidden="1" customWidth="1" outlineLevel="1"/>
    <col min="158" max="158" width="3.7109375" style="65" hidden="1" customWidth="1" outlineLevel="1"/>
    <col min="159" max="159" width="17.7109375" style="1" hidden="1" customWidth="1" outlineLevel="1"/>
    <col min="160" max="160" width="4.28515625" style="1" hidden="1" customWidth="1" outlineLevel="1"/>
    <col min="161" max="161" width="17.7109375" style="1" hidden="1" customWidth="1" outlineLevel="1"/>
    <col min="162" max="162" width="2.7109375" style="1" hidden="1" customWidth="1" outlineLevel="1"/>
    <col min="163" max="163" width="12.140625" style="1" hidden="1" customWidth="1" outlineLevel="1"/>
    <col min="164" max="164" width="2.7109375" style="1" hidden="1" customWidth="1" outlineLevel="1"/>
    <col min="165" max="165" width="11" style="1" hidden="1" customWidth="1" outlineLevel="1"/>
    <col min="166" max="166" width="3.140625" style="1" hidden="1" customWidth="1" outlineLevel="1"/>
    <col min="167" max="167" width="13.140625" style="1" hidden="1" customWidth="1" outlineLevel="1"/>
    <col min="168" max="168" width="2.42578125" style="1" hidden="1" customWidth="1" outlineLevel="1"/>
    <col min="169" max="169" width="12.140625" style="1" hidden="1" customWidth="1" outlineLevel="1"/>
    <col min="170" max="170" width="3.28515625" style="1" hidden="1" customWidth="1" outlineLevel="1"/>
    <col min="171" max="171" width="12.140625" style="1" hidden="1" customWidth="1" outlineLevel="1"/>
    <col min="172" max="172" width="2.7109375" style="1" hidden="1" customWidth="1" outlineLevel="1"/>
    <col min="173" max="173" width="12.140625" style="1" hidden="1" customWidth="1" outlineLevel="1"/>
    <col min="174" max="174" width="2.7109375" style="1" hidden="1" customWidth="1" outlineLevel="1"/>
    <col min="175" max="175" width="12.140625" style="1" hidden="1" customWidth="1" outlineLevel="1"/>
    <col min="176" max="176" width="2.7109375" style="1" hidden="1" customWidth="1" outlineLevel="1"/>
    <col min="177" max="177" width="12.5703125" style="1" hidden="1" customWidth="1" outlineLevel="1"/>
    <col min="178" max="178" width="2.7109375" style="1" hidden="1" customWidth="1" outlineLevel="1"/>
    <col min="179" max="179" width="12.5703125" style="1" hidden="1" customWidth="1" outlineLevel="1"/>
    <col min="180" max="180" width="2.7109375" style="1" hidden="1" customWidth="1" outlineLevel="1"/>
    <col min="181" max="181" width="12.5703125" style="1" hidden="1" customWidth="1" outlineLevel="1"/>
    <col min="182" max="182" width="2.7109375" style="1" hidden="1" customWidth="1" outlineLevel="1"/>
    <col min="183" max="183" width="12.140625" style="1" hidden="1" customWidth="1" outlineLevel="1"/>
    <col min="184" max="184" width="2.7109375" style="1" hidden="1" customWidth="1" outlineLevel="1"/>
    <col min="185" max="185" width="12.140625" style="1" hidden="1" customWidth="1" outlineLevel="1"/>
    <col min="186" max="186" width="2.7109375" style="1" hidden="1" customWidth="1" outlineLevel="1"/>
    <col min="187" max="187" width="12.140625" style="1" hidden="1" customWidth="1" outlineLevel="1"/>
    <col min="188" max="188" width="2.7109375" style="1" hidden="1" customWidth="1" outlineLevel="1"/>
    <col min="189" max="189" width="17.7109375" style="1" hidden="1" customWidth="1" outlineLevel="1"/>
    <col min="190" max="190" width="2.7109375" style="1" hidden="1" customWidth="1" outlineLevel="1"/>
    <col min="191" max="191" width="17.7109375" style="1" hidden="1" customWidth="1" outlineLevel="1"/>
    <col min="192" max="192" width="3.140625" style="1" hidden="1" customWidth="1" outlineLevel="1"/>
    <col min="193" max="193" width="17.7109375" style="1" hidden="1" customWidth="1" outlineLevel="1"/>
    <col min="194" max="194" width="2.28515625" style="1" hidden="1" customWidth="1" outlineLevel="1"/>
    <col min="195" max="195" width="15.7109375" style="1" hidden="1" customWidth="1" outlineLevel="1"/>
    <col min="196" max="196" width="2.7109375" style="1" hidden="1" customWidth="1" outlineLevel="1"/>
    <col min="197" max="197" width="12.140625" style="1" hidden="1" customWidth="1" outlineLevel="1"/>
    <col min="198" max="198" width="2.7109375" style="1" hidden="1" customWidth="1" outlineLevel="1"/>
    <col min="199" max="199" width="12.140625" style="1" hidden="1" customWidth="1" outlineLevel="1"/>
    <col min="200" max="200" width="2.7109375" style="1" hidden="1" customWidth="1" outlineLevel="1"/>
    <col min="201" max="201" width="12.140625" style="1" hidden="1" customWidth="1" outlineLevel="1"/>
    <col min="202" max="202" width="2.7109375" style="1" hidden="1" customWidth="1" outlineLevel="1"/>
    <col min="203" max="203" width="12.140625" style="1" hidden="1" customWidth="1" outlineLevel="1"/>
    <col min="204" max="204" width="3.85546875" style="1" hidden="1" customWidth="1" outlineLevel="1"/>
    <col min="205" max="205" width="12.140625" style="1" hidden="1" customWidth="1" outlineLevel="1"/>
    <col min="206" max="206" width="4.42578125" style="1" hidden="1" customWidth="1" outlineLevel="1"/>
    <col min="207" max="207" width="12.140625" style="1" hidden="1" customWidth="1" outlineLevel="1"/>
    <col min="208" max="208" width="2.7109375" style="1" hidden="1" customWidth="1" outlineLevel="1"/>
    <col min="209" max="209" width="12.140625" style="1" hidden="1" customWidth="1" outlineLevel="1"/>
    <col min="210" max="210" width="2.7109375" style="1" hidden="1" customWidth="1" outlineLevel="1"/>
    <col min="211" max="211" width="12.140625" style="1" hidden="1" customWidth="1" outlineLevel="1"/>
    <col min="212" max="212" width="3.28515625" style="1" hidden="1" customWidth="1" outlineLevel="1"/>
    <col min="213" max="213" width="11" style="1" hidden="1" customWidth="1" outlineLevel="1"/>
    <col min="214" max="214" width="11.42578125" style="1" hidden="1" customWidth="1" outlineLevel="1"/>
    <col min="215" max="215" width="11" style="1" customWidth="1" collapsed="1"/>
    <col min="216" max="232" width="11" style="1" customWidth="1"/>
    <col min="233" max="233" width="11" style="1" customWidth="1" outlineLevel="1"/>
    <col min="234" max="234" width="11" style="1" customWidth="1"/>
    <col min="235" max="235" width="11" style="1" customWidth="1" outlineLevel="1"/>
    <col min="236" max="236" width="11" style="1" customWidth="1"/>
    <col min="237" max="237" width="11" style="1" customWidth="1" outlineLevel="1"/>
    <col min="238" max="238" width="11" style="1" customWidth="1"/>
    <col min="239" max="239" width="11" style="1" customWidth="1" outlineLevel="1"/>
    <col min="240" max="240" width="11" style="1" customWidth="1"/>
    <col min="241" max="241" width="11" style="1" customWidth="1" outlineLevel="1"/>
    <col min="242" max="242" width="11" style="1" customWidth="1"/>
    <col min="243" max="243" width="11" style="1" customWidth="1" outlineLevel="1"/>
    <col min="244" max="244" width="11" style="1" customWidth="1"/>
    <col min="245" max="245" width="11" style="1" customWidth="1" outlineLevel="1"/>
    <col min="246" max="246" width="11" style="1" customWidth="1"/>
    <col min="247" max="256" width="11" style="1" customWidth="1" outlineLevel="1"/>
  </cols>
  <sheetData>
    <row r="1" spans="1:214" s="3" customFormat="1" x14ac:dyDescent="0.25">
      <c r="A1" s="2" t="s">
        <v>0</v>
      </c>
      <c r="Q1" s="4"/>
      <c r="R1" s="4"/>
      <c r="S1" s="4"/>
      <c r="T1" s="5"/>
      <c r="U1" s="5"/>
      <c r="V1" s="6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4" t="s">
        <v>1</v>
      </c>
      <c r="BH1" s="3" t="s">
        <v>2</v>
      </c>
      <c r="BI1" s="3" t="s">
        <v>3</v>
      </c>
      <c r="BK1" s="3" t="s">
        <v>3</v>
      </c>
      <c r="BM1" s="9" t="s">
        <v>5</v>
      </c>
      <c r="BO1" s="3" t="s">
        <v>6</v>
      </c>
      <c r="BQ1" s="3" t="s">
        <v>6</v>
      </c>
      <c r="BS1" s="3" t="s">
        <v>6</v>
      </c>
      <c r="BU1" s="3" t="s">
        <v>6</v>
      </c>
      <c r="BW1" s="3" t="s">
        <v>6</v>
      </c>
      <c r="BY1" s="3" t="s">
        <v>6</v>
      </c>
      <c r="CA1" s="3" t="s">
        <v>6</v>
      </c>
      <c r="CC1" s="3" t="s">
        <v>6</v>
      </c>
      <c r="CE1" s="3" t="s">
        <v>6</v>
      </c>
      <c r="CG1" s="3" t="s">
        <v>6</v>
      </c>
      <c r="CI1" s="3" t="s">
        <v>6</v>
      </c>
      <c r="CK1" s="3" t="s">
        <v>6</v>
      </c>
      <c r="CM1" s="3" t="s">
        <v>6</v>
      </c>
      <c r="CO1" s="3" t="s">
        <v>6</v>
      </c>
      <c r="CQ1" s="3" t="s">
        <v>6</v>
      </c>
      <c r="CS1" s="3" t="s">
        <v>6</v>
      </c>
      <c r="CU1" s="3" t="s">
        <v>266</v>
      </c>
      <c r="CW1" s="3" t="s">
        <v>266</v>
      </c>
      <c r="CY1" s="3" t="s">
        <v>7</v>
      </c>
      <c r="DA1" s="3" t="s">
        <v>7</v>
      </c>
      <c r="DC1" s="3" t="s">
        <v>7</v>
      </c>
      <c r="DE1" s="3" t="s">
        <v>7</v>
      </c>
      <c r="DG1" s="3" t="s">
        <v>7</v>
      </c>
      <c r="DI1" s="3" t="s">
        <v>7</v>
      </c>
      <c r="DK1" s="3" t="s">
        <v>7</v>
      </c>
      <c r="DM1" s="3" t="s">
        <v>7</v>
      </c>
      <c r="DO1" s="3" t="s">
        <v>7</v>
      </c>
      <c r="DQ1" s="3" t="s">
        <v>7</v>
      </c>
      <c r="DS1" s="3" t="s">
        <v>7</v>
      </c>
      <c r="DU1" s="3" t="s">
        <v>7</v>
      </c>
      <c r="DW1" s="3" t="s">
        <v>6</v>
      </c>
      <c r="DY1" s="3" t="s">
        <v>270</v>
      </c>
      <c r="EA1" s="3" t="s">
        <v>6</v>
      </c>
      <c r="EC1" s="3" t="s">
        <v>6</v>
      </c>
      <c r="EE1" s="3" t="s">
        <v>6</v>
      </c>
      <c r="EG1" s="3" t="s">
        <v>6</v>
      </c>
      <c r="EI1" s="3" t="s">
        <v>6</v>
      </c>
      <c r="EK1" s="3" t="s">
        <v>6</v>
      </c>
      <c r="EM1" s="3" t="s">
        <v>6</v>
      </c>
      <c r="EO1" s="3" t="s">
        <v>6</v>
      </c>
      <c r="EQ1" s="3" t="s">
        <v>6</v>
      </c>
      <c r="ES1" s="3" t="s">
        <v>6</v>
      </c>
      <c r="EU1" s="155" t="s">
        <v>4</v>
      </c>
      <c r="EV1" s="7"/>
      <c r="EW1" s="155" t="s">
        <v>4</v>
      </c>
      <c r="EY1" s="155" t="s">
        <v>4</v>
      </c>
      <c r="EZ1" s="8"/>
      <c r="FA1" s="155" t="s">
        <v>4</v>
      </c>
      <c r="FB1" s="7"/>
      <c r="FC1" s="155" t="s">
        <v>4</v>
      </c>
      <c r="FE1" s="155" t="s">
        <v>4</v>
      </c>
      <c r="FG1" s="3" t="s">
        <v>6</v>
      </c>
      <c r="FH1" s="147"/>
      <c r="FI1" s="3" t="s">
        <v>6</v>
      </c>
      <c r="FK1" s="3" t="s">
        <v>6</v>
      </c>
      <c r="FM1" s="3" t="s">
        <v>6</v>
      </c>
      <c r="FO1" s="3" t="s">
        <v>6</v>
      </c>
      <c r="FQ1" s="3" t="s">
        <v>6</v>
      </c>
      <c r="FS1" s="3" t="s">
        <v>6</v>
      </c>
      <c r="FU1" s="3" t="s">
        <v>285</v>
      </c>
      <c r="FW1" s="3" t="s">
        <v>285</v>
      </c>
      <c r="FY1" s="3" t="s">
        <v>285</v>
      </c>
      <c r="GA1" s="3" t="s">
        <v>6</v>
      </c>
      <c r="GC1" s="3" t="s">
        <v>6</v>
      </c>
      <c r="GE1" s="3" t="s">
        <v>6</v>
      </c>
      <c r="GG1" s="155" t="s">
        <v>4</v>
      </c>
      <c r="GI1" s="155" t="s">
        <v>4</v>
      </c>
      <c r="GK1" s="155" t="s">
        <v>4</v>
      </c>
      <c r="GM1" s="3" t="s">
        <v>8</v>
      </c>
      <c r="GO1" s="3" t="s">
        <v>9</v>
      </c>
      <c r="GQ1" s="3" t="s">
        <v>9</v>
      </c>
      <c r="GS1" s="3" t="s">
        <v>9</v>
      </c>
      <c r="GU1" s="3" t="s">
        <v>9</v>
      </c>
      <c r="GW1" s="3" t="s">
        <v>6</v>
      </c>
      <c r="GY1" s="3" t="s">
        <v>6</v>
      </c>
      <c r="HA1" s="3" t="s">
        <v>6</v>
      </c>
      <c r="HC1" s="3" t="s">
        <v>6</v>
      </c>
    </row>
    <row r="2" spans="1:214" s="3" customFormat="1" x14ac:dyDescent="0.25">
      <c r="A2" s="10" t="s">
        <v>10</v>
      </c>
      <c r="Q2" s="4"/>
      <c r="R2" s="4"/>
      <c r="S2" s="4"/>
      <c r="T2" s="5"/>
      <c r="U2" s="5"/>
      <c r="V2" s="6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4" t="s">
        <v>11</v>
      </c>
      <c r="BG2" s="11" t="s">
        <v>12</v>
      </c>
      <c r="BH2" s="11" t="s">
        <v>12</v>
      </c>
      <c r="BI2" s="11" t="s">
        <v>12</v>
      </c>
      <c r="BJ2" s="11"/>
      <c r="BK2" s="11" t="s">
        <v>12</v>
      </c>
      <c r="BL2" s="11"/>
      <c r="BM2" s="9" t="s">
        <v>14</v>
      </c>
      <c r="BO2" s="3" t="s">
        <v>26</v>
      </c>
      <c r="BQ2" s="3" t="s">
        <v>26</v>
      </c>
      <c r="BS2" s="3" t="s">
        <v>23</v>
      </c>
      <c r="BU2" s="3" t="s">
        <v>21</v>
      </c>
      <c r="BW2" s="3" t="s">
        <v>21</v>
      </c>
      <c r="BY2" s="3" t="s">
        <v>21</v>
      </c>
      <c r="CA2" s="3" t="s">
        <v>21</v>
      </c>
      <c r="CC2" s="3" t="s">
        <v>13</v>
      </c>
      <c r="CE2" s="3" t="s">
        <v>264</v>
      </c>
      <c r="CG2" s="3" t="s">
        <v>265</v>
      </c>
      <c r="CI2" s="3" t="s">
        <v>264</v>
      </c>
      <c r="CK2" s="3" t="s">
        <v>23</v>
      </c>
      <c r="CM2" s="3" t="s">
        <v>21</v>
      </c>
      <c r="CO2" s="3" t="s">
        <v>21</v>
      </c>
      <c r="CQ2" s="3" t="s">
        <v>21</v>
      </c>
      <c r="CS2" s="3" t="s">
        <v>23</v>
      </c>
      <c r="CU2" s="3" t="s">
        <v>24</v>
      </c>
      <c r="CW2" s="3" t="s">
        <v>24</v>
      </c>
      <c r="CY2" s="3" t="s">
        <v>17</v>
      </c>
      <c r="DA2" s="3" t="s">
        <v>14</v>
      </c>
      <c r="DC2" s="3" t="s">
        <v>14</v>
      </c>
      <c r="DE2" s="3" t="s">
        <v>14</v>
      </c>
      <c r="DG2" s="3" t="s">
        <v>14</v>
      </c>
      <c r="DI2" s="3" t="s">
        <v>14</v>
      </c>
      <c r="DK2" s="3" t="s">
        <v>14</v>
      </c>
      <c r="DM2" s="3" t="s">
        <v>14</v>
      </c>
      <c r="DO2" s="3" t="s">
        <v>13</v>
      </c>
      <c r="DQ2" s="3" t="s">
        <v>13</v>
      </c>
      <c r="DS2" s="3" t="s">
        <v>18</v>
      </c>
      <c r="DU2" s="3" t="s">
        <v>18</v>
      </c>
      <c r="DW2" s="3" t="s">
        <v>22</v>
      </c>
      <c r="DY2" s="3" t="s">
        <v>271</v>
      </c>
      <c r="EA2" s="3" t="s">
        <v>20</v>
      </c>
      <c r="EC2" s="3" t="s">
        <v>15</v>
      </c>
      <c r="EE2" s="3" t="s">
        <v>15</v>
      </c>
      <c r="EG2" s="3" t="s">
        <v>19</v>
      </c>
      <c r="EI2" s="3" t="s">
        <v>21</v>
      </c>
      <c r="EK2" s="3" t="s">
        <v>21</v>
      </c>
      <c r="EM2" s="3" t="s">
        <v>15</v>
      </c>
      <c r="EO2" s="3" t="s">
        <v>16</v>
      </c>
      <c r="EQ2" s="3" t="s">
        <v>20</v>
      </c>
      <c r="ES2" s="3" t="s">
        <v>21</v>
      </c>
      <c r="EU2" s="155" t="s">
        <v>282</v>
      </c>
      <c r="EV2" s="7"/>
      <c r="EW2" s="155" t="s">
        <v>14</v>
      </c>
      <c r="EY2" s="155" t="s">
        <v>14</v>
      </c>
      <c r="EZ2" s="8"/>
      <c r="FA2" s="155" t="s">
        <v>282</v>
      </c>
      <c r="FB2" s="7"/>
      <c r="FC2" s="155" t="s">
        <v>14</v>
      </c>
      <c r="FE2" s="155" t="s">
        <v>14</v>
      </c>
      <c r="FG2" s="3" t="s">
        <v>21</v>
      </c>
      <c r="FH2" s="147"/>
      <c r="FI2" s="3" t="s">
        <v>15</v>
      </c>
      <c r="FK2" s="3" t="s">
        <v>20</v>
      </c>
      <c r="FM2" s="3" t="s">
        <v>23</v>
      </c>
      <c r="FO2" s="3" t="s">
        <v>21</v>
      </c>
      <c r="FQ2" s="3" t="s">
        <v>21</v>
      </c>
      <c r="FS2" s="3" t="s">
        <v>21</v>
      </c>
      <c r="FU2" s="9" t="s">
        <v>14</v>
      </c>
      <c r="FW2" s="9" t="s">
        <v>14</v>
      </c>
      <c r="FY2" s="9" t="s">
        <v>14</v>
      </c>
      <c r="GA2" s="3" t="s">
        <v>21</v>
      </c>
      <c r="GC2" s="3" t="s">
        <v>21</v>
      </c>
      <c r="GE2" s="3" t="s">
        <v>23</v>
      </c>
      <c r="GG2" s="155" t="s">
        <v>13</v>
      </c>
      <c r="GI2" s="155" t="s">
        <v>288</v>
      </c>
      <c r="GK2" s="155" t="s">
        <v>288</v>
      </c>
      <c r="GM2" s="3" t="s">
        <v>25</v>
      </c>
      <c r="GO2" s="3" t="s">
        <v>24</v>
      </c>
      <c r="GQ2" s="3" t="s">
        <v>24</v>
      </c>
      <c r="GS2" s="3" t="s">
        <v>24</v>
      </c>
      <c r="GU2" s="3" t="s">
        <v>24</v>
      </c>
      <c r="GW2" s="3" t="s">
        <v>23</v>
      </c>
      <c r="GY2" s="3" t="s">
        <v>21</v>
      </c>
      <c r="HA2" s="3" t="s">
        <v>21</v>
      </c>
      <c r="HC2" s="3" t="s">
        <v>21</v>
      </c>
    </row>
    <row r="3" spans="1:214" s="14" customFormat="1" x14ac:dyDescent="0.25">
      <c r="A3" s="12" t="s">
        <v>27</v>
      </c>
      <c r="B3" s="13"/>
      <c r="K3" s="13"/>
      <c r="Q3" s="15"/>
      <c r="T3" s="16"/>
      <c r="U3" s="16"/>
      <c r="V3" s="29"/>
      <c r="W3" s="17"/>
      <c r="X3" s="16"/>
      <c r="AA3" s="17" t="s">
        <v>28</v>
      </c>
      <c r="AB3" s="16" t="s">
        <v>29</v>
      </c>
      <c r="AH3" s="16" t="s">
        <v>28</v>
      </c>
      <c r="AI3" s="16" t="s">
        <v>29</v>
      </c>
      <c r="AO3" s="16" t="s">
        <v>28</v>
      </c>
      <c r="AP3" s="16" t="s">
        <v>29</v>
      </c>
      <c r="AV3" s="16" t="s">
        <v>28</v>
      </c>
      <c r="AW3" s="16" t="s">
        <v>29</v>
      </c>
      <c r="BA3" s="16"/>
      <c r="BB3" s="16"/>
      <c r="BC3" s="16"/>
      <c r="BD3" s="16"/>
      <c r="BE3" s="16"/>
      <c r="BF3" s="18" t="s">
        <v>30</v>
      </c>
      <c r="BG3" s="14">
        <v>0</v>
      </c>
      <c r="BH3" s="14">
        <v>0</v>
      </c>
      <c r="BI3" s="14">
        <v>45000</v>
      </c>
      <c r="BK3" s="14">
        <v>136</v>
      </c>
      <c r="BM3" s="21">
        <v>2000</v>
      </c>
      <c r="BO3" s="14">
        <v>5000</v>
      </c>
      <c r="BQ3" s="14">
        <v>19293</v>
      </c>
      <c r="BS3" s="14">
        <v>1</v>
      </c>
      <c r="BU3" s="14">
        <v>1</v>
      </c>
      <c r="BW3" s="14">
        <v>1</v>
      </c>
      <c r="BY3" s="14">
        <v>1</v>
      </c>
      <c r="CA3" s="14">
        <v>4</v>
      </c>
      <c r="CC3" s="14">
        <v>3992</v>
      </c>
      <c r="CE3" s="14">
        <v>8</v>
      </c>
      <c r="CG3" s="14">
        <v>3988</v>
      </c>
      <c r="CI3" s="14">
        <v>12</v>
      </c>
      <c r="CK3" s="14">
        <v>4000</v>
      </c>
      <c r="CM3" s="14">
        <v>5</v>
      </c>
      <c r="CO3" s="14">
        <v>27</v>
      </c>
      <c r="CQ3" s="14">
        <v>3</v>
      </c>
      <c r="CS3" s="14">
        <v>17</v>
      </c>
      <c r="CU3" s="14">
        <v>1</v>
      </c>
      <c r="CW3" s="14">
        <v>1</v>
      </c>
      <c r="CY3" s="14">
        <v>1773</v>
      </c>
      <c r="DA3" s="14">
        <v>30275</v>
      </c>
      <c r="DC3" s="14">
        <v>4546</v>
      </c>
      <c r="DE3" s="14">
        <v>3526</v>
      </c>
      <c r="DG3" s="14">
        <v>28238</v>
      </c>
      <c r="DI3" s="14">
        <v>4809</v>
      </c>
      <c r="DK3" s="14">
        <v>5145</v>
      </c>
      <c r="DM3" s="14">
        <v>6256</v>
      </c>
      <c r="DO3" s="14">
        <v>14754</v>
      </c>
      <c r="DQ3" s="14">
        <v>5954</v>
      </c>
      <c r="DS3" s="14">
        <v>3307</v>
      </c>
      <c r="DU3" s="14">
        <v>65</v>
      </c>
      <c r="DW3" s="14">
        <v>40000</v>
      </c>
      <c r="DY3" s="14">
        <v>1</v>
      </c>
      <c r="EA3" s="14">
        <v>21</v>
      </c>
      <c r="EC3" s="14">
        <v>5</v>
      </c>
      <c r="EE3" s="14">
        <v>4</v>
      </c>
      <c r="EG3" s="14">
        <v>285</v>
      </c>
      <c r="EI3" s="14">
        <v>23</v>
      </c>
      <c r="EK3" s="14">
        <v>88</v>
      </c>
      <c r="EM3" s="14">
        <v>19</v>
      </c>
      <c r="EO3" s="14">
        <v>88</v>
      </c>
      <c r="EQ3" s="14">
        <v>900</v>
      </c>
      <c r="ES3" s="14">
        <v>1</v>
      </c>
      <c r="EU3" s="152">
        <v>2400</v>
      </c>
      <c r="EV3" s="150"/>
      <c r="EW3" s="152">
        <v>1915</v>
      </c>
      <c r="EX3" s="123"/>
      <c r="EY3" s="152">
        <v>85</v>
      </c>
      <c r="EZ3" s="20"/>
      <c r="FA3" s="152">
        <v>2000</v>
      </c>
      <c r="FB3" s="150"/>
      <c r="FC3" s="152">
        <v>5000</v>
      </c>
      <c r="FD3" s="123"/>
      <c r="FE3" s="152">
        <v>1000</v>
      </c>
      <c r="FG3" s="14">
        <v>2</v>
      </c>
      <c r="FH3" s="1"/>
      <c r="FI3" s="14">
        <v>2</v>
      </c>
      <c r="FK3" s="14">
        <v>47</v>
      </c>
      <c r="FM3" s="14">
        <v>31</v>
      </c>
      <c r="FO3" s="14">
        <v>4</v>
      </c>
      <c r="FQ3" s="14">
        <v>23</v>
      </c>
      <c r="FS3" s="14">
        <v>4</v>
      </c>
      <c r="FU3" s="14">
        <v>2048</v>
      </c>
      <c r="FW3" s="14">
        <v>2048</v>
      </c>
      <c r="FY3" s="14">
        <v>2048</v>
      </c>
      <c r="GA3" s="14">
        <v>1</v>
      </c>
      <c r="GC3" s="14">
        <v>1</v>
      </c>
      <c r="GE3" s="14">
        <v>11</v>
      </c>
      <c r="GG3" s="152">
        <v>500</v>
      </c>
      <c r="GH3" s="123"/>
      <c r="GI3" s="152">
        <v>1000</v>
      </c>
      <c r="GJ3" s="123"/>
      <c r="GK3" s="152">
        <v>1600</v>
      </c>
      <c r="GL3" s="123"/>
      <c r="GM3" s="14">
        <v>4018</v>
      </c>
      <c r="GO3" s="14">
        <v>38</v>
      </c>
      <c r="GQ3" s="14">
        <v>8905</v>
      </c>
      <c r="GS3" s="14">
        <v>113</v>
      </c>
      <c r="GU3" s="14">
        <v>128</v>
      </c>
      <c r="GW3" s="14">
        <v>36</v>
      </c>
      <c r="GY3" s="14">
        <v>13</v>
      </c>
      <c r="HA3" s="14">
        <v>63</v>
      </c>
      <c r="HC3" s="14">
        <v>14</v>
      </c>
      <c r="HE3" s="22">
        <f>SUM(BM3:HD3)</f>
        <v>223536</v>
      </c>
    </row>
    <row r="4" spans="1:214" s="25" customFormat="1" x14ac:dyDescent="0.25">
      <c r="A4" s="23" t="s">
        <v>31</v>
      </c>
      <c r="B4" s="24"/>
      <c r="K4" s="13" t="s">
        <v>32</v>
      </c>
      <c r="L4" s="14"/>
      <c r="M4" s="14"/>
      <c r="N4" s="14"/>
      <c r="O4" s="14"/>
      <c r="P4" s="14"/>
      <c r="Q4" s="26" t="s">
        <v>33</v>
      </c>
      <c r="R4" s="162" t="s">
        <v>34</v>
      </c>
      <c r="S4" s="162"/>
      <c r="T4" s="28" t="s">
        <v>35</v>
      </c>
      <c r="U4" s="17"/>
      <c r="V4" s="29" t="s">
        <v>293</v>
      </c>
      <c r="W4" s="17" t="s">
        <v>293</v>
      </c>
      <c r="X4" s="17" t="s">
        <v>293</v>
      </c>
      <c r="Y4" s="17" t="s">
        <v>293</v>
      </c>
      <c r="Z4" s="17" t="s">
        <v>293</v>
      </c>
      <c r="AA4" s="17" t="s">
        <v>293</v>
      </c>
      <c r="AB4" s="17" t="s">
        <v>293</v>
      </c>
      <c r="AC4" s="17" t="s">
        <v>293</v>
      </c>
      <c r="AD4" s="17" t="s">
        <v>293</v>
      </c>
      <c r="AE4" s="17" t="s">
        <v>293</v>
      </c>
      <c r="AF4" s="17" t="s">
        <v>293</v>
      </c>
      <c r="AG4" s="17" t="s">
        <v>293</v>
      </c>
      <c r="AH4" s="17" t="s">
        <v>293</v>
      </c>
      <c r="AI4" s="17" t="s">
        <v>293</v>
      </c>
      <c r="AJ4" s="17" t="s">
        <v>293</v>
      </c>
      <c r="AK4" s="17" t="s">
        <v>293</v>
      </c>
      <c r="AL4" s="17" t="s">
        <v>293</v>
      </c>
      <c r="AM4" s="17" t="s">
        <v>293</v>
      </c>
      <c r="AN4" s="17" t="s">
        <v>293</v>
      </c>
      <c r="AO4" s="17" t="s">
        <v>293</v>
      </c>
      <c r="AP4" s="17" t="s">
        <v>293</v>
      </c>
      <c r="AQ4" s="17" t="s">
        <v>293</v>
      </c>
      <c r="AR4" s="17" t="s">
        <v>293</v>
      </c>
      <c r="AS4" s="17" t="s">
        <v>293</v>
      </c>
      <c r="AT4" s="17" t="s">
        <v>293</v>
      </c>
      <c r="AU4" s="17" t="s">
        <v>293</v>
      </c>
      <c r="AV4" s="17" t="s">
        <v>293</v>
      </c>
      <c r="AW4" s="17" t="s">
        <v>293</v>
      </c>
      <c r="AX4" s="17" t="s">
        <v>293</v>
      </c>
      <c r="AY4" s="17" t="s">
        <v>293</v>
      </c>
      <c r="AZ4" s="17"/>
      <c r="BA4" s="17"/>
      <c r="BB4" s="17" t="s">
        <v>293</v>
      </c>
      <c r="BC4" s="17" t="s">
        <v>293</v>
      </c>
      <c r="BD4" s="17" t="s">
        <v>293</v>
      </c>
      <c r="BE4" s="17"/>
      <c r="BF4" s="18" t="s">
        <v>36</v>
      </c>
      <c r="BG4" s="13" t="s">
        <v>37</v>
      </c>
      <c r="BH4" s="13" t="s">
        <v>37</v>
      </c>
      <c r="BI4" s="13" t="s">
        <v>37</v>
      </c>
      <c r="BJ4" s="13"/>
      <c r="BK4" s="13" t="s">
        <v>234</v>
      </c>
      <c r="BL4" s="13"/>
      <c r="BM4" s="32" t="s">
        <v>261</v>
      </c>
      <c r="BN4" s="13"/>
      <c r="BO4" s="13" t="s">
        <v>261</v>
      </c>
      <c r="BP4" s="13"/>
      <c r="BQ4" s="13" t="s">
        <v>261</v>
      </c>
      <c r="BR4" s="13"/>
      <c r="BS4" s="13" t="s">
        <v>261</v>
      </c>
      <c r="BT4" s="13"/>
      <c r="BU4" s="13" t="s">
        <v>261</v>
      </c>
      <c r="BV4" s="13"/>
      <c r="BW4" s="13" t="s">
        <v>261</v>
      </c>
      <c r="BX4" s="13"/>
      <c r="BY4" s="13" t="s">
        <v>261</v>
      </c>
      <c r="BZ4" s="13"/>
      <c r="CA4" s="13" t="s">
        <v>261</v>
      </c>
      <c r="CB4" s="13"/>
      <c r="CC4" s="13" t="s">
        <v>261</v>
      </c>
      <c r="CD4" s="13"/>
      <c r="CE4" s="13" t="s">
        <v>261</v>
      </c>
      <c r="CF4" s="13"/>
      <c r="CG4" s="13" t="s">
        <v>261</v>
      </c>
      <c r="CH4" s="13"/>
      <c r="CI4" s="13" t="s">
        <v>261</v>
      </c>
      <c r="CJ4" s="13"/>
      <c r="CK4" s="13" t="s">
        <v>261</v>
      </c>
      <c r="CL4" s="13"/>
      <c r="CM4" s="13" t="s">
        <v>261</v>
      </c>
      <c r="CN4" s="13"/>
      <c r="CO4" s="13" t="s">
        <v>261</v>
      </c>
      <c r="CP4" s="13"/>
      <c r="CQ4" s="13" t="s">
        <v>261</v>
      </c>
      <c r="CR4" s="13"/>
      <c r="CS4" s="13" t="s">
        <v>261</v>
      </c>
      <c r="CT4" s="13"/>
      <c r="CU4" s="13" t="s">
        <v>261</v>
      </c>
      <c r="CV4" s="13"/>
      <c r="CW4" s="13" t="s">
        <v>261</v>
      </c>
      <c r="CX4" s="13"/>
      <c r="CY4" s="13" t="s">
        <v>261</v>
      </c>
      <c r="CZ4" s="13"/>
      <c r="DA4" s="13" t="s">
        <v>261</v>
      </c>
      <c r="DB4" s="13"/>
      <c r="DC4" s="13" t="s">
        <v>261</v>
      </c>
      <c r="DD4" s="13"/>
      <c r="DE4" s="13" t="s">
        <v>261</v>
      </c>
      <c r="DF4" s="13"/>
      <c r="DG4" s="13" t="s">
        <v>261</v>
      </c>
      <c r="DH4" s="13"/>
      <c r="DI4" s="13" t="s">
        <v>261</v>
      </c>
      <c r="DJ4" s="13"/>
      <c r="DK4" s="13" t="s">
        <v>261</v>
      </c>
      <c r="DL4" s="13"/>
      <c r="DM4" s="13" t="s">
        <v>261</v>
      </c>
      <c r="DN4" s="13"/>
      <c r="DO4" s="13" t="s">
        <v>261</v>
      </c>
      <c r="DP4" s="13"/>
      <c r="DQ4" s="13" t="s">
        <v>261</v>
      </c>
      <c r="DR4" s="13"/>
      <c r="DS4" s="13" t="s">
        <v>261</v>
      </c>
      <c r="DT4" s="13"/>
      <c r="DU4" s="13" t="s">
        <v>261</v>
      </c>
      <c r="DV4" s="13"/>
      <c r="DW4" s="13" t="s">
        <v>261</v>
      </c>
      <c r="DX4" s="13"/>
      <c r="DY4" s="13" t="s">
        <v>261</v>
      </c>
      <c r="DZ4" s="13"/>
      <c r="EA4" s="13" t="s">
        <v>261</v>
      </c>
      <c r="EB4" s="13"/>
      <c r="EC4" s="13" t="s">
        <v>261</v>
      </c>
      <c r="ED4" s="13"/>
      <c r="EE4" s="13" t="s">
        <v>261</v>
      </c>
      <c r="EF4" s="13"/>
      <c r="EG4" s="13" t="s">
        <v>261</v>
      </c>
      <c r="EH4" s="13"/>
      <c r="EI4" s="13" t="s">
        <v>261</v>
      </c>
      <c r="EJ4" s="13"/>
      <c r="EK4" s="13" t="s">
        <v>261</v>
      </c>
      <c r="EL4" s="13"/>
      <c r="EM4" s="13" t="s">
        <v>261</v>
      </c>
      <c r="EN4" s="13"/>
      <c r="EO4" s="13" t="s">
        <v>261</v>
      </c>
      <c r="EP4" s="13"/>
      <c r="EQ4" s="13" t="s">
        <v>261</v>
      </c>
      <c r="ER4" s="13"/>
      <c r="ES4" s="13" t="s">
        <v>261</v>
      </c>
      <c r="ET4" s="13"/>
      <c r="EU4" s="153" t="s">
        <v>261</v>
      </c>
      <c r="EV4" s="151"/>
      <c r="EW4" s="153" t="s">
        <v>261</v>
      </c>
      <c r="EX4" s="149"/>
      <c r="EY4" s="153" t="s">
        <v>261</v>
      </c>
      <c r="EZ4" s="13"/>
      <c r="FA4" s="153" t="s">
        <v>261</v>
      </c>
      <c r="FB4" s="151"/>
      <c r="FC4" s="153" t="s">
        <v>261</v>
      </c>
      <c r="FD4" s="149"/>
      <c r="FE4" s="153" t="s">
        <v>261</v>
      </c>
      <c r="FF4" s="13"/>
      <c r="FG4" s="13" t="s">
        <v>261</v>
      </c>
      <c r="FH4" s="58"/>
      <c r="FI4" s="13" t="s">
        <v>261</v>
      </c>
      <c r="FJ4" s="13"/>
      <c r="FK4" s="13" t="s">
        <v>261</v>
      </c>
      <c r="FL4" s="13"/>
      <c r="FM4" s="13" t="s">
        <v>261</v>
      </c>
      <c r="FN4" s="13"/>
      <c r="FO4" s="13" t="s">
        <v>261</v>
      </c>
      <c r="FP4" s="13"/>
      <c r="FQ4" s="13" t="s">
        <v>261</v>
      </c>
      <c r="FR4" s="13"/>
      <c r="FS4" s="13" t="s">
        <v>261</v>
      </c>
      <c r="FT4" s="13"/>
      <c r="FU4" s="13" t="s">
        <v>286</v>
      </c>
      <c r="FV4" s="13"/>
      <c r="FW4" s="13" t="s">
        <v>286</v>
      </c>
      <c r="FX4" s="13"/>
      <c r="FY4" s="13" t="s">
        <v>286</v>
      </c>
      <c r="FZ4" s="13"/>
      <c r="GA4" s="13" t="s">
        <v>261</v>
      </c>
      <c r="GB4" s="13"/>
      <c r="GC4" s="13" t="s">
        <v>261</v>
      </c>
      <c r="GD4" s="13"/>
      <c r="GE4" s="13" t="s">
        <v>261</v>
      </c>
      <c r="GF4" s="13"/>
      <c r="GG4" s="153" t="s">
        <v>261</v>
      </c>
      <c r="GH4" s="149"/>
      <c r="GI4" s="153" t="s">
        <v>261</v>
      </c>
      <c r="GJ4" s="149"/>
      <c r="GK4" s="153" t="s">
        <v>261</v>
      </c>
      <c r="GL4" s="149"/>
      <c r="GM4" s="32" t="s">
        <v>261</v>
      </c>
      <c r="GN4" s="32"/>
      <c r="GO4" s="13" t="s">
        <v>261</v>
      </c>
      <c r="GP4" s="13"/>
      <c r="GQ4" s="13" t="s">
        <v>261</v>
      </c>
      <c r="GR4" s="13"/>
      <c r="GS4" s="13" t="s">
        <v>261</v>
      </c>
      <c r="GT4" s="13"/>
      <c r="GU4" s="13" t="s">
        <v>261</v>
      </c>
      <c r="GV4" s="13"/>
      <c r="GW4" s="13" t="s">
        <v>261</v>
      </c>
      <c r="GX4" s="13"/>
      <c r="GY4" s="13" t="s">
        <v>261</v>
      </c>
      <c r="GZ4" s="13"/>
      <c r="HA4" s="13" t="s">
        <v>261</v>
      </c>
      <c r="HB4" s="13"/>
      <c r="HC4" s="13" t="s">
        <v>261</v>
      </c>
      <c r="HD4" s="13"/>
    </row>
    <row r="5" spans="1:214" s="14" customFormat="1" x14ac:dyDescent="0.25">
      <c r="B5" s="13"/>
      <c r="K5" s="13"/>
      <c r="N5" s="14" t="s">
        <v>39</v>
      </c>
      <c r="O5" s="14" t="s">
        <v>40</v>
      </c>
      <c r="Q5" s="26" t="s">
        <v>41</v>
      </c>
      <c r="R5" s="26" t="s">
        <v>41</v>
      </c>
      <c r="S5" s="26" t="s">
        <v>41</v>
      </c>
      <c r="T5" s="28"/>
      <c r="U5" s="17"/>
      <c r="V5" s="29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8" t="s">
        <v>42</v>
      </c>
      <c r="BG5" s="13"/>
      <c r="BH5" s="13" t="s">
        <v>43</v>
      </c>
      <c r="BI5" s="13">
        <v>37147</v>
      </c>
      <c r="BJ5" s="13"/>
      <c r="BK5" s="13">
        <v>66917</v>
      </c>
      <c r="BL5" s="13"/>
      <c r="BM5" s="32">
        <v>37147</v>
      </c>
      <c r="BN5" s="13"/>
      <c r="BO5" s="13">
        <v>37147</v>
      </c>
      <c r="BP5" s="13"/>
      <c r="BQ5" s="13">
        <v>37147</v>
      </c>
      <c r="BR5" s="13"/>
      <c r="BS5" s="13">
        <v>37147</v>
      </c>
      <c r="BT5" s="13"/>
      <c r="BU5" s="13">
        <v>37147</v>
      </c>
      <c r="BV5" s="13"/>
      <c r="BW5" s="13">
        <v>37147</v>
      </c>
      <c r="BX5" s="13"/>
      <c r="BY5" s="13">
        <v>37147</v>
      </c>
      <c r="BZ5" s="13"/>
      <c r="CA5" s="13">
        <v>37147</v>
      </c>
      <c r="CB5" s="13"/>
      <c r="CC5" s="13">
        <v>37147</v>
      </c>
      <c r="CD5" s="13"/>
      <c r="CE5" s="13">
        <v>37147</v>
      </c>
      <c r="CF5" s="13"/>
      <c r="CG5" s="13">
        <v>37147</v>
      </c>
      <c r="CH5" s="13"/>
      <c r="CI5" s="13">
        <v>37147</v>
      </c>
      <c r="CJ5" s="13"/>
      <c r="CK5" s="13">
        <v>37147</v>
      </c>
      <c r="CL5" s="13"/>
      <c r="CM5" s="13">
        <v>37147</v>
      </c>
      <c r="CN5" s="13"/>
      <c r="CO5" s="13">
        <v>37147</v>
      </c>
      <c r="CP5" s="13"/>
      <c r="CQ5" s="13">
        <v>37147</v>
      </c>
      <c r="CR5" s="13"/>
      <c r="CS5" s="13">
        <v>37147</v>
      </c>
      <c r="CT5" s="13"/>
      <c r="CU5" s="13">
        <v>37147</v>
      </c>
      <c r="CV5" s="13"/>
      <c r="CW5" s="13">
        <v>37147</v>
      </c>
      <c r="CX5" s="13"/>
      <c r="CY5" s="13">
        <v>37147</v>
      </c>
      <c r="CZ5" s="13"/>
      <c r="DA5" s="13">
        <v>37147</v>
      </c>
      <c r="DB5" s="13"/>
      <c r="DC5" s="13">
        <v>37147</v>
      </c>
      <c r="DD5" s="13"/>
      <c r="DE5" s="13">
        <v>37147</v>
      </c>
      <c r="DF5" s="13"/>
      <c r="DG5" s="13">
        <v>37147</v>
      </c>
      <c r="DH5" s="13"/>
      <c r="DI5" s="13">
        <v>37147</v>
      </c>
      <c r="DJ5" s="13"/>
      <c r="DK5" s="13">
        <v>37147</v>
      </c>
      <c r="DL5" s="13"/>
      <c r="DM5" s="13">
        <v>37147</v>
      </c>
      <c r="DN5" s="13"/>
      <c r="DO5" s="13">
        <v>37147</v>
      </c>
      <c r="DP5" s="13"/>
      <c r="DQ5" s="13">
        <v>37147</v>
      </c>
      <c r="DR5" s="13"/>
      <c r="DS5" s="13">
        <v>37147</v>
      </c>
      <c r="DT5" s="13"/>
      <c r="DU5" s="13">
        <v>37147</v>
      </c>
      <c r="DV5" s="13"/>
      <c r="DW5" s="32">
        <v>37147</v>
      </c>
      <c r="DX5" s="13"/>
      <c r="DY5" s="13">
        <v>37147</v>
      </c>
      <c r="DZ5" s="13"/>
      <c r="EA5" s="13">
        <v>37147</v>
      </c>
      <c r="EB5" s="13"/>
      <c r="EC5" s="13">
        <v>37147</v>
      </c>
      <c r="ED5" s="13"/>
      <c r="EE5" s="13">
        <v>37147</v>
      </c>
      <c r="EF5" s="13"/>
      <c r="EG5" s="13">
        <v>37147</v>
      </c>
      <c r="EH5" s="13"/>
      <c r="EI5" s="13">
        <v>37147</v>
      </c>
      <c r="EJ5" s="13"/>
      <c r="EK5" s="13">
        <v>37147</v>
      </c>
      <c r="EL5" s="13"/>
      <c r="EM5" s="13">
        <v>37147</v>
      </c>
      <c r="EN5" s="13"/>
      <c r="EO5" s="13">
        <v>37147</v>
      </c>
      <c r="EP5" s="13"/>
      <c r="EQ5" s="13">
        <v>37147</v>
      </c>
      <c r="ER5" s="13"/>
      <c r="ES5" s="13">
        <v>37147</v>
      </c>
      <c r="ET5" s="13"/>
      <c r="EU5" s="157" t="s">
        <v>281</v>
      </c>
      <c r="EV5" s="30"/>
      <c r="EW5" s="157" t="s">
        <v>44</v>
      </c>
      <c r="EX5" s="31"/>
      <c r="EY5" s="157" t="s">
        <v>44</v>
      </c>
      <c r="EZ5" s="31"/>
      <c r="FA5" s="157" t="s">
        <v>44</v>
      </c>
      <c r="FB5" s="30"/>
      <c r="FC5" s="157" t="s">
        <v>283</v>
      </c>
      <c r="FD5" s="31"/>
      <c r="FE5" s="157" t="s">
        <v>284</v>
      </c>
      <c r="FF5" s="13"/>
      <c r="FG5" s="13">
        <v>37147</v>
      </c>
      <c r="FH5" s="58"/>
      <c r="FI5" s="13">
        <v>37147</v>
      </c>
      <c r="FJ5" s="13"/>
      <c r="FK5" s="13">
        <v>37147</v>
      </c>
      <c r="FL5" s="13"/>
      <c r="FM5" s="13">
        <v>37147</v>
      </c>
      <c r="FN5" s="13"/>
      <c r="FO5" s="13">
        <v>37147</v>
      </c>
      <c r="FP5" s="13"/>
      <c r="FQ5" s="13">
        <v>37147</v>
      </c>
      <c r="FR5" s="13"/>
      <c r="FS5" s="13">
        <v>37147</v>
      </c>
      <c r="FT5" s="13"/>
      <c r="FU5" s="158" t="s">
        <v>287</v>
      </c>
      <c r="FV5" s="13"/>
      <c r="FW5" s="158" t="s">
        <v>287</v>
      </c>
      <c r="FX5" s="13"/>
      <c r="FY5" s="158" t="s">
        <v>287</v>
      </c>
      <c r="FZ5" s="13"/>
      <c r="GA5" s="13">
        <v>37147</v>
      </c>
      <c r="GB5" s="13"/>
      <c r="GC5" s="13">
        <v>37147</v>
      </c>
      <c r="GD5" s="13"/>
      <c r="GE5" s="13">
        <v>37147</v>
      </c>
      <c r="GF5" s="13"/>
      <c r="GG5" s="157" t="s">
        <v>283</v>
      </c>
      <c r="GH5" s="31"/>
      <c r="GI5" s="157" t="s">
        <v>44</v>
      </c>
      <c r="GJ5" s="31"/>
      <c r="GK5" s="157" t="s">
        <v>289</v>
      </c>
      <c r="GL5" s="31"/>
      <c r="GM5" s="32"/>
      <c r="GN5" s="32"/>
      <c r="GO5" s="13">
        <v>37147</v>
      </c>
      <c r="GP5" s="13"/>
      <c r="GQ5" s="13">
        <v>37147</v>
      </c>
      <c r="GR5" s="13"/>
      <c r="GS5" s="13">
        <v>37147</v>
      </c>
      <c r="GT5" s="13"/>
      <c r="GU5" s="13">
        <v>37147</v>
      </c>
      <c r="GV5" s="13"/>
      <c r="GW5" s="13">
        <v>37147</v>
      </c>
      <c r="GX5" s="13"/>
      <c r="GY5" s="13">
        <v>37147</v>
      </c>
      <c r="GZ5" s="13"/>
      <c r="HA5" s="13">
        <v>37147</v>
      </c>
      <c r="HB5" s="13"/>
      <c r="HC5" s="13">
        <v>37147</v>
      </c>
      <c r="HD5" s="13"/>
    </row>
    <row r="6" spans="1:214" s="33" customFormat="1" x14ac:dyDescent="0.25">
      <c r="B6" s="34"/>
      <c r="K6" s="34"/>
      <c r="N6" s="33" t="s">
        <v>45</v>
      </c>
      <c r="O6" s="33" t="s">
        <v>46</v>
      </c>
      <c r="Q6" s="35"/>
      <c r="R6" s="35"/>
      <c r="S6" s="35"/>
      <c r="T6" s="36"/>
      <c r="U6" s="37"/>
      <c r="V6" s="38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9"/>
      <c r="BG6" s="34"/>
      <c r="BH6" s="34"/>
      <c r="BI6" s="34"/>
      <c r="BJ6" s="34"/>
      <c r="BK6" s="34"/>
      <c r="BL6" s="34"/>
      <c r="BM6" s="42" t="s">
        <v>49</v>
      </c>
      <c r="BN6" s="34"/>
      <c r="BO6" s="34" t="s">
        <v>268</v>
      </c>
      <c r="BP6" s="34"/>
      <c r="BQ6" s="34" t="s">
        <v>268</v>
      </c>
      <c r="BR6" s="34"/>
      <c r="BS6" s="34" t="s">
        <v>69</v>
      </c>
      <c r="BT6" s="34"/>
      <c r="BU6" s="34" t="s">
        <v>50</v>
      </c>
      <c r="BV6" s="34"/>
      <c r="BW6" s="34" t="s">
        <v>51</v>
      </c>
      <c r="BX6" s="34"/>
      <c r="BY6" s="34" t="s">
        <v>50</v>
      </c>
      <c r="BZ6" s="34"/>
      <c r="CA6" s="34" t="s">
        <v>51</v>
      </c>
      <c r="CB6" s="34"/>
      <c r="CC6" s="34" t="s">
        <v>62</v>
      </c>
      <c r="CD6" s="34"/>
      <c r="CE6" s="34" t="s">
        <v>62</v>
      </c>
      <c r="CF6" s="34"/>
      <c r="CG6" s="34" t="s">
        <v>63</v>
      </c>
      <c r="CH6" s="34"/>
      <c r="CI6" s="34" t="s">
        <v>62</v>
      </c>
      <c r="CJ6" s="34"/>
      <c r="CK6" s="34" t="s">
        <v>245</v>
      </c>
      <c r="CL6" s="34"/>
      <c r="CM6" s="34" t="s">
        <v>50</v>
      </c>
      <c r="CN6" s="34"/>
      <c r="CO6" s="34" t="s">
        <v>51</v>
      </c>
      <c r="CP6" s="34"/>
      <c r="CQ6" s="34" t="s">
        <v>66</v>
      </c>
      <c r="CR6" s="34"/>
      <c r="CS6" s="34" t="s">
        <v>245</v>
      </c>
      <c r="CT6" s="34"/>
      <c r="CU6" s="34" t="s">
        <v>267</v>
      </c>
      <c r="CV6" s="34"/>
      <c r="CW6" s="34" t="s">
        <v>68</v>
      </c>
      <c r="CX6" s="34"/>
      <c r="CY6" s="34" t="s">
        <v>54</v>
      </c>
      <c r="CZ6" s="34"/>
      <c r="DA6" s="34" t="s">
        <v>55</v>
      </c>
      <c r="DB6" s="34"/>
      <c r="DC6" s="34" t="s">
        <v>56</v>
      </c>
      <c r="DD6" s="34"/>
      <c r="DE6" s="34" t="s">
        <v>57</v>
      </c>
      <c r="DF6" s="34"/>
      <c r="DG6" s="34" t="s">
        <v>58</v>
      </c>
      <c r="DH6" s="34"/>
      <c r="DI6" s="34" t="s">
        <v>59</v>
      </c>
      <c r="DJ6" s="34"/>
      <c r="DK6" s="34" t="s">
        <v>60</v>
      </c>
      <c r="DL6" s="34"/>
      <c r="DM6" s="34" t="s">
        <v>61</v>
      </c>
      <c r="DN6" s="34"/>
      <c r="DO6" s="34" t="s">
        <v>62</v>
      </c>
      <c r="DP6" s="34"/>
      <c r="DQ6" s="34" t="s">
        <v>63</v>
      </c>
      <c r="DR6" s="34"/>
      <c r="DS6" s="34" t="s">
        <v>64</v>
      </c>
      <c r="DT6" s="34"/>
      <c r="DU6" s="34" t="s">
        <v>65</v>
      </c>
      <c r="DV6" s="34"/>
      <c r="DW6" s="42" t="s">
        <v>260</v>
      </c>
      <c r="DX6" s="34"/>
      <c r="DY6" s="34" t="s">
        <v>50</v>
      </c>
      <c r="DZ6" s="34"/>
      <c r="EA6" s="34" t="s">
        <v>53</v>
      </c>
      <c r="EB6" s="34"/>
      <c r="EC6" s="34" t="s">
        <v>50</v>
      </c>
      <c r="ED6" s="34"/>
      <c r="EE6" s="34" t="s">
        <v>51</v>
      </c>
      <c r="EF6" s="34"/>
      <c r="EG6" s="34" t="s">
        <v>53</v>
      </c>
      <c r="EH6" s="34"/>
      <c r="EI6" s="34" t="s">
        <v>50</v>
      </c>
      <c r="EJ6" s="34"/>
      <c r="EK6" s="34" t="s">
        <v>51</v>
      </c>
      <c r="EL6" s="34"/>
      <c r="EM6" s="34" t="s">
        <v>66</v>
      </c>
      <c r="EN6" s="34"/>
      <c r="EO6" s="34" t="s">
        <v>245</v>
      </c>
      <c r="EP6" s="34"/>
      <c r="EQ6" s="34" t="s">
        <v>53</v>
      </c>
      <c r="ER6" s="34"/>
      <c r="ES6" s="34" t="s">
        <v>50</v>
      </c>
      <c r="ET6" s="34"/>
      <c r="EU6" s="154" t="s">
        <v>47</v>
      </c>
      <c r="EV6" s="40"/>
      <c r="EW6" s="154" t="s">
        <v>48</v>
      </c>
      <c r="EX6" s="41"/>
      <c r="EY6" s="154" t="s">
        <v>48</v>
      </c>
      <c r="EZ6" s="41"/>
      <c r="FA6" s="154" t="s">
        <v>47</v>
      </c>
      <c r="FB6" s="40"/>
      <c r="FC6" s="154" t="s">
        <v>48</v>
      </c>
      <c r="FD6" s="41"/>
      <c r="FE6" s="154" t="s">
        <v>48</v>
      </c>
      <c r="FF6" s="34"/>
      <c r="FG6" s="34" t="s">
        <v>51</v>
      </c>
      <c r="FH6" s="58"/>
      <c r="FI6" s="34" t="s">
        <v>66</v>
      </c>
      <c r="FJ6" s="34"/>
      <c r="FK6" s="34" t="s">
        <v>53</v>
      </c>
      <c r="FL6" s="34"/>
      <c r="FM6" s="34" t="s">
        <v>69</v>
      </c>
      <c r="FN6" s="34"/>
      <c r="FO6" s="34" t="s">
        <v>50</v>
      </c>
      <c r="FP6" s="34"/>
      <c r="FQ6" s="34" t="s">
        <v>51</v>
      </c>
      <c r="FR6" s="34"/>
      <c r="FS6" s="34" t="s">
        <v>66</v>
      </c>
      <c r="FT6" s="34"/>
      <c r="FU6" s="34" t="s">
        <v>58</v>
      </c>
      <c r="FV6" s="34"/>
      <c r="FW6" s="34" t="s">
        <v>58</v>
      </c>
      <c r="FX6" s="34"/>
      <c r="FY6" s="34" t="s">
        <v>58</v>
      </c>
      <c r="FZ6" s="34"/>
      <c r="GA6" s="34" t="s">
        <v>50</v>
      </c>
      <c r="GB6" s="34"/>
      <c r="GC6" s="34" t="s">
        <v>51</v>
      </c>
      <c r="GD6" s="34"/>
      <c r="GE6" s="34" t="s">
        <v>245</v>
      </c>
      <c r="GF6" s="34"/>
      <c r="GG6" s="154" t="s">
        <v>47</v>
      </c>
      <c r="GH6" s="41"/>
      <c r="GI6" s="154" t="s">
        <v>48</v>
      </c>
      <c r="GJ6" s="41"/>
      <c r="GK6" s="154" t="s">
        <v>48</v>
      </c>
      <c r="GL6" s="41"/>
      <c r="GM6" s="34" t="s">
        <v>69</v>
      </c>
      <c r="GN6" s="34"/>
      <c r="GO6" s="34" t="s">
        <v>50</v>
      </c>
      <c r="GP6" s="34"/>
      <c r="GQ6" s="34" t="s">
        <v>52</v>
      </c>
      <c r="GR6" s="34"/>
      <c r="GS6" s="34" t="s">
        <v>67</v>
      </c>
      <c r="GT6" s="34"/>
      <c r="GU6" s="34" t="s">
        <v>68</v>
      </c>
      <c r="GV6" s="34"/>
      <c r="GW6" s="34" t="s">
        <v>243</v>
      </c>
      <c r="GX6" s="34"/>
      <c r="GY6" s="34" t="s">
        <v>50</v>
      </c>
      <c r="GZ6" s="34"/>
      <c r="HA6" s="34" t="s">
        <v>51</v>
      </c>
      <c r="HB6" s="34"/>
      <c r="HC6" s="34" t="s">
        <v>66</v>
      </c>
      <c r="HD6" s="34"/>
    </row>
    <row r="7" spans="1:214" s="43" customFormat="1" x14ac:dyDescent="0.25">
      <c r="A7" s="43" t="s">
        <v>70</v>
      </c>
      <c r="B7" s="44" t="s">
        <v>71</v>
      </c>
      <c r="C7" s="43" t="s">
        <v>72</v>
      </c>
      <c r="D7" s="43" t="s">
        <v>73</v>
      </c>
      <c r="E7" s="43" t="s">
        <v>74</v>
      </c>
      <c r="F7" s="43" t="s">
        <v>32</v>
      </c>
      <c r="G7" s="43" t="s">
        <v>75</v>
      </c>
      <c r="H7" s="43" t="s">
        <v>76</v>
      </c>
      <c r="I7" s="43" t="s">
        <v>77</v>
      </c>
      <c r="J7" s="43" t="s">
        <v>78</v>
      </c>
      <c r="K7" s="44" t="s">
        <v>34</v>
      </c>
      <c r="L7" s="43" t="s">
        <v>79</v>
      </c>
      <c r="M7" s="43" t="s">
        <v>80</v>
      </c>
      <c r="N7" s="43" t="s">
        <v>81</v>
      </c>
      <c r="O7" s="43" t="s">
        <v>82</v>
      </c>
      <c r="Q7" s="43" t="s">
        <v>83</v>
      </c>
      <c r="R7" s="26" t="s">
        <v>262</v>
      </c>
      <c r="S7" s="26" t="s">
        <v>84</v>
      </c>
      <c r="T7" s="44"/>
      <c r="U7" s="44"/>
      <c r="V7" s="45">
        <v>1</v>
      </c>
      <c r="W7" s="44">
        <v>2</v>
      </c>
      <c r="X7" s="44">
        <v>3</v>
      </c>
      <c r="Y7" s="44">
        <v>4</v>
      </c>
      <c r="Z7" s="44">
        <v>5</v>
      </c>
      <c r="AA7" s="44">
        <v>6</v>
      </c>
      <c r="AB7" s="44">
        <v>7</v>
      </c>
      <c r="AC7" s="44">
        <v>8</v>
      </c>
      <c r="AD7" s="44">
        <v>9</v>
      </c>
      <c r="AE7" s="44">
        <v>10</v>
      </c>
      <c r="AF7" s="44">
        <v>11</v>
      </c>
      <c r="AG7" s="44">
        <v>12</v>
      </c>
      <c r="AH7" s="44">
        <v>13</v>
      </c>
      <c r="AI7" s="44">
        <v>14</v>
      </c>
      <c r="AJ7" s="44">
        <v>15</v>
      </c>
      <c r="AK7" s="44">
        <v>16</v>
      </c>
      <c r="AL7" s="44">
        <v>17</v>
      </c>
      <c r="AM7" s="44">
        <v>18</v>
      </c>
      <c r="AN7" s="44">
        <v>19</v>
      </c>
      <c r="AO7" s="44">
        <v>20</v>
      </c>
      <c r="AP7" s="44">
        <v>21</v>
      </c>
      <c r="AQ7" s="44">
        <v>22</v>
      </c>
      <c r="AR7" s="44">
        <v>23</v>
      </c>
      <c r="AS7" s="44">
        <v>24</v>
      </c>
      <c r="AT7" s="44">
        <v>25</v>
      </c>
      <c r="AU7" s="44">
        <v>26</v>
      </c>
      <c r="AV7" s="44">
        <v>27</v>
      </c>
      <c r="AW7" s="44">
        <v>28</v>
      </c>
      <c r="AX7" s="44">
        <v>29</v>
      </c>
      <c r="AY7" s="44">
        <v>30</v>
      </c>
      <c r="AZ7" s="44"/>
      <c r="BA7" s="44"/>
      <c r="BB7" s="44" t="s">
        <v>85</v>
      </c>
      <c r="BC7" s="44" t="s">
        <v>86</v>
      </c>
      <c r="BD7" s="44" t="s">
        <v>87</v>
      </c>
      <c r="BE7" s="44"/>
      <c r="BF7" s="46" t="s">
        <v>88</v>
      </c>
      <c r="BG7" s="44" t="s">
        <v>89</v>
      </c>
      <c r="BH7" s="43">
        <v>57908</v>
      </c>
      <c r="BI7" s="43">
        <v>38021</v>
      </c>
      <c r="BK7" s="43">
        <v>38992</v>
      </c>
      <c r="BM7" s="49">
        <v>62164</v>
      </c>
      <c r="BO7" s="43">
        <v>65108</v>
      </c>
      <c r="BQ7" s="43">
        <v>65403</v>
      </c>
      <c r="BS7" s="43">
        <v>65556</v>
      </c>
      <c r="BU7" s="43">
        <v>65556</v>
      </c>
      <c r="BW7" s="43">
        <v>65556</v>
      </c>
      <c r="BY7" s="43">
        <v>66280</v>
      </c>
      <c r="CA7" s="43">
        <v>66280</v>
      </c>
      <c r="CC7" s="43">
        <v>66930</v>
      </c>
      <c r="CE7" s="43">
        <v>66930</v>
      </c>
      <c r="CG7" s="43">
        <v>66931</v>
      </c>
      <c r="CI7" s="43">
        <v>66931</v>
      </c>
      <c r="CK7" s="43">
        <v>66932</v>
      </c>
      <c r="CM7" s="43">
        <v>66939</v>
      </c>
      <c r="CO7" s="43">
        <v>66939</v>
      </c>
      <c r="CQ7" s="43">
        <v>66939</v>
      </c>
      <c r="CS7" s="43">
        <v>66939</v>
      </c>
      <c r="CU7" s="43">
        <v>66940</v>
      </c>
      <c r="CW7" s="43">
        <v>66940</v>
      </c>
      <c r="CY7" s="43">
        <v>67694</v>
      </c>
      <c r="DA7" s="43">
        <v>67694</v>
      </c>
      <c r="DC7" s="43">
        <v>67694</v>
      </c>
      <c r="DE7" s="43">
        <v>67694</v>
      </c>
      <c r="DG7" s="43">
        <v>67694</v>
      </c>
      <c r="DI7" s="43">
        <v>67694</v>
      </c>
      <c r="DK7" s="43">
        <v>67694</v>
      </c>
      <c r="DM7" s="43">
        <v>67694</v>
      </c>
      <c r="DO7" s="43">
        <v>67694</v>
      </c>
      <c r="DQ7" s="43">
        <v>67694</v>
      </c>
      <c r="DS7" s="43">
        <v>67694</v>
      </c>
      <c r="DU7" s="43">
        <v>67694</v>
      </c>
      <c r="DW7" s="43">
        <v>67811</v>
      </c>
      <c r="DY7" s="43">
        <v>68188</v>
      </c>
      <c r="EA7" s="43">
        <v>68257</v>
      </c>
      <c r="EC7" s="43">
        <v>68308</v>
      </c>
      <c r="EE7" s="43">
        <v>68308</v>
      </c>
      <c r="EG7" s="43">
        <v>68359</v>
      </c>
      <c r="EI7" s="43">
        <v>68384</v>
      </c>
      <c r="EK7" s="43">
        <v>68384</v>
      </c>
      <c r="EM7" s="43">
        <v>68384</v>
      </c>
      <c r="EO7" s="43">
        <v>68384</v>
      </c>
      <c r="EQ7" s="43">
        <v>68616</v>
      </c>
      <c r="ES7" s="43">
        <v>68635</v>
      </c>
      <c r="EU7" s="156">
        <v>68915</v>
      </c>
      <c r="EV7" s="47"/>
      <c r="EW7" s="156">
        <v>68916</v>
      </c>
      <c r="EX7" s="48"/>
      <c r="EY7" s="156">
        <v>68917</v>
      </c>
      <c r="EZ7" s="48"/>
      <c r="FA7" s="156">
        <v>68918</v>
      </c>
      <c r="FB7" s="47"/>
      <c r="FC7" s="156">
        <v>68918</v>
      </c>
      <c r="FD7" s="48"/>
      <c r="FE7" s="156">
        <v>68918</v>
      </c>
      <c r="FG7" s="43">
        <v>68926</v>
      </c>
      <c r="FH7" s="148"/>
      <c r="FI7" s="43">
        <v>68926</v>
      </c>
      <c r="FK7" s="43">
        <v>68928</v>
      </c>
      <c r="FM7" s="43">
        <v>69144</v>
      </c>
      <c r="FO7" s="43">
        <v>69144</v>
      </c>
      <c r="FQ7" s="43">
        <v>69144</v>
      </c>
      <c r="FS7" s="43">
        <v>69144</v>
      </c>
      <c r="FU7" s="43">
        <v>69204</v>
      </c>
      <c r="FW7" s="43">
        <v>69205</v>
      </c>
      <c r="FY7" s="43">
        <v>69310</v>
      </c>
      <c r="GA7" s="43">
        <v>69424</v>
      </c>
      <c r="GC7" s="43">
        <v>69424</v>
      </c>
      <c r="GE7" s="43">
        <v>69424</v>
      </c>
      <c r="GG7" s="156">
        <v>69148</v>
      </c>
      <c r="GH7" s="48"/>
      <c r="GI7" s="156">
        <v>69148</v>
      </c>
      <c r="GJ7" s="48"/>
      <c r="GK7" s="156">
        <v>69149</v>
      </c>
      <c r="GL7" s="48"/>
      <c r="GM7" s="43">
        <v>69707</v>
      </c>
      <c r="GO7" s="43">
        <v>69708</v>
      </c>
      <c r="GQ7" s="43">
        <v>69708</v>
      </c>
      <c r="GS7" s="43">
        <v>69708</v>
      </c>
      <c r="GU7" s="43">
        <v>69708</v>
      </c>
      <c r="GW7" s="43">
        <v>69709</v>
      </c>
      <c r="GY7" s="43">
        <v>69709</v>
      </c>
      <c r="HA7" s="43">
        <v>69709</v>
      </c>
      <c r="HC7" s="43">
        <v>69709</v>
      </c>
    </row>
    <row r="8" spans="1:214" s="50" customFormat="1" x14ac:dyDescent="0.25">
      <c r="A8" s="50" t="s">
        <v>90</v>
      </c>
      <c r="B8" s="51" t="s">
        <v>91</v>
      </c>
      <c r="D8" s="33"/>
      <c r="E8" s="50">
        <v>1</v>
      </c>
      <c r="F8" s="50" t="s">
        <v>92</v>
      </c>
      <c r="G8" s="50" t="s">
        <v>114</v>
      </c>
      <c r="H8" s="52">
        <v>36336</v>
      </c>
      <c r="I8" s="50" t="s">
        <v>93</v>
      </c>
      <c r="J8" s="50" t="s">
        <v>94</v>
      </c>
      <c r="K8" s="51"/>
      <c r="L8" s="50" t="s">
        <v>95</v>
      </c>
      <c r="N8" s="50" t="str">
        <f t="shared" ref="N8:N16" si="0">CONCATENATE(B8,J8)</f>
        <v>30CSR</v>
      </c>
      <c r="O8" s="50" t="str">
        <f t="shared" ref="O8:O16" si="1">CONCATENATE(B8,J8,I8)</f>
        <v>30CSRBase</v>
      </c>
      <c r="Q8" s="53">
        <f t="shared" ref="Q8:Q17" si="2">+BC8</f>
        <v>0</v>
      </c>
      <c r="R8" s="53">
        <f t="shared" ref="R8:R18" si="3">+Q8</f>
        <v>0</v>
      </c>
      <c r="S8" s="53"/>
      <c r="T8" s="54">
        <v>37147</v>
      </c>
      <c r="U8" s="54"/>
      <c r="V8" s="38">
        <v>0</v>
      </c>
      <c r="W8" s="54">
        <f t="shared" ref="W8:AX8" si="4">V8</f>
        <v>0</v>
      </c>
      <c r="X8" s="54">
        <f t="shared" si="4"/>
        <v>0</v>
      </c>
      <c r="Y8" s="54">
        <f t="shared" si="4"/>
        <v>0</v>
      </c>
      <c r="Z8" s="54">
        <f t="shared" si="4"/>
        <v>0</v>
      </c>
      <c r="AA8" s="54">
        <f t="shared" si="4"/>
        <v>0</v>
      </c>
      <c r="AB8" s="54">
        <f t="shared" si="4"/>
        <v>0</v>
      </c>
      <c r="AC8" s="54">
        <f t="shared" si="4"/>
        <v>0</v>
      </c>
      <c r="AD8" s="54">
        <f t="shared" si="4"/>
        <v>0</v>
      </c>
      <c r="AE8" s="54">
        <f t="shared" si="4"/>
        <v>0</v>
      </c>
      <c r="AF8" s="54">
        <f t="shared" si="4"/>
        <v>0</v>
      </c>
      <c r="AG8" s="54">
        <f t="shared" si="4"/>
        <v>0</v>
      </c>
      <c r="AH8" s="54">
        <f t="shared" si="4"/>
        <v>0</v>
      </c>
      <c r="AI8" s="54">
        <f t="shared" si="4"/>
        <v>0</v>
      </c>
      <c r="AJ8" s="54">
        <f t="shared" si="4"/>
        <v>0</v>
      </c>
      <c r="AK8" s="54">
        <f t="shared" si="4"/>
        <v>0</v>
      </c>
      <c r="AL8" s="54">
        <f t="shared" si="4"/>
        <v>0</v>
      </c>
      <c r="AM8" s="54">
        <f t="shared" si="4"/>
        <v>0</v>
      </c>
      <c r="AN8" s="54">
        <f t="shared" si="4"/>
        <v>0</v>
      </c>
      <c r="AO8" s="54">
        <f t="shared" si="4"/>
        <v>0</v>
      </c>
      <c r="AP8" s="54">
        <f t="shared" si="4"/>
        <v>0</v>
      </c>
      <c r="AQ8" s="54">
        <f t="shared" si="4"/>
        <v>0</v>
      </c>
      <c r="AR8" s="54">
        <f t="shared" si="4"/>
        <v>0</v>
      </c>
      <c r="AS8" s="54">
        <f t="shared" si="4"/>
        <v>0</v>
      </c>
      <c r="AT8" s="54">
        <f t="shared" si="4"/>
        <v>0</v>
      </c>
      <c r="AU8" s="54">
        <f t="shared" si="4"/>
        <v>0</v>
      </c>
      <c r="AV8" s="54">
        <f t="shared" si="4"/>
        <v>0</v>
      </c>
      <c r="AW8" s="54">
        <f t="shared" si="4"/>
        <v>0</v>
      </c>
      <c r="AX8" s="54">
        <f t="shared" si="4"/>
        <v>0</v>
      </c>
      <c r="AY8" s="54">
        <f t="shared" ref="AY8:AY16" si="5">AX8</f>
        <v>0</v>
      </c>
      <c r="AZ8" s="54"/>
      <c r="BA8" s="54"/>
      <c r="BB8" s="54">
        <f>SUM(V8:AZ8)</f>
        <v>0</v>
      </c>
      <c r="BC8" s="55">
        <f t="shared" ref="BC8:BC13" si="6">+BB8/30</f>
        <v>0</v>
      </c>
      <c r="BD8" s="54">
        <f>MAX(V8:AZ8)</f>
        <v>0</v>
      </c>
      <c r="BE8" s="54"/>
      <c r="BF8" s="53"/>
      <c r="EV8" s="56"/>
      <c r="FB8" s="56"/>
      <c r="FH8" s="1"/>
      <c r="HE8" s="53">
        <f>SUM(BG8:GU8)-V8</f>
        <v>0</v>
      </c>
      <c r="HF8" s="53"/>
    </row>
    <row r="9" spans="1:214" s="50" customFormat="1" x14ac:dyDescent="0.25">
      <c r="A9" s="50" t="s">
        <v>90</v>
      </c>
      <c r="B9" s="51" t="s">
        <v>91</v>
      </c>
      <c r="D9" s="33">
        <v>33</v>
      </c>
      <c r="E9" s="50">
        <v>1</v>
      </c>
      <c r="F9" s="50" t="s">
        <v>97</v>
      </c>
      <c r="G9" s="50" t="s">
        <v>114</v>
      </c>
      <c r="H9" s="52">
        <v>36336</v>
      </c>
      <c r="I9" s="50" t="s">
        <v>93</v>
      </c>
      <c r="J9" s="50" t="s">
        <v>94</v>
      </c>
      <c r="K9" s="51"/>
      <c r="L9" s="50" t="s">
        <v>99</v>
      </c>
      <c r="N9" s="50" t="str">
        <f t="shared" si="0"/>
        <v>30CSR</v>
      </c>
      <c r="O9" s="50" t="str">
        <f t="shared" si="1"/>
        <v>30CSRBase</v>
      </c>
      <c r="Q9" s="53">
        <f t="shared" si="2"/>
        <v>0</v>
      </c>
      <c r="R9" s="53">
        <f t="shared" si="3"/>
        <v>0</v>
      </c>
      <c r="S9" s="53"/>
      <c r="T9" s="54">
        <v>37147</v>
      </c>
      <c r="U9" s="54"/>
      <c r="V9" s="38">
        <v>0</v>
      </c>
      <c r="W9" s="54">
        <f t="shared" ref="W9:AX9" si="7">V9</f>
        <v>0</v>
      </c>
      <c r="X9" s="54">
        <f t="shared" si="7"/>
        <v>0</v>
      </c>
      <c r="Y9" s="54">
        <f t="shared" si="7"/>
        <v>0</v>
      </c>
      <c r="Z9" s="54">
        <f t="shared" si="7"/>
        <v>0</v>
      </c>
      <c r="AA9" s="54">
        <f t="shared" si="7"/>
        <v>0</v>
      </c>
      <c r="AB9" s="54">
        <f t="shared" si="7"/>
        <v>0</v>
      </c>
      <c r="AC9" s="54">
        <f t="shared" si="7"/>
        <v>0</v>
      </c>
      <c r="AD9" s="54">
        <f t="shared" si="7"/>
        <v>0</v>
      </c>
      <c r="AE9" s="54">
        <f t="shared" si="7"/>
        <v>0</v>
      </c>
      <c r="AF9" s="54">
        <f t="shared" si="7"/>
        <v>0</v>
      </c>
      <c r="AG9" s="54">
        <f t="shared" si="7"/>
        <v>0</v>
      </c>
      <c r="AH9" s="54">
        <f t="shared" si="7"/>
        <v>0</v>
      </c>
      <c r="AI9" s="54">
        <f t="shared" si="7"/>
        <v>0</v>
      </c>
      <c r="AJ9" s="54">
        <f t="shared" si="7"/>
        <v>0</v>
      </c>
      <c r="AK9" s="54">
        <f t="shared" si="7"/>
        <v>0</v>
      </c>
      <c r="AL9" s="54">
        <f t="shared" si="7"/>
        <v>0</v>
      </c>
      <c r="AM9" s="54">
        <f t="shared" si="7"/>
        <v>0</v>
      </c>
      <c r="AN9" s="54">
        <f t="shared" si="7"/>
        <v>0</v>
      </c>
      <c r="AO9" s="54">
        <f t="shared" si="7"/>
        <v>0</v>
      </c>
      <c r="AP9" s="54">
        <f t="shared" si="7"/>
        <v>0</v>
      </c>
      <c r="AQ9" s="54">
        <f t="shared" si="7"/>
        <v>0</v>
      </c>
      <c r="AR9" s="54">
        <f t="shared" si="7"/>
        <v>0</v>
      </c>
      <c r="AS9" s="54">
        <f t="shared" si="7"/>
        <v>0</v>
      </c>
      <c r="AT9" s="54">
        <f t="shared" si="7"/>
        <v>0</v>
      </c>
      <c r="AU9" s="54">
        <f t="shared" si="7"/>
        <v>0</v>
      </c>
      <c r="AV9" s="54">
        <f t="shared" si="7"/>
        <v>0</v>
      </c>
      <c r="AW9" s="54">
        <f t="shared" si="7"/>
        <v>0</v>
      </c>
      <c r="AX9" s="54">
        <f t="shared" si="7"/>
        <v>0</v>
      </c>
      <c r="AY9" s="54">
        <f t="shared" si="5"/>
        <v>0</v>
      </c>
      <c r="AZ9" s="54"/>
      <c r="BA9" s="54"/>
      <c r="BB9" s="54">
        <f t="shared" ref="BB9:BB14" si="8">SUM(V9:AZ9)</f>
        <v>0</v>
      </c>
      <c r="BC9" s="55">
        <f t="shared" si="6"/>
        <v>0</v>
      </c>
      <c r="BD9" s="54">
        <f t="shared" ref="BD9:BD30" si="9">MAX(V9:AZ9)</f>
        <v>0</v>
      </c>
      <c r="BE9" s="54"/>
      <c r="BF9" s="53"/>
      <c r="EV9" s="56"/>
      <c r="FB9" s="56"/>
      <c r="FH9" s="1"/>
      <c r="HE9" s="53">
        <f>SUM(BG9:GU9)-V9</f>
        <v>0</v>
      </c>
      <c r="HF9" s="53"/>
    </row>
    <row r="10" spans="1:214" s="50" customFormat="1" x14ac:dyDescent="0.25">
      <c r="A10" s="50" t="s">
        <v>90</v>
      </c>
      <c r="B10" s="51" t="s">
        <v>91</v>
      </c>
      <c r="D10" s="33">
        <v>34</v>
      </c>
      <c r="E10" s="50">
        <v>1</v>
      </c>
      <c r="F10" s="50" t="s">
        <v>97</v>
      </c>
      <c r="G10" s="50" t="s">
        <v>114</v>
      </c>
      <c r="H10" s="52">
        <v>36336</v>
      </c>
      <c r="I10" s="50" t="s">
        <v>93</v>
      </c>
      <c r="J10" s="50" t="s">
        <v>94</v>
      </c>
      <c r="K10" s="51"/>
      <c r="L10" s="50" t="s">
        <v>99</v>
      </c>
      <c r="M10" s="50" t="s">
        <v>238</v>
      </c>
      <c r="N10" s="50" t="str">
        <f t="shared" si="0"/>
        <v>30CSR</v>
      </c>
      <c r="O10" s="50" t="str">
        <f t="shared" si="1"/>
        <v>30CSRBase</v>
      </c>
      <c r="Q10" s="53">
        <f t="shared" si="2"/>
        <v>0</v>
      </c>
      <c r="R10" s="53">
        <f t="shared" si="3"/>
        <v>0</v>
      </c>
      <c r="S10" s="53"/>
      <c r="T10" s="54">
        <v>37147</v>
      </c>
      <c r="U10" s="54"/>
      <c r="V10" s="57">
        <v>0</v>
      </c>
      <c r="W10" s="54">
        <f t="shared" ref="W10:AX10" si="10">V10</f>
        <v>0</v>
      </c>
      <c r="X10" s="54">
        <f t="shared" si="10"/>
        <v>0</v>
      </c>
      <c r="Y10" s="54">
        <f t="shared" si="10"/>
        <v>0</v>
      </c>
      <c r="Z10" s="54">
        <f t="shared" si="10"/>
        <v>0</v>
      </c>
      <c r="AA10" s="54">
        <f t="shared" si="10"/>
        <v>0</v>
      </c>
      <c r="AB10" s="54">
        <f t="shared" si="10"/>
        <v>0</v>
      </c>
      <c r="AC10" s="54">
        <f t="shared" si="10"/>
        <v>0</v>
      </c>
      <c r="AD10" s="54">
        <f t="shared" si="10"/>
        <v>0</v>
      </c>
      <c r="AE10" s="54">
        <f t="shared" si="10"/>
        <v>0</v>
      </c>
      <c r="AF10" s="54">
        <f t="shared" si="10"/>
        <v>0</v>
      </c>
      <c r="AG10" s="54">
        <f t="shared" si="10"/>
        <v>0</v>
      </c>
      <c r="AH10" s="54">
        <f t="shared" si="10"/>
        <v>0</v>
      </c>
      <c r="AI10" s="54">
        <f t="shared" si="10"/>
        <v>0</v>
      </c>
      <c r="AJ10" s="54">
        <f t="shared" si="10"/>
        <v>0</v>
      </c>
      <c r="AK10" s="54">
        <f t="shared" si="10"/>
        <v>0</v>
      </c>
      <c r="AL10" s="54">
        <f t="shared" si="10"/>
        <v>0</v>
      </c>
      <c r="AM10" s="54">
        <f t="shared" si="10"/>
        <v>0</v>
      </c>
      <c r="AN10" s="54">
        <f t="shared" si="10"/>
        <v>0</v>
      </c>
      <c r="AO10" s="54">
        <f t="shared" si="10"/>
        <v>0</v>
      </c>
      <c r="AP10" s="54">
        <f t="shared" si="10"/>
        <v>0</v>
      </c>
      <c r="AQ10" s="54">
        <f t="shared" si="10"/>
        <v>0</v>
      </c>
      <c r="AR10" s="54">
        <f t="shared" si="10"/>
        <v>0</v>
      </c>
      <c r="AS10" s="54">
        <f t="shared" si="10"/>
        <v>0</v>
      </c>
      <c r="AT10" s="54">
        <f t="shared" si="10"/>
        <v>0</v>
      </c>
      <c r="AU10" s="54">
        <f t="shared" si="10"/>
        <v>0</v>
      </c>
      <c r="AV10" s="54">
        <f t="shared" si="10"/>
        <v>0</v>
      </c>
      <c r="AW10" s="54">
        <f t="shared" si="10"/>
        <v>0</v>
      </c>
      <c r="AX10" s="54">
        <f t="shared" si="10"/>
        <v>0</v>
      </c>
      <c r="AY10" s="54">
        <f t="shared" si="5"/>
        <v>0</v>
      </c>
      <c r="AZ10" s="54"/>
      <c r="BA10" s="54"/>
      <c r="BB10" s="54">
        <f t="shared" si="8"/>
        <v>0</v>
      </c>
      <c r="BC10" s="55">
        <f t="shared" si="6"/>
        <v>0</v>
      </c>
      <c r="BD10" s="54">
        <f t="shared" si="9"/>
        <v>0</v>
      </c>
      <c r="BE10" s="54"/>
      <c r="BF10" s="53"/>
      <c r="BR10" s="50" t="s">
        <v>109</v>
      </c>
      <c r="EV10" s="56"/>
      <c r="FB10" s="56"/>
      <c r="FH10" s="1"/>
      <c r="HE10" s="53">
        <f>SUM(BG10:GU10)-V10</f>
        <v>0</v>
      </c>
      <c r="HF10" s="53"/>
    </row>
    <row r="11" spans="1:214" s="50" customFormat="1" x14ac:dyDescent="0.25">
      <c r="A11" s="50" t="s">
        <v>100</v>
      </c>
      <c r="B11" s="51">
        <v>833866</v>
      </c>
      <c r="D11" s="33"/>
      <c r="E11" s="50">
        <v>1</v>
      </c>
      <c r="F11" s="50" t="s">
        <v>100</v>
      </c>
      <c r="G11" s="50" t="s">
        <v>101</v>
      </c>
      <c r="H11" s="52">
        <v>36336</v>
      </c>
      <c r="I11" s="50" t="s">
        <v>93</v>
      </c>
      <c r="J11" s="50" t="s">
        <v>102</v>
      </c>
      <c r="K11" s="51"/>
      <c r="L11" s="50" t="s">
        <v>95</v>
      </c>
      <c r="N11" s="50" t="str">
        <f t="shared" si="0"/>
        <v>833866W</v>
      </c>
      <c r="O11" s="50" t="str">
        <f t="shared" si="1"/>
        <v>833866WBase</v>
      </c>
      <c r="Q11" s="53">
        <f t="shared" si="2"/>
        <v>0</v>
      </c>
      <c r="R11" s="53">
        <f t="shared" si="3"/>
        <v>0</v>
      </c>
      <c r="S11" s="53"/>
      <c r="T11" s="54">
        <v>37147</v>
      </c>
      <c r="U11" s="54"/>
      <c r="V11" s="57">
        <v>0</v>
      </c>
      <c r="W11" s="54">
        <f t="shared" ref="W11:AX11" si="11">V11</f>
        <v>0</v>
      </c>
      <c r="X11" s="54">
        <f t="shared" si="11"/>
        <v>0</v>
      </c>
      <c r="Y11" s="54">
        <f t="shared" si="11"/>
        <v>0</v>
      </c>
      <c r="Z11" s="54">
        <f t="shared" si="11"/>
        <v>0</v>
      </c>
      <c r="AA11" s="54">
        <f t="shared" si="11"/>
        <v>0</v>
      </c>
      <c r="AB11" s="54">
        <f t="shared" si="11"/>
        <v>0</v>
      </c>
      <c r="AC11" s="54">
        <f t="shared" si="11"/>
        <v>0</v>
      </c>
      <c r="AD11" s="54">
        <f t="shared" si="11"/>
        <v>0</v>
      </c>
      <c r="AE11" s="54">
        <f t="shared" si="11"/>
        <v>0</v>
      </c>
      <c r="AF11" s="54">
        <f t="shared" si="11"/>
        <v>0</v>
      </c>
      <c r="AG11" s="54">
        <f t="shared" si="11"/>
        <v>0</v>
      </c>
      <c r="AH11" s="54">
        <f t="shared" si="11"/>
        <v>0</v>
      </c>
      <c r="AI11" s="54">
        <f t="shared" si="11"/>
        <v>0</v>
      </c>
      <c r="AJ11" s="54">
        <f t="shared" si="11"/>
        <v>0</v>
      </c>
      <c r="AK11" s="54">
        <f t="shared" si="11"/>
        <v>0</v>
      </c>
      <c r="AL11" s="54">
        <f t="shared" si="11"/>
        <v>0</v>
      </c>
      <c r="AM11" s="54">
        <f t="shared" si="11"/>
        <v>0</v>
      </c>
      <c r="AN11" s="54">
        <f t="shared" si="11"/>
        <v>0</v>
      </c>
      <c r="AO11" s="54">
        <f t="shared" si="11"/>
        <v>0</v>
      </c>
      <c r="AP11" s="54">
        <f t="shared" si="11"/>
        <v>0</v>
      </c>
      <c r="AQ11" s="54">
        <f t="shared" si="11"/>
        <v>0</v>
      </c>
      <c r="AR11" s="54">
        <f t="shared" si="11"/>
        <v>0</v>
      </c>
      <c r="AS11" s="54">
        <f t="shared" si="11"/>
        <v>0</v>
      </c>
      <c r="AT11" s="54">
        <f t="shared" si="11"/>
        <v>0</v>
      </c>
      <c r="AU11" s="54">
        <f t="shared" si="11"/>
        <v>0</v>
      </c>
      <c r="AV11" s="54">
        <f t="shared" si="11"/>
        <v>0</v>
      </c>
      <c r="AW11" s="54">
        <f t="shared" si="11"/>
        <v>0</v>
      </c>
      <c r="AX11" s="54">
        <f t="shared" si="11"/>
        <v>0</v>
      </c>
      <c r="AY11" s="54">
        <f t="shared" si="5"/>
        <v>0</v>
      </c>
      <c r="AZ11" s="54"/>
      <c r="BA11" s="54"/>
      <c r="BB11" s="54">
        <f t="shared" si="8"/>
        <v>0</v>
      </c>
      <c r="BC11" s="55">
        <f t="shared" si="6"/>
        <v>0</v>
      </c>
      <c r="BD11" s="54">
        <f t="shared" si="9"/>
        <v>0</v>
      </c>
      <c r="BE11" s="54"/>
      <c r="BF11" s="53"/>
      <c r="EV11" s="56"/>
      <c r="FB11" s="56"/>
      <c r="FH11" s="1"/>
      <c r="HE11" s="53">
        <f>SUM(BG11:GU11)-V11</f>
        <v>0</v>
      </c>
      <c r="HF11" s="53"/>
    </row>
    <row r="12" spans="1:214" s="50" customFormat="1" x14ac:dyDescent="0.25">
      <c r="A12" s="50" t="s">
        <v>103</v>
      </c>
      <c r="B12" s="51">
        <v>833469</v>
      </c>
      <c r="D12" s="33"/>
      <c r="E12" s="50">
        <v>1</v>
      </c>
      <c r="F12" s="50" t="s">
        <v>103</v>
      </c>
      <c r="G12" s="50" t="s">
        <v>101</v>
      </c>
      <c r="H12" s="52">
        <v>36336</v>
      </c>
      <c r="I12" s="50" t="s">
        <v>93</v>
      </c>
      <c r="J12" s="50" t="s">
        <v>102</v>
      </c>
      <c r="K12" s="51"/>
      <c r="L12" s="50" t="s">
        <v>95</v>
      </c>
      <c r="N12" s="50" t="str">
        <f t="shared" si="0"/>
        <v>833469W</v>
      </c>
      <c r="O12" s="50" t="str">
        <f t="shared" si="1"/>
        <v>833469WBase</v>
      </c>
      <c r="Q12" s="53">
        <f t="shared" si="2"/>
        <v>0</v>
      </c>
      <c r="R12" s="53">
        <f t="shared" si="3"/>
        <v>0</v>
      </c>
      <c r="S12" s="53"/>
      <c r="T12" s="54">
        <v>37147</v>
      </c>
      <c r="U12" s="54"/>
      <c r="V12" s="57">
        <v>0</v>
      </c>
      <c r="W12" s="54">
        <f t="shared" ref="W12:AX12" si="12">V12</f>
        <v>0</v>
      </c>
      <c r="X12" s="54">
        <f t="shared" si="12"/>
        <v>0</v>
      </c>
      <c r="Y12" s="54">
        <f t="shared" si="12"/>
        <v>0</v>
      </c>
      <c r="Z12" s="54">
        <f t="shared" si="12"/>
        <v>0</v>
      </c>
      <c r="AA12" s="54">
        <f t="shared" si="12"/>
        <v>0</v>
      </c>
      <c r="AB12" s="54">
        <f t="shared" si="12"/>
        <v>0</v>
      </c>
      <c r="AC12" s="54">
        <f t="shared" si="12"/>
        <v>0</v>
      </c>
      <c r="AD12" s="54">
        <f t="shared" si="12"/>
        <v>0</v>
      </c>
      <c r="AE12" s="54">
        <f t="shared" si="12"/>
        <v>0</v>
      </c>
      <c r="AF12" s="54">
        <f t="shared" si="12"/>
        <v>0</v>
      </c>
      <c r="AG12" s="54">
        <f t="shared" si="12"/>
        <v>0</v>
      </c>
      <c r="AH12" s="54">
        <f t="shared" si="12"/>
        <v>0</v>
      </c>
      <c r="AI12" s="54">
        <f t="shared" si="12"/>
        <v>0</v>
      </c>
      <c r="AJ12" s="54">
        <f t="shared" si="12"/>
        <v>0</v>
      </c>
      <c r="AK12" s="54">
        <f t="shared" si="12"/>
        <v>0</v>
      </c>
      <c r="AL12" s="54">
        <f t="shared" si="12"/>
        <v>0</v>
      </c>
      <c r="AM12" s="54">
        <f t="shared" si="12"/>
        <v>0</v>
      </c>
      <c r="AN12" s="54">
        <f t="shared" si="12"/>
        <v>0</v>
      </c>
      <c r="AO12" s="54">
        <f t="shared" si="12"/>
        <v>0</v>
      </c>
      <c r="AP12" s="54">
        <f t="shared" si="12"/>
        <v>0</v>
      </c>
      <c r="AQ12" s="54">
        <f t="shared" si="12"/>
        <v>0</v>
      </c>
      <c r="AR12" s="54">
        <f t="shared" si="12"/>
        <v>0</v>
      </c>
      <c r="AS12" s="54">
        <f t="shared" si="12"/>
        <v>0</v>
      </c>
      <c r="AT12" s="54">
        <f t="shared" si="12"/>
        <v>0</v>
      </c>
      <c r="AU12" s="54">
        <f t="shared" si="12"/>
        <v>0</v>
      </c>
      <c r="AV12" s="54">
        <f t="shared" si="12"/>
        <v>0</v>
      </c>
      <c r="AW12" s="54">
        <f t="shared" si="12"/>
        <v>0</v>
      </c>
      <c r="AX12" s="54">
        <f t="shared" si="12"/>
        <v>0</v>
      </c>
      <c r="AY12" s="54">
        <f t="shared" si="5"/>
        <v>0</v>
      </c>
      <c r="AZ12" s="54"/>
      <c r="BA12" s="54"/>
      <c r="BB12" s="54">
        <f t="shared" si="8"/>
        <v>0</v>
      </c>
      <c r="BC12" s="55">
        <f t="shared" si="6"/>
        <v>0</v>
      </c>
      <c r="BD12" s="54">
        <f t="shared" si="9"/>
        <v>0</v>
      </c>
      <c r="BE12" s="54"/>
      <c r="BF12" s="53"/>
      <c r="EV12" s="56"/>
      <c r="FB12" s="56"/>
      <c r="FH12" s="1"/>
      <c r="HE12" s="53">
        <f>SUM(BG12:GU12)-V12</f>
        <v>0</v>
      </c>
      <c r="HF12" s="53"/>
    </row>
    <row r="13" spans="1:214" s="50" customFormat="1" x14ac:dyDescent="0.25">
      <c r="A13" s="50" t="s">
        <v>104</v>
      </c>
      <c r="B13" s="51">
        <v>831095</v>
      </c>
      <c r="D13" s="33"/>
      <c r="E13" s="50">
        <v>1</v>
      </c>
      <c r="F13" s="50" t="s">
        <v>104</v>
      </c>
      <c r="G13" s="50" t="s">
        <v>101</v>
      </c>
      <c r="H13" s="52">
        <v>36336</v>
      </c>
      <c r="I13" s="50" t="s">
        <v>93</v>
      </c>
      <c r="J13" s="50" t="s">
        <v>102</v>
      </c>
      <c r="K13" s="51"/>
      <c r="L13" s="50" t="s">
        <v>95</v>
      </c>
      <c r="N13" s="50" t="str">
        <f t="shared" si="0"/>
        <v>831095W</v>
      </c>
      <c r="O13" s="50" t="str">
        <f t="shared" si="1"/>
        <v>831095WBase</v>
      </c>
      <c r="Q13" s="53">
        <f t="shared" si="2"/>
        <v>0</v>
      </c>
      <c r="R13" s="53">
        <f t="shared" si="3"/>
        <v>0</v>
      </c>
      <c r="S13" s="53"/>
      <c r="T13" s="54">
        <v>37147</v>
      </c>
      <c r="U13" s="54"/>
      <c r="V13" s="57">
        <v>0</v>
      </c>
      <c r="W13" s="54">
        <f t="shared" ref="W13:AX13" si="13">V13</f>
        <v>0</v>
      </c>
      <c r="X13" s="54">
        <f t="shared" si="13"/>
        <v>0</v>
      </c>
      <c r="Y13" s="54">
        <f t="shared" si="13"/>
        <v>0</v>
      </c>
      <c r="Z13" s="54">
        <f t="shared" si="13"/>
        <v>0</v>
      </c>
      <c r="AA13" s="54">
        <f t="shared" si="13"/>
        <v>0</v>
      </c>
      <c r="AB13" s="54">
        <f t="shared" si="13"/>
        <v>0</v>
      </c>
      <c r="AC13" s="54">
        <f t="shared" si="13"/>
        <v>0</v>
      </c>
      <c r="AD13" s="54">
        <f t="shared" si="13"/>
        <v>0</v>
      </c>
      <c r="AE13" s="54">
        <f t="shared" si="13"/>
        <v>0</v>
      </c>
      <c r="AF13" s="54">
        <f t="shared" si="13"/>
        <v>0</v>
      </c>
      <c r="AG13" s="54">
        <f t="shared" si="13"/>
        <v>0</v>
      </c>
      <c r="AH13" s="54">
        <f t="shared" si="13"/>
        <v>0</v>
      </c>
      <c r="AI13" s="54">
        <f t="shared" si="13"/>
        <v>0</v>
      </c>
      <c r="AJ13" s="54">
        <f t="shared" si="13"/>
        <v>0</v>
      </c>
      <c r="AK13" s="54">
        <f t="shared" si="13"/>
        <v>0</v>
      </c>
      <c r="AL13" s="54">
        <f t="shared" si="13"/>
        <v>0</v>
      </c>
      <c r="AM13" s="54">
        <f t="shared" si="13"/>
        <v>0</v>
      </c>
      <c r="AN13" s="54">
        <f t="shared" si="13"/>
        <v>0</v>
      </c>
      <c r="AO13" s="54">
        <f t="shared" si="13"/>
        <v>0</v>
      </c>
      <c r="AP13" s="54">
        <f t="shared" si="13"/>
        <v>0</v>
      </c>
      <c r="AQ13" s="54">
        <f t="shared" si="13"/>
        <v>0</v>
      </c>
      <c r="AR13" s="54">
        <f t="shared" si="13"/>
        <v>0</v>
      </c>
      <c r="AS13" s="54">
        <f t="shared" si="13"/>
        <v>0</v>
      </c>
      <c r="AT13" s="54">
        <f t="shared" si="13"/>
        <v>0</v>
      </c>
      <c r="AU13" s="54">
        <f t="shared" si="13"/>
        <v>0</v>
      </c>
      <c r="AV13" s="54">
        <f t="shared" si="13"/>
        <v>0</v>
      </c>
      <c r="AW13" s="54">
        <f t="shared" si="13"/>
        <v>0</v>
      </c>
      <c r="AX13" s="54">
        <f t="shared" si="13"/>
        <v>0</v>
      </c>
      <c r="AY13" s="54">
        <f t="shared" si="5"/>
        <v>0</v>
      </c>
      <c r="AZ13" s="54"/>
      <c r="BA13" s="54"/>
      <c r="BB13" s="54">
        <f t="shared" si="8"/>
        <v>0</v>
      </c>
      <c r="BC13" s="55">
        <f t="shared" si="6"/>
        <v>0</v>
      </c>
      <c r="BD13" s="54">
        <f t="shared" si="9"/>
        <v>0</v>
      </c>
      <c r="BE13" s="54"/>
      <c r="BF13" s="53"/>
      <c r="BP13" s="1"/>
      <c r="EV13" s="56"/>
      <c r="FB13" s="56"/>
      <c r="FH13" s="1"/>
      <c r="HE13" s="53">
        <f t="shared" ref="HE13:HE33" si="14">SUM(BG13:HD13)-V13</f>
        <v>0</v>
      </c>
      <c r="HF13" s="53"/>
    </row>
    <row r="14" spans="1:214" x14ac:dyDescent="0.25">
      <c r="A14" s="1" t="s">
        <v>106</v>
      </c>
      <c r="B14" s="58">
        <v>21</v>
      </c>
      <c r="D14" s="14">
        <v>20</v>
      </c>
      <c r="E14" s="1">
        <v>2</v>
      </c>
      <c r="F14" s="1" t="s">
        <v>97</v>
      </c>
      <c r="G14" s="59" t="s">
        <v>114</v>
      </c>
      <c r="H14" s="60">
        <v>36336</v>
      </c>
      <c r="I14" s="1" t="s">
        <v>93</v>
      </c>
      <c r="J14" s="1" t="s">
        <v>94</v>
      </c>
      <c r="K14" s="61"/>
      <c r="L14" s="1" t="s">
        <v>95</v>
      </c>
      <c r="M14" s="62"/>
      <c r="N14" s="1" t="str">
        <f t="shared" si="0"/>
        <v>21R</v>
      </c>
      <c r="O14" s="1" t="str">
        <f t="shared" si="1"/>
        <v>21RBase</v>
      </c>
      <c r="Q14" s="22">
        <f t="shared" si="2"/>
        <v>0</v>
      </c>
      <c r="R14" s="22">
        <f t="shared" si="3"/>
        <v>0</v>
      </c>
      <c r="T14" s="63">
        <v>37147</v>
      </c>
      <c r="V14" s="64">
        <v>0</v>
      </c>
      <c r="W14" s="63">
        <f t="shared" ref="W14:AX14" si="15">V14</f>
        <v>0</v>
      </c>
      <c r="X14" s="63">
        <f t="shared" si="15"/>
        <v>0</v>
      </c>
      <c r="Y14" s="63">
        <f t="shared" si="15"/>
        <v>0</v>
      </c>
      <c r="Z14" s="63">
        <f t="shared" si="15"/>
        <v>0</v>
      </c>
      <c r="AA14" s="63">
        <f t="shared" si="15"/>
        <v>0</v>
      </c>
      <c r="AB14" s="63">
        <f t="shared" si="15"/>
        <v>0</v>
      </c>
      <c r="AC14" s="63">
        <f t="shared" si="15"/>
        <v>0</v>
      </c>
      <c r="AD14" s="63">
        <f t="shared" si="15"/>
        <v>0</v>
      </c>
      <c r="AE14" s="63">
        <f t="shared" si="15"/>
        <v>0</v>
      </c>
      <c r="AF14" s="63">
        <f t="shared" si="15"/>
        <v>0</v>
      </c>
      <c r="AG14" s="63">
        <f t="shared" si="15"/>
        <v>0</v>
      </c>
      <c r="AH14" s="63">
        <f t="shared" si="15"/>
        <v>0</v>
      </c>
      <c r="AI14" s="63">
        <f t="shared" si="15"/>
        <v>0</v>
      </c>
      <c r="AJ14" s="63">
        <f t="shared" si="15"/>
        <v>0</v>
      </c>
      <c r="AK14" s="63">
        <f t="shared" si="15"/>
        <v>0</v>
      </c>
      <c r="AL14" s="63">
        <f t="shared" si="15"/>
        <v>0</v>
      </c>
      <c r="AM14" s="63">
        <f t="shared" si="15"/>
        <v>0</v>
      </c>
      <c r="AN14" s="63">
        <f t="shared" si="15"/>
        <v>0</v>
      </c>
      <c r="AO14" s="63">
        <f t="shared" si="15"/>
        <v>0</v>
      </c>
      <c r="AP14" s="63">
        <f t="shared" si="15"/>
        <v>0</v>
      </c>
      <c r="AQ14" s="63">
        <f t="shared" si="15"/>
        <v>0</v>
      </c>
      <c r="AR14" s="63">
        <f t="shared" si="15"/>
        <v>0</v>
      </c>
      <c r="AS14" s="63">
        <f t="shared" si="15"/>
        <v>0</v>
      </c>
      <c r="AT14" s="63">
        <f t="shared" si="15"/>
        <v>0</v>
      </c>
      <c r="AU14" s="63">
        <f t="shared" si="15"/>
        <v>0</v>
      </c>
      <c r="AV14" s="63">
        <f t="shared" si="15"/>
        <v>0</v>
      </c>
      <c r="AW14" s="63">
        <f t="shared" si="15"/>
        <v>0</v>
      </c>
      <c r="AX14" s="63">
        <f t="shared" si="15"/>
        <v>0</v>
      </c>
      <c r="AY14" s="63">
        <f t="shared" si="5"/>
        <v>0</v>
      </c>
      <c r="BB14" s="63">
        <f t="shared" si="8"/>
        <v>0</v>
      </c>
      <c r="BC14" s="55">
        <f t="shared" ref="BC14:BC49" si="16">+BB14/30</f>
        <v>0</v>
      </c>
      <c r="BD14" s="63">
        <f t="shared" si="9"/>
        <v>0</v>
      </c>
      <c r="BG14" s="22"/>
      <c r="BH14" s="22"/>
      <c r="BI14" s="22"/>
      <c r="BJ14" s="22"/>
      <c r="BK14" s="22"/>
      <c r="BL14" s="22"/>
      <c r="BM14" s="22"/>
      <c r="BO14" s="22"/>
      <c r="BQ14" s="22"/>
      <c r="BS14" s="22"/>
      <c r="BU14" s="22"/>
      <c r="BW14" s="22"/>
      <c r="BY14" s="22"/>
      <c r="CA14" s="22"/>
      <c r="CC14" s="22"/>
      <c r="CE14" s="22"/>
      <c r="CG14" s="22"/>
      <c r="CI14" s="22"/>
      <c r="CK14" s="22"/>
      <c r="CM14" s="22"/>
      <c r="CO14" s="22"/>
      <c r="CQ14" s="22"/>
      <c r="CS14" s="22"/>
      <c r="CU14" s="22"/>
      <c r="CW14" s="22"/>
      <c r="CY14" s="22"/>
      <c r="DA14" s="22"/>
      <c r="DC14" s="22"/>
      <c r="DE14" s="22"/>
      <c r="DG14" s="22"/>
      <c r="DI14" s="22"/>
      <c r="DK14" s="22"/>
      <c r="DM14" s="22"/>
      <c r="DO14" s="22"/>
      <c r="DQ14" s="22"/>
      <c r="DS14" s="22"/>
      <c r="DU14" s="22"/>
      <c r="DW14" s="22"/>
      <c r="DY14" s="22"/>
      <c r="EA14" s="22"/>
      <c r="EC14" s="22"/>
      <c r="EE14" s="22"/>
      <c r="EG14" s="22"/>
      <c r="EI14" s="22"/>
      <c r="EK14" s="22"/>
      <c r="EM14" s="22"/>
      <c r="EO14" s="22"/>
      <c r="EP14" s="22"/>
      <c r="EQ14" s="22"/>
      <c r="ES14" s="22"/>
      <c r="EU14" s="22"/>
      <c r="EW14" s="22"/>
      <c r="EY14" s="22"/>
      <c r="FA14" s="22"/>
      <c r="FC14" s="22"/>
      <c r="FE14" s="22"/>
      <c r="FG14" s="22"/>
      <c r="FI14" s="22"/>
      <c r="FJ14" s="22"/>
      <c r="FK14" s="22"/>
      <c r="FL14" s="22"/>
      <c r="FM14" s="22"/>
      <c r="FO14" s="22"/>
      <c r="FQ14" s="22"/>
      <c r="FS14" s="22"/>
      <c r="FU14" s="22"/>
      <c r="FW14" s="22"/>
      <c r="FY14" s="22"/>
      <c r="GA14" s="22"/>
      <c r="GC14" s="22"/>
      <c r="GE14" s="22"/>
      <c r="GG14" s="22"/>
      <c r="GI14" s="22"/>
      <c r="GK14" s="22"/>
      <c r="GM14" s="22"/>
      <c r="GO14" s="22"/>
      <c r="GQ14" s="22"/>
      <c r="GS14" s="22"/>
      <c r="GU14" s="22"/>
      <c r="GW14" s="22"/>
      <c r="GY14" s="22"/>
      <c r="HA14" s="22"/>
      <c r="HC14" s="22"/>
      <c r="HE14" s="22">
        <f t="shared" si="14"/>
        <v>0</v>
      </c>
      <c r="HF14" s="22"/>
    </row>
    <row r="15" spans="1:214" x14ac:dyDescent="0.25">
      <c r="A15" s="1" t="s">
        <v>107</v>
      </c>
      <c r="B15" s="58">
        <v>22</v>
      </c>
      <c r="D15" s="14">
        <v>15</v>
      </c>
      <c r="E15" s="1">
        <v>3</v>
      </c>
      <c r="F15" s="1" t="s">
        <v>97</v>
      </c>
      <c r="G15" s="1" t="s">
        <v>108</v>
      </c>
      <c r="H15" s="60">
        <v>36459</v>
      </c>
      <c r="I15" s="1" t="s">
        <v>93</v>
      </c>
      <c r="J15" s="1" t="s">
        <v>94</v>
      </c>
      <c r="L15" s="1" t="s">
        <v>95</v>
      </c>
      <c r="M15" s="50"/>
      <c r="N15" s="1" t="str">
        <f t="shared" si="0"/>
        <v>22R</v>
      </c>
      <c r="O15" s="1" t="str">
        <f t="shared" si="1"/>
        <v>22RBase</v>
      </c>
      <c r="Q15" s="22">
        <f t="shared" si="2"/>
        <v>0</v>
      </c>
      <c r="R15" s="22">
        <f t="shared" si="3"/>
        <v>0</v>
      </c>
      <c r="T15" s="63">
        <v>37147</v>
      </c>
      <c r="V15" s="64">
        <v>0</v>
      </c>
      <c r="W15" s="63">
        <f t="shared" ref="W15:AX15" si="17">V15</f>
        <v>0</v>
      </c>
      <c r="X15" s="63">
        <f t="shared" si="17"/>
        <v>0</v>
      </c>
      <c r="Y15" s="63">
        <f t="shared" si="17"/>
        <v>0</v>
      </c>
      <c r="Z15" s="63">
        <f t="shared" si="17"/>
        <v>0</v>
      </c>
      <c r="AA15" s="63">
        <f t="shared" si="17"/>
        <v>0</v>
      </c>
      <c r="AB15" s="63">
        <f t="shared" si="17"/>
        <v>0</v>
      </c>
      <c r="AC15" s="63">
        <f t="shared" si="17"/>
        <v>0</v>
      </c>
      <c r="AD15" s="63">
        <f t="shared" si="17"/>
        <v>0</v>
      </c>
      <c r="AE15" s="63">
        <f t="shared" si="17"/>
        <v>0</v>
      </c>
      <c r="AF15" s="63">
        <f t="shared" si="17"/>
        <v>0</v>
      </c>
      <c r="AG15" s="63">
        <f t="shared" si="17"/>
        <v>0</v>
      </c>
      <c r="AH15" s="63">
        <f t="shared" si="17"/>
        <v>0</v>
      </c>
      <c r="AI15" s="63">
        <f t="shared" si="17"/>
        <v>0</v>
      </c>
      <c r="AJ15" s="63">
        <f t="shared" si="17"/>
        <v>0</v>
      </c>
      <c r="AK15" s="63">
        <f t="shared" si="17"/>
        <v>0</v>
      </c>
      <c r="AL15" s="63">
        <f t="shared" si="17"/>
        <v>0</v>
      </c>
      <c r="AM15" s="63">
        <f t="shared" si="17"/>
        <v>0</v>
      </c>
      <c r="AN15" s="63">
        <f t="shared" si="17"/>
        <v>0</v>
      </c>
      <c r="AO15" s="63">
        <f t="shared" si="17"/>
        <v>0</v>
      </c>
      <c r="AP15" s="63">
        <f t="shared" si="17"/>
        <v>0</v>
      </c>
      <c r="AQ15" s="63">
        <f t="shared" si="17"/>
        <v>0</v>
      </c>
      <c r="AR15" s="63">
        <f t="shared" si="17"/>
        <v>0</v>
      </c>
      <c r="AS15" s="63">
        <f t="shared" si="17"/>
        <v>0</v>
      </c>
      <c r="AT15" s="63">
        <f t="shared" si="17"/>
        <v>0</v>
      </c>
      <c r="AU15" s="63">
        <f t="shared" si="17"/>
        <v>0</v>
      </c>
      <c r="AV15" s="63">
        <f t="shared" si="17"/>
        <v>0</v>
      </c>
      <c r="AW15" s="63">
        <f t="shared" si="17"/>
        <v>0</v>
      </c>
      <c r="AX15" s="63">
        <f t="shared" si="17"/>
        <v>0</v>
      </c>
      <c r="AY15" s="63">
        <f t="shared" si="5"/>
        <v>0</v>
      </c>
      <c r="BB15" s="63">
        <f t="shared" ref="BB15:BB21" si="18">SUM(V15:AZ15)</f>
        <v>0</v>
      </c>
      <c r="BC15" s="55">
        <f t="shared" si="16"/>
        <v>0</v>
      </c>
      <c r="BD15" s="63">
        <f t="shared" si="9"/>
        <v>0</v>
      </c>
      <c r="GN15" s="22"/>
      <c r="GV15" s="22"/>
      <c r="HD15" s="22"/>
      <c r="HE15" s="22">
        <f t="shared" si="14"/>
        <v>0</v>
      </c>
      <c r="HF15" s="22"/>
    </row>
    <row r="16" spans="1:214" x14ac:dyDescent="0.25">
      <c r="A16" s="1" t="s">
        <v>107</v>
      </c>
      <c r="B16" s="58">
        <v>22</v>
      </c>
      <c r="D16" s="14">
        <v>15</v>
      </c>
      <c r="E16" s="1">
        <v>3</v>
      </c>
      <c r="F16" s="1" t="s">
        <v>111</v>
      </c>
      <c r="G16" s="1" t="s">
        <v>108</v>
      </c>
      <c r="H16" s="60">
        <v>36459</v>
      </c>
      <c r="I16" s="1" t="s">
        <v>93</v>
      </c>
      <c r="J16" s="1" t="s">
        <v>94</v>
      </c>
      <c r="L16" s="1" t="s">
        <v>95</v>
      </c>
      <c r="M16" s="50"/>
      <c r="N16" s="1" t="str">
        <f t="shared" si="0"/>
        <v>22R</v>
      </c>
      <c r="O16" s="1" t="str">
        <f t="shared" si="1"/>
        <v>22RBase</v>
      </c>
      <c r="Q16" s="22">
        <f t="shared" si="2"/>
        <v>1698</v>
      </c>
      <c r="R16" s="22">
        <f t="shared" si="3"/>
        <v>1698</v>
      </c>
      <c r="T16" s="63">
        <v>37147</v>
      </c>
      <c r="V16" s="66">
        <v>1698</v>
      </c>
      <c r="W16" s="63">
        <f t="shared" ref="W16:AX16" si="19">V16</f>
        <v>1698</v>
      </c>
      <c r="X16" s="63">
        <f t="shared" si="19"/>
        <v>1698</v>
      </c>
      <c r="Y16" s="63">
        <f t="shared" si="19"/>
        <v>1698</v>
      </c>
      <c r="Z16" s="63">
        <f t="shared" si="19"/>
        <v>1698</v>
      </c>
      <c r="AA16" s="63">
        <f t="shared" si="19"/>
        <v>1698</v>
      </c>
      <c r="AB16" s="63">
        <f t="shared" si="19"/>
        <v>1698</v>
      </c>
      <c r="AC16" s="63">
        <f t="shared" si="19"/>
        <v>1698</v>
      </c>
      <c r="AD16" s="63">
        <f t="shared" si="19"/>
        <v>1698</v>
      </c>
      <c r="AE16" s="63">
        <f t="shared" si="19"/>
        <v>1698</v>
      </c>
      <c r="AF16" s="63">
        <f t="shared" si="19"/>
        <v>1698</v>
      </c>
      <c r="AG16" s="63">
        <f t="shared" si="19"/>
        <v>1698</v>
      </c>
      <c r="AH16" s="63">
        <f t="shared" si="19"/>
        <v>1698</v>
      </c>
      <c r="AI16" s="63">
        <f t="shared" si="19"/>
        <v>1698</v>
      </c>
      <c r="AJ16" s="63">
        <f t="shared" si="19"/>
        <v>1698</v>
      </c>
      <c r="AK16" s="63">
        <f t="shared" si="19"/>
        <v>1698</v>
      </c>
      <c r="AL16" s="63">
        <f t="shared" si="19"/>
        <v>1698</v>
      </c>
      <c r="AM16" s="63">
        <f t="shared" si="19"/>
        <v>1698</v>
      </c>
      <c r="AN16" s="63">
        <f t="shared" si="19"/>
        <v>1698</v>
      </c>
      <c r="AO16" s="63">
        <f t="shared" si="19"/>
        <v>1698</v>
      </c>
      <c r="AP16" s="63">
        <f t="shared" si="19"/>
        <v>1698</v>
      </c>
      <c r="AQ16" s="63">
        <f t="shared" si="19"/>
        <v>1698</v>
      </c>
      <c r="AR16" s="63">
        <f t="shared" si="19"/>
        <v>1698</v>
      </c>
      <c r="AS16" s="63">
        <f t="shared" si="19"/>
        <v>1698</v>
      </c>
      <c r="AT16" s="63">
        <f t="shared" si="19"/>
        <v>1698</v>
      </c>
      <c r="AU16" s="63">
        <f t="shared" si="19"/>
        <v>1698</v>
      </c>
      <c r="AV16" s="63">
        <f t="shared" si="19"/>
        <v>1698</v>
      </c>
      <c r="AW16" s="63">
        <f t="shared" si="19"/>
        <v>1698</v>
      </c>
      <c r="AX16" s="63">
        <f t="shared" si="19"/>
        <v>1698</v>
      </c>
      <c r="AY16" s="63">
        <f t="shared" si="5"/>
        <v>1698</v>
      </c>
      <c r="BB16" s="63">
        <f t="shared" si="18"/>
        <v>50940</v>
      </c>
      <c r="BC16" s="55">
        <f t="shared" si="16"/>
        <v>1698</v>
      </c>
      <c r="BD16" s="63">
        <f t="shared" si="9"/>
        <v>1698</v>
      </c>
      <c r="HE16" s="22">
        <f t="shared" si="14"/>
        <v>-1698</v>
      </c>
      <c r="HF16" s="22"/>
    </row>
    <row r="17" spans="1:214" x14ac:dyDescent="0.25">
      <c r="A17" s="1" t="s">
        <v>116</v>
      </c>
      <c r="B17" s="58">
        <v>27</v>
      </c>
      <c r="D17" s="14">
        <v>19</v>
      </c>
      <c r="E17" s="1">
        <v>3</v>
      </c>
      <c r="F17" s="70" t="s">
        <v>232</v>
      </c>
      <c r="G17" s="1" t="s">
        <v>233</v>
      </c>
      <c r="H17" s="60">
        <v>36521</v>
      </c>
      <c r="I17" s="1" t="s">
        <v>93</v>
      </c>
      <c r="J17" s="1" t="s">
        <v>94</v>
      </c>
      <c r="L17" s="1" t="s">
        <v>99</v>
      </c>
      <c r="N17" s="1" t="str">
        <f>CONCATENATE(B17,J17)</f>
        <v>27R</v>
      </c>
      <c r="O17" s="1" t="str">
        <f>CONCATENATE(B17,J17,I17)</f>
        <v>27RBase</v>
      </c>
      <c r="Q17" s="22">
        <f t="shared" si="2"/>
        <v>0</v>
      </c>
      <c r="R17" s="22">
        <f t="shared" si="3"/>
        <v>0</v>
      </c>
      <c r="T17" s="63">
        <v>66917</v>
      </c>
      <c r="V17" s="64">
        <v>0</v>
      </c>
      <c r="W17" s="63">
        <f t="shared" ref="W17:AX17" si="20">V17</f>
        <v>0</v>
      </c>
      <c r="X17" s="63">
        <f t="shared" si="20"/>
        <v>0</v>
      </c>
      <c r="Y17" s="63">
        <f t="shared" si="20"/>
        <v>0</v>
      </c>
      <c r="Z17" s="63">
        <f t="shared" si="20"/>
        <v>0</v>
      </c>
      <c r="AA17" s="63">
        <f t="shared" si="20"/>
        <v>0</v>
      </c>
      <c r="AB17" s="63">
        <f t="shared" si="20"/>
        <v>0</v>
      </c>
      <c r="AC17" s="63">
        <f t="shared" si="20"/>
        <v>0</v>
      </c>
      <c r="AD17" s="63">
        <f t="shared" si="20"/>
        <v>0</v>
      </c>
      <c r="AE17" s="63">
        <f t="shared" si="20"/>
        <v>0</v>
      </c>
      <c r="AF17" s="63">
        <f t="shared" si="20"/>
        <v>0</v>
      </c>
      <c r="AG17" s="63">
        <f t="shared" si="20"/>
        <v>0</v>
      </c>
      <c r="AH17" s="63">
        <f t="shared" si="20"/>
        <v>0</v>
      </c>
      <c r="AI17" s="63">
        <f t="shared" si="20"/>
        <v>0</v>
      </c>
      <c r="AJ17" s="63">
        <f t="shared" si="20"/>
        <v>0</v>
      </c>
      <c r="AK17" s="63">
        <f t="shared" si="20"/>
        <v>0</v>
      </c>
      <c r="AL17" s="63">
        <f t="shared" si="20"/>
        <v>0</v>
      </c>
      <c r="AM17" s="63">
        <f t="shared" si="20"/>
        <v>0</v>
      </c>
      <c r="AN17" s="63">
        <f t="shared" si="20"/>
        <v>0</v>
      </c>
      <c r="AO17" s="63">
        <f t="shared" si="20"/>
        <v>0</v>
      </c>
      <c r="AP17" s="63">
        <f t="shared" si="20"/>
        <v>0</v>
      </c>
      <c r="AQ17" s="63">
        <f t="shared" si="20"/>
        <v>0</v>
      </c>
      <c r="AR17" s="63">
        <f t="shared" si="20"/>
        <v>0</v>
      </c>
      <c r="AS17" s="63">
        <f t="shared" si="20"/>
        <v>0</v>
      </c>
      <c r="AT17" s="63">
        <f t="shared" si="20"/>
        <v>0</v>
      </c>
      <c r="AU17" s="63">
        <f t="shared" si="20"/>
        <v>0</v>
      </c>
      <c r="AV17" s="63">
        <f t="shared" si="20"/>
        <v>0</v>
      </c>
      <c r="AW17" s="63">
        <f t="shared" si="20"/>
        <v>0</v>
      </c>
      <c r="AX17" s="63">
        <f t="shared" si="20"/>
        <v>0</v>
      </c>
      <c r="AY17" s="63">
        <f t="shared" ref="AY17:AY23" si="21">AX17</f>
        <v>0</v>
      </c>
      <c r="BB17" s="63">
        <f t="shared" si="18"/>
        <v>0</v>
      </c>
      <c r="BC17" s="55">
        <f t="shared" si="16"/>
        <v>0</v>
      </c>
      <c r="BD17" s="63">
        <f t="shared" si="9"/>
        <v>0</v>
      </c>
      <c r="CD17" s="12"/>
      <c r="CF17" s="12"/>
      <c r="CH17" s="12"/>
      <c r="CJ17" s="12"/>
      <c r="CL17" s="12"/>
      <c r="CN17" s="12"/>
      <c r="CP17" s="12"/>
      <c r="CR17" s="12"/>
      <c r="CT17" s="12"/>
      <c r="CV17" s="12"/>
      <c r="CX17" s="12"/>
      <c r="CZ17" s="12"/>
      <c r="DB17" s="12"/>
      <c r="DD17" s="12"/>
      <c r="DF17" s="12"/>
      <c r="DH17" s="12"/>
      <c r="DJ17" s="12"/>
      <c r="DL17" s="12"/>
      <c r="DN17" s="12"/>
      <c r="DP17" s="12"/>
      <c r="DR17" s="12"/>
      <c r="DT17" s="12"/>
      <c r="EJ17" s="12"/>
      <c r="EL17" s="12"/>
      <c r="ET17" s="12"/>
      <c r="FF17" s="12"/>
      <c r="FT17" s="12"/>
      <c r="FZ17" s="12"/>
      <c r="HE17" s="22">
        <f t="shared" si="14"/>
        <v>0</v>
      </c>
      <c r="HF17" s="15" t="s">
        <v>244</v>
      </c>
    </row>
    <row r="18" spans="1:214" s="12" customFormat="1" x14ac:dyDescent="0.25">
      <c r="A18" s="12" t="s">
        <v>121</v>
      </c>
      <c r="B18" s="71" t="s">
        <v>122</v>
      </c>
      <c r="D18" s="72">
        <v>25</v>
      </c>
      <c r="E18" s="12">
        <v>4</v>
      </c>
      <c r="F18" s="12" t="s">
        <v>123</v>
      </c>
      <c r="G18" s="1" t="s">
        <v>114</v>
      </c>
      <c r="H18" s="73">
        <v>36336</v>
      </c>
      <c r="I18" s="12" t="s">
        <v>93</v>
      </c>
      <c r="J18" s="12" t="s">
        <v>94</v>
      </c>
      <c r="K18" s="71"/>
      <c r="L18" s="12" t="s">
        <v>95</v>
      </c>
      <c r="M18" s="50" t="s">
        <v>235</v>
      </c>
      <c r="N18" s="12" t="str">
        <f>CONCATENATE(B18,J18)</f>
        <v>25ER</v>
      </c>
      <c r="O18" s="12" t="str">
        <f>CONCATENATE(B18,J18,I18)</f>
        <v>25ERBase</v>
      </c>
      <c r="Q18" s="74">
        <f>+BC18</f>
        <v>3913</v>
      </c>
      <c r="R18" s="74">
        <f t="shared" si="3"/>
        <v>3913</v>
      </c>
      <c r="S18" s="74"/>
      <c r="T18" s="75">
        <v>37147</v>
      </c>
      <c r="U18" s="75"/>
      <c r="V18" s="76">
        <v>3913</v>
      </c>
      <c r="W18" s="75">
        <f t="shared" ref="W18:AX18" si="22">V18</f>
        <v>3913</v>
      </c>
      <c r="X18" s="75">
        <f t="shared" si="22"/>
        <v>3913</v>
      </c>
      <c r="Y18" s="75">
        <f t="shared" si="22"/>
        <v>3913</v>
      </c>
      <c r="Z18" s="75">
        <f t="shared" si="22"/>
        <v>3913</v>
      </c>
      <c r="AA18" s="75">
        <f t="shared" si="22"/>
        <v>3913</v>
      </c>
      <c r="AB18" s="75">
        <f t="shared" si="22"/>
        <v>3913</v>
      </c>
      <c r="AC18" s="75">
        <f t="shared" si="22"/>
        <v>3913</v>
      </c>
      <c r="AD18" s="75">
        <f t="shared" si="22"/>
        <v>3913</v>
      </c>
      <c r="AE18" s="75">
        <f t="shared" si="22"/>
        <v>3913</v>
      </c>
      <c r="AF18" s="75">
        <f t="shared" si="22"/>
        <v>3913</v>
      </c>
      <c r="AG18" s="75">
        <f t="shared" si="22"/>
        <v>3913</v>
      </c>
      <c r="AH18" s="75">
        <f t="shared" si="22"/>
        <v>3913</v>
      </c>
      <c r="AI18" s="75">
        <f t="shared" si="22"/>
        <v>3913</v>
      </c>
      <c r="AJ18" s="75">
        <f t="shared" si="22"/>
        <v>3913</v>
      </c>
      <c r="AK18" s="75">
        <f t="shared" si="22"/>
        <v>3913</v>
      </c>
      <c r="AL18" s="75">
        <f t="shared" si="22"/>
        <v>3913</v>
      </c>
      <c r="AM18" s="75">
        <f t="shared" si="22"/>
        <v>3913</v>
      </c>
      <c r="AN18" s="75">
        <f t="shared" si="22"/>
        <v>3913</v>
      </c>
      <c r="AO18" s="75">
        <f t="shared" si="22"/>
        <v>3913</v>
      </c>
      <c r="AP18" s="75">
        <f t="shared" si="22"/>
        <v>3913</v>
      </c>
      <c r="AQ18" s="75">
        <f t="shared" si="22"/>
        <v>3913</v>
      </c>
      <c r="AR18" s="75">
        <f t="shared" si="22"/>
        <v>3913</v>
      </c>
      <c r="AS18" s="75">
        <f t="shared" si="22"/>
        <v>3913</v>
      </c>
      <c r="AT18" s="75">
        <f t="shared" si="22"/>
        <v>3913</v>
      </c>
      <c r="AU18" s="75">
        <f t="shared" si="22"/>
        <v>3913</v>
      </c>
      <c r="AV18" s="75">
        <f t="shared" si="22"/>
        <v>3913</v>
      </c>
      <c r="AW18" s="75">
        <f t="shared" si="22"/>
        <v>3913</v>
      </c>
      <c r="AX18" s="75">
        <f t="shared" si="22"/>
        <v>3913</v>
      </c>
      <c r="AY18" s="75">
        <f t="shared" si="21"/>
        <v>3913</v>
      </c>
      <c r="AZ18" s="75"/>
      <c r="BA18" s="75"/>
      <c r="BB18" s="75">
        <f t="shared" si="18"/>
        <v>117390</v>
      </c>
      <c r="BC18" s="55">
        <f t="shared" si="16"/>
        <v>3913</v>
      </c>
      <c r="BD18" s="75">
        <f t="shared" si="9"/>
        <v>3913</v>
      </c>
      <c r="BE18" s="75"/>
      <c r="BF18" s="74"/>
      <c r="EV18" s="65"/>
      <c r="EX18" s="1"/>
      <c r="EZ18" s="1"/>
      <c r="FB18" s="65"/>
      <c r="FD18" s="1"/>
      <c r="FH18" s="1"/>
      <c r="FV18" s="1"/>
      <c r="FX18" s="1"/>
      <c r="GB18" s="1"/>
      <c r="GD18" s="1"/>
      <c r="GF18" s="1"/>
      <c r="GH18" s="1"/>
      <c r="GJ18" s="1"/>
      <c r="GL18" s="1"/>
      <c r="GN18" s="1"/>
      <c r="GP18" s="1"/>
      <c r="GR18" s="1"/>
      <c r="GT18" s="1"/>
      <c r="GV18" s="1"/>
      <c r="GX18" s="1"/>
      <c r="GZ18" s="1"/>
      <c r="HB18" s="1"/>
      <c r="HD18" s="1"/>
      <c r="HE18" s="74">
        <f t="shared" si="14"/>
        <v>-3913</v>
      </c>
      <c r="HF18" s="74"/>
    </row>
    <row r="19" spans="1:214" s="12" customFormat="1" x14ac:dyDescent="0.25">
      <c r="A19" s="12" t="s">
        <v>127</v>
      </c>
      <c r="B19" s="71" t="s">
        <v>128</v>
      </c>
      <c r="D19" s="72">
        <v>25</v>
      </c>
      <c r="E19" s="12">
        <v>4</v>
      </c>
      <c r="F19" s="12" t="s">
        <v>123</v>
      </c>
      <c r="G19" s="1" t="s">
        <v>108</v>
      </c>
      <c r="H19" s="73">
        <v>36336</v>
      </c>
      <c r="I19" s="12" t="s">
        <v>93</v>
      </c>
      <c r="J19" s="12" t="s">
        <v>94</v>
      </c>
      <c r="K19" s="71"/>
      <c r="L19" s="12" t="s">
        <v>95</v>
      </c>
      <c r="M19" s="50"/>
      <c r="N19" s="12" t="str">
        <f t="shared" ref="N19:N24" si="23">CONCATENATE(B19,J19)</f>
        <v>19ER</v>
      </c>
      <c r="O19" s="12" t="str">
        <f t="shared" ref="O19:O24" si="24">CONCATENATE(B19,J19,I19)</f>
        <v>19ERBase</v>
      </c>
      <c r="Q19" s="74">
        <f>+BC19</f>
        <v>183</v>
      </c>
      <c r="R19" s="74">
        <f t="shared" ref="R19:R24" si="25">+Q19</f>
        <v>183</v>
      </c>
      <c r="S19" s="74"/>
      <c r="T19" s="75">
        <v>37147</v>
      </c>
      <c r="U19" s="75"/>
      <c r="V19" s="76">
        <v>183</v>
      </c>
      <c r="W19" s="75">
        <f t="shared" ref="W19:AX19" si="26">V19</f>
        <v>183</v>
      </c>
      <c r="X19" s="75">
        <f t="shared" si="26"/>
        <v>183</v>
      </c>
      <c r="Y19" s="75">
        <f t="shared" si="26"/>
        <v>183</v>
      </c>
      <c r="Z19" s="75">
        <f t="shared" si="26"/>
        <v>183</v>
      </c>
      <c r="AA19" s="75">
        <f t="shared" si="26"/>
        <v>183</v>
      </c>
      <c r="AB19" s="75">
        <f t="shared" si="26"/>
        <v>183</v>
      </c>
      <c r="AC19" s="75">
        <f t="shared" si="26"/>
        <v>183</v>
      </c>
      <c r="AD19" s="75">
        <f t="shared" si="26"/>
        <v>183</v>
      </c>
      <c r="AE19" s="75">
        <f t="shared" si="26"/>
        <v>183</v>
      </c>
      <c r="AF19" s="75">
        <f t="shared" si="26"/>
        <v>183</v>
      </c>
      <c r="AG19" s="75">
        <f t="shared" si="26"/>
        <v>183</v>
      </c>
      <c r="AH19" s="75">
        <f t="shared" si="26"/>
        <v>183</v>
      </c>
      <c r="AI19" s="75">
        <f t="shared" si="26"/>
        <v>183</v>
      </c>
      <c r="AJ19" s="75">
        <f t="shared" si="26"/>
        <v>183</v>
      </c>
      <c r="AK19" s="75">
        <f t="shared" si="26"/>
        <v>183</v>
      </c>
      <c r="AL19" s="75">
        <f t="shared" si="26"/>
        <v>183</v>
      </c>
      <c r="AM19" s="75">
        <f t="shared" si="26"/>
        <v>183</v>
      </c>
      <c r="AN19" s="75">
        <f t="shared" si="26"/>
        <v>183</v>
      </c>
      <c r="AO19" s="75">
        <f t="shared" si="26"/>
        <v>183</v>
      </c>
      <c r="AP19" s="75">
        <f t="shared" si="26"/>
        <v>183</v>
      </c>
      <c r="AQ19" s="75">
        <f t="shared" si="26"/>
        <v>183</v>
      </c>
      <c r="AR19" s="75">
        <f t="shared" si="26"/>
        <v>183</v>
      </c>
      <c r="AS19" s="75">
        <f t="shared" si="26"/>
        <v>183</v>
      </c>
      <c r="AT19" s="75">
        <f t="shared" si="26"/>
        <v>183</v>
      </c>
      <c r="AU19" s="75">
        <f t="shared" si="26"/>
        <v>183</v>
      </c>
      <c r="AV19" s="75">
        <f t="shared" si="26"/>
        <v>183</v>
      </c>
      <c r="AW19" s="75">
        <f t="shared" si="26"/>
        <v>183</v>
      </c>
      <c r="AX19" s="75">
        <f t="shared" si="26"/>
        <v>183</v>
      </c>
      <c r="AY19" s="75">
        <f t="shared" si="21"/>
        <v>183</v>
      </c>
      <c r="AZ19" s="75"/>
      <c r="BA19" s="75"/>
      <c r="BB19" s="75">
        <f t="shared" si="18"/>
        <v>5490</v>
      </c>
      <c r="BC19" s="55">
        <f t="shared" si="16"/>
        <v>183</v>
      </c>
      <c r="BD19" s="75">
        <f t="shared" si="9"/>
        <v>183</v>
      </c>
      <c r="BE19" s="75"/>
      <c r="BF19" s="74"/>
      <c r="BT19" s="12" t="s">
        <v>129</v>
      </c>
      <c r="EV19" s="65"/>
      <c r="EX19" s="1"/>
      <c r="EZ19" s="1"/>
      <c r="FB19" s="65"/>
      <c r="FD19" s="1"/>
      <c r="FH19" s="1"/>
      <c r="GH19" s="1"/>
      <c r="GJ19" s="1"/>
      <c r="GL19" s="1"/>
      <c r="HE19" s="74">
        <f t="shared" si="14"/>
        <v>-183</v>
      </c>
      <c r="HF19" s="74"/>
    </row>
    <row r="20" spans="1:214" s="12" customFormat="1" x14ac:dyDescent="0.25">
      <c r="A20" s="12" t="s">
        <v>252</v>
      </c>
      <c r="B20" s="71">
        <v>634197</v>
      </c>
      <c r="D20" s="72">
        <v>21</v>
      </c>
      <c r="E20" s="12">
        <v>4</v>
      </c>
      <c r="F20" s="12" t="s">
        <v>131</v>
      </c>
      <c r="G20" s="1" t="s">
        <v>152</v>
      </c>
      <c r="H20" s="73">
        <v>36465</v>
      </c>
      <c r="I20" s="12" t="s">
        <v>93</v>
      </c>
      <c r="J20" s="12" t="s">
        <v>102</v>
      </c>
      <c r="K20" s="71"/>
      <c r="L20" s="12" t="s">
        <v>95</v>
      </c>
      <c r="M20" s="1"/>
      <c r="N20" s="12" t="str">
        <f>CONCATENATE(B20,J20)</f>
        <v>634197W</v>
      </c>
      <c r="O20" s="12" t="str">
        <f>CONCATENATE(B20,J20,I20)</f>
        <v>634197WBase</v>
      </c>
      <c r="Q20" s="74">
        <f>+BC20</f>
        <v>0</v>
      </c>
      <c r="R20" s="74">
        <f t="shared" si="25"/>
        <v>0</v>
      </c>
      <c r="S20" s="74"/>
      <c r="T20" s="75">
        <v>37147</v>
      </c>
      <c r="U20" s="75"/>
      <c r="V20" s="78">
        <v>0</v>
      </c>
      <c r="W20" s="75">
        <f t="shared" ref="W20:AX21" si="27">V20</f>
        <v>0</v>
      </c>
      <c r="X20" s="75">
        <f t="shared" si="27"/>
        <v>0</v>
      </c>
      <c r="Y20" s="75">
        <f t="shared" si="27"/>
        <v>0</v>
      </c>
      <c r="Z20" s="75">
        <f t="shared" si="27"/>
        <v>0</v>
      </c>
      <c r="AA20" s="75">
        <f t="shared" si="27"/>
        <v>0</v>
      </c>
      <c r="AB20" s="75">
        <f t="shared" si="27"/>
        <v>0</v>
      </c>
      <c r="AC20" s="75">
        <f t="shared" si="27"/>
        <v>0</v>
      </c>
      <c r="AD20" s="75">
        <f t="shared" si="27"/>
        <v>0</v>
      </c>
      <c r="AE20" s="75">
        <f t="shared" si="27"/>
        <v>0</v>
      </c>
      <c r="AF20" s="75">
        <f t="shared" si="27"/>
        <v>0</v>
      </c>
      <c r="AG20" s="75">
        <f t="shared" si="27"/>
        <v>0</v>
      </c>
      <c r="AH20" s="75">
        <f t="shared" si="27"/>
        <v>0</v>
      </c>
      <c r="AI20" s="75">
        <f t="shared" si="27"/>
        <v>0</v>
      </c>
      <c r="AJ20" s="75">
        <f t="shared" si="27"/>
        <v>0</v>
      </c>
      <c r="AK20" s="75">
        <f t="shared" si="27"/>
        <v>0</v>
      </c>
      <c r="AL20" s="75">
        <f t="shared" si="27"/>
        <v>0</v>
      </c>
      <c r="AM20" s="75">
        <f t="shared" si="27"/>
        <v>0</v>
      </c>
      <c r="AN20" s="75">
        <f t="shared" si="27"/>
        <v>0</v>
      </c>
      <c r="AO20" s="75">
        <f t="shared" si="27"/>
        <v>0</v>
      </c>
      <c r="AP20" s="75">
        <f t="shared" si="27"/>
        <v>0</v>
      </c>
      <c r="AQ20" s="75">
        <f t="shared" si="27"/>
        <v>0</v>
      </c>
      <c r="AR20" s="75">
        <f t="shared" si="27"/>
        <v>0</v>
      </c>
      <c r="AS20" s="75">
        <f t="shared" si="27"/>
        <v>0</v>
      </c>
      <c r="AT20" s="75">
        <f t="shared" si="27"/>
        <v>0</v>
      </c>
      <c r="AU20" s="75">
        <f t="shared" si="27"/>
        <v>0</v>
      </c>
      <c r="AV20" s="75">
        <f t="shared" si="27"/>
        <v>0</v>
      </c>
      <c r="AW20" s="75">
        <f t="shared" si="27"/>
        <v>0</v>
      </c>
      <c r="AX20" s="75">
        <f t="shared" si="27"/>
        <v>0</v>
      </c>
      <c r="AY20" s="75">
        <f t="shared" si="21"/>
        <v>0</v>
      </c>
      <c r="AZ20" s="75"/>
      <c r="BA20" s="75"/>
      <c r="BB20" s="75">
        <f t="shared" si="18"/>
        <v>0</v>
      </c>
      <c r="BC20" s="55">
        <f t="shared" si="16"/>
        <v>0</v>
      </c>
      <c r="BD20" s="75">
        <f t="shared" si="9"/>
        <v>0</v>
      </c>
      <c r="BE20" s="75"/>
      <c r="BF20" s="74"/>
      <c r="CD20" s="72"/>
      <c r="CF20" s="72"/>
      <c r="CH20" s="72"/>
      <c r="CJ20" s="72"/>
      <c r="CL20" s="72"/>
      <c r="CN20" s="72"/>
      <c r="CP20" s="72"/>
      <c r="CR20" s="72"/>
      <c r="CT20" s="72"/>
      <c r="CV20" s="72"/>
      <c r="CX20" s="72"/>
      <c r="CZ20" s="72"/>
      <c r="DB20" s="72"/>
      <c r="DD20" s="72"/>
      <c r="DF20" s="72"/>
      <c r="DH20" s="72"/>
      <c r="DJ20" s="72"/>
      <c r="DL20" s="72"/>
      <c r="DN20" s="72"/>
      <c r="DP20" s="72"/>
      <c r="DR20" s="72"/>
      <c r="DT20" s="72"/>
      <c r="EJ20" s="72"/>
      <c r="EL20" s="72"/>
      <c r="ET20" s="72"/>
      <c r="EV20" s="65"/>
      <c r="EX20" s="1"/>
      <c r="EZ20" s="1"/>
      <c r="FB20" s="65"/>
      <c r="FD20" s="1"/>
      <c r="FF20" s="72"/>
      <c r="FH20" s="1"/>
      <c r="FT20" s="72"/>
      <c r="FZ20" s="72"/>
      <c r="GH20" s="1"/>
      <c r="GJ20" s="1"/>
      <c r="GL20" s="1"/>
      <c r="HE20" s="74">
        <f t="shared" si="14"/>
        <v>0</v>
      </c>
      <c r="HF20" s="74"/>
    </row>
    <row r="21" spans="1:214" s="12" customFormat="1" x14ac:dyDescent="0.25">
      <c r="A21" s="12" t="s">
        <v>131</v>
      </c>
      <c r="B21" s="71">
        <v>56</v>
      </c>
      <c r="D21" s="72">
        <v>25</v>
      </c>
      <c r="E21" s="12">
        <v>4</v>
      </c>
      <c r="F21" s="12" t="s">
        <v>131</v>
      </c>
      <c r="G21" s="1" t="s">
        <v>152</v>
      </c>
      <c r="H21" s="73">
        <v>36465</v>
      </c>
      <c r="I21" s="12" t="s">
        <v>93</v>
      </c>
      <c r="J21" s="12" t="s">
        <v>102</v>
      </c>
      <c r="K21" s="71"/>
      <c r="L21" s="12" t="s">
        <v>95</v>
      </c>
      <c r="M21" s="1"/>
      <c r="N21" s="12" t="str">
        <f>CONCATENATE(B21,J21)</f>
        <v>56W</v>
      </c>
      <c r="O21" s="12" t="str">
        <f>CONCATENATE(B21,J21,I21)</f>
        <v>56WBase</v>
      </c>
      <c r="Q21" s="74">
        <f>+BC21</f>
        <v>0</v>
      </c>
      <c r="R21" s="74">
        <f t="shared" si="25"/>
        <v>0</v>
      </c>
      <c r="S21" s="74"/>
      <c r="T21" s="75">
        <v>37147</v>
      </c>
      <c r="U21" s="75"/>
      <c r="V21" s="78">
        <v>0</v>
      </c>
      <c r="W21" s="75">
        <f t="shared" si="27"/>
        <v>0</v>
      </c>
      <c r="X21" s="75">
        <f t="shared" si="27"/>
        <v>0</v>
      </c>
      <c r="Y21" s="75">
        <f t="shared" si="27"/>
        <v>0</v>
      </c>
      <c r="Z21" s="75">
        <f t="shared" si="27"/>
        <v>0</v>
      </c>
      <c r="AA21" s="75">
        <f t="shared" si="27"/>
        <v>0</v>
      </c>
      <c r="AB21" s="75">
        <f t="shared" si="27"/>
        <v>0</v>
      </c>
      <c r="AC21" s="75">
        <f t="shared" si="27"/>
        <v>0</v>
      </c>
      <c r="AD21" s="75">
        <f t="shared" si="27"/>
        <v>0</v>
      </c>
      <c r="AE21" s="75">
        <f t="shared" si="27"/>
        <v>0</v>
      </c>
      <c r="AF21" s="75">
        <f t="shared" si="27"/>
        <v>0</v>
      </c>
      <c r="AG21" s="75">
        <f t="shared" si="27"/>
        <v>0</v>
      </c>
      <c r="AH21" s="75">
        <f t="shared" si="27"/>
        <v>0</v>
      </c>
      <c r="AI21" s="75">
        <f t="shared" si="27"/>
        <v>0</v>
      </c>
      <c r="AJ21" s="75">
        <f t="shared" si="27"/>
        <v>0</v>
      </c>
      <c r="AK21" s="75">
        <f t="shared" si="27"/>
        <v>0</v>
      </c>
      <c r="AL21" s="75">
        <f t="shared" si="27"/>
        <v>0</v>
      </c>
      <c r="AM21" s="75">
        <f t="shared" si="27"/>
        <v>0</v>
      </c>
      <c r="AN21" s="75">
        <f t="shared" si="27"/>
        <v>0</v>
      </c>
      <c r="AO21" s="75">
        <f t="shared" si="27"/>
        <v>0</v>
      </c>
      <c r="AP21" s="75">
        <f t="shared" si="27"/>
        <v>0</v>
      </c>
      <c r="AQ21" s="75">
        <f t="shared" si="27"/>
        <v>0</v>
      </c>
      <c r="AR21" s="75">
        <f t="shared" si="27"/>
        <v>0</v>
      </c>
      <c r="AS21" s="75">
        <f t="shared" si="27"/>
        <v>0</v>
      </c>
      <c r="AT21" s="75">
        <f t="shared" si="27"/>
        <v>0</v>
      </c>
      <c r="AU21" s="75">
        <f t="shared" si="27"/>
        <v>0</v>
      </c>
      <c r="AV21" s="75">
        <f t="shared" si="27"/>
        <v>0</v>
      </c>
      <c r="AW21" s="75">
        <f t="shared" si="27"/>
        <v>0</v>
      </c>
      <c r="AX21" s="75">
        <f t="shared" si="27"/>
        <v>0</v>
      </c>
      <c r="AY21" s="75">
        <f t="shared" si="21"/>
        <v>0</v>
      </c>
      <c r="AZ21" s="75"/>
      <c r="BA21" s="75"/>
      <c r="BB21" s="75">
        <f t="shared" si="18"/>
        <v>0</v>
      </c>
      <c r="BC21" s="55">
        <f t="shared" si="16"/>
        <v>0</v>
      </c>
      <c r="BD21" s="75">
        <f t="shared" si="9"/>
        <v>0</v>
      </c>
      <c r="BE21" s="75"/>
      <c r="BF21" s="74"/>
      <c r="EV21" s="65"/>
      <c r="EX21" s="1"/>
      <c r="EZ21" s="1"/>
      <c r="FB21" s="65"/>
      <c r="FD21" s="1"/>
      <c r="FH21" s="1"/>
      <c r="GB21" s="72"/>
      <c r="GD21" s="72"/>
      <c r="GF21" s="72"/>
      <c r="GH21" s="1"/>
      <c r="GJ21" s="1"/>
      <c r="GL21" s="1"/>
      <c r="HE21" s="74">
        <f t="shared" si="14"/>
        <v>0</v>
      </c>
      <c r="HF21" s="74"/>
    </row>
    <row r="22" spans="1:214" x14ac:dyDescent="0.25">
      <c r="A22" s="1" t="s">
        <v>135</v>
      </c>
      <c r="B22" s="58" t="s">
        <v>136</v>
      </c>
      <c r="D22" s="14">
        <v>2</v>
      </c>
      <c r="E22" s="1">
        <v>5</v>
      </c>
      <c r="F22" s="1" t="s">
        <v>123</v>
      </c>
      <c r="G22" s="1" t="s">
        <v>108</v>
      </c>
      <c r="H22" s="60">
        <v>36459</v>
      </c>
      <c r="I22" s="1" t="s">
        <v>93</v>
      </c>
      <c r="J22" s="1" t="s">
        <v>94</v>
      </c>
      <c r="L22" s="1" t="s">
        <v>95</v>
      </c>
      <c r="M22" s="50"/>
      <c r="N22" s="1" t="str">
        <f t="shared" si="23"/>
        <v>23NR</v>
      </c>
      <c r="O22" s="1" t="str">
        <f t="shared" si="24"/>
        <v>23NRBase</v>
      </c>
      <c r="Q22" s="22">
        <f t="shared" ref="Q22:Q30" si="28">+BC22</f>
        <v>15052</v>
      </c>
      <c r="R22" s="22">
        <f t="shared" si="25"/>
        <v>15052</v>
      </c>
      <c r="T22" s="63">
        <v>37147</v>
      </c>
      <c r="V22" s="66">
        <v>15052</v>
      </c>
      <c r="W22" s="63">
        <f>V22</f>
        <v>15052</v>
      </c>
      <c r="X22" s="63">
        <f t="shared" ref="X22:AA23" si="29">W22</f>
        <v>15052</v>
      </c>
      <c r="Y22" s="63">
        <f t="shared" si="29"/>
        <v>15052</v>
      </c>
      <c r="Z22" s="63">
        <f t="shared" si="29"/>
        <v>15052</v>
      </c>
      <c r="AA22" s="63">
        <f t="shared" si="29"/>
        <v>15052</v>
      </c>
      <c r="AB22" s="63">
        <f t="shared" ref="AB22:AD23" si="30">AA22</f>
        <v>15052</v>
      </c>
      <c r="AC22" s="63">
        <f t="shared" si="30"/>
        <v>15052</v>
      </c>
      <c r="AD22" s="63">
        <f t="shared" si="30"/>
        <v>15052</v>
      </c>
      <c r="AE22" s="63">
        <f t="shared" ref="AE22:AH23" si="31">AD22</f>
        <v>15052</v>
      </c>
      <c r="AF22" s="63">
        <f t="shared" si="31"/>
        <v>15052</v>
      </c>
      <c r="AG22" s="63">
        <f t="shared" si="31"/>
        <v>15052</v>
      </c>
      <c r="AH22" s="63">
        <f t="shared" si="31"/>
        <v>15052</v>
      </c>
      <c r="AI22" s="63">
        <f t="shared" ref="AI22:AK23" si="32">AH22</f>
        <v>15052</v>
      </c>
      <c r="AJ22" s="63">
        <f t="shared" si="32"/>
        <v>15052</v>
      </c>
      <c r="AK22" s="63">
        <f t="shared" si="32"/>
        <v>15052</v>
      </c>
      <c r="AL22" s="63">
        <f t="shared" ref="AL22:AO23" si="33">AK22</f>
        <v>15052</v>
      </c>
      <c r="AM22" s="63">
        <f t="shared" si="33"/>
        <v>15052</v>
      </c>
      <c r="AN22" s="63">
        <f t="shared" si="33"/>
        <v>15052</v>
      </c>
      <c r="AO22" s="63">
        <f t="shared" si="33"/>
        <v>15052</v>
      </c>
      <c r="AP22" s="63">
        <f t="shared" ref="AP22:AR23" si="34">AO22</f>
        <v>15052</v>
      </c>
      <c r="AQ22" s="63">
        <f t="shared" si="34"/>
        <v>15052</v>
      </c>
      <c r="AR22" s="63">
        <f t="shared" si="34"/>
        <v>15052</v>
      </c>
      <c r="AS22" s="63">
        <f t="shared" ref="AS22:AV23" si="35">AR22</f>
        <v>15052</v>
      </c>
      <c r="AT22" s="63">
        <f t="shared" si="35"/>
        <v>15052</v>
      </c>
      <c r="AU22" s="63">
        <f t="shared" si="35"/>
        <v>15052</v>
      </c>
      <c r="AV22" s="63">
        <f t="shared" si="35"/>
        <v>15052</v>
      </c>
      <c r="AW22" s="63">
        <f>AV22</f>
        <v>15052</v>
      </c>
      <c r="AX22" s="63">
        <f>AW22</f>
        <v>15052</v>
      </c>
      <c r="AY22" s="63">
        <f t="shared" si="21"/>
        <v>15052</v>
      </c>
      <c r="BB22" s="63">
        <f t="shared" ref="BB22:BB30" si="36">SUM(V22:AZ22)</f>
        <v>451560</v>
      </c>
      <c r="BC22" s="55">
        <f t="shared" si="16"/>
        <v>15052</v>
      </c>
      <c r="BD22" s="80">
        <f t="shared" si="9"/>
        <v>15052</v>
      </c>
      <c r="CD22" s="81"/>
      <c r="CF22" s="81"/>
      <c r="CH22" s="81"/>
      <c r="CJ22" s="81"/>
      <c r="CL22" s="81"/>
      <c r="CN22" s="81"/>
      <c r="CP22" s="81"/>
      <c r="CR22" s="81"/>
      <c r="CT22" s="81"/>
      <c r="CV22" s="81"/>
      <c r="CX22" s="81"/>
      <c r="CZ22" s="81"/>
      <c r="DB22" s="81"/>
      <c r="DD22" s="81"/>
      <c r="DF22" s="81"/>
      <c r="DH22" s="81"/>
      <c r="DJ22" s="81"/>
      <c r="DL22" s="81"/>
      <c r="DN22" s="81"/>
      <c r="DP22" s="81"/>
      <c r="DR22" s="81"/>
      <c r="DT22" s="81"/>
      <c r="EJ22" s="81"/>
      <c r="EL22" s="81"/>
      <c r="ET22" s="81"/>
      <c r="EV22" s="68"/>
      <c r="EX22" s="67"/>
      <c r="EZ22" s="67"/>
      <c r="FB22" s="68"/>
      <c r="FD22" s="67"/>
      <c r="FF22" s="81"/>
      <c r="FH22" s="59"/>
      <c r="FT22" s="81"/>
      <c r="FV22" s="12"/>
      <c r="FX22" s="12"/>
      <c r="FZ22" s="81"/>
      <c r="GB22" s="12"/>
      <c r="GD22" s="12"/>
      <c r="GF22" s="12"/>
      <c r="GH22" s="67"/>
      <c r="GJ22" s="67"/>
      <c r="GL22" s="67"/>
      <c r="GN22" s="12"/>
      <c r="GP22" s="12"/>
      <c r="GR22" s="12"/>
      <c r="GT22" s="12"/>
      <c r="GV22" s="12"/>
      <c r="GX22" s="12"/>
      <c r="GZ22" s="12"/>
      <c r="HB22" s="12"/>
      <c r="HD22" s="12"/>
      <c r="HE22" s="22">
        <f t="shared" si="14"/>
        <v>-15052</v>
      </c>
      <c r="HF22" s="22"/>
    </row>
    <row r="23" spans="1:214" x14ac:dyDescent="0.25">
      <c r="A23" s="1" t="s">
        <v>135</v>
      </c>
      <c r="B23" s="58" t="s">
        <v>136</v>
      </c>
      <c r="D23" s="14">
        <v>7</v>
      </c>
      <c r="E23" s="1">
        <v>5</v>
      </c>
      <c r="F23" s="1" t="s">
        <v>123</v>
      </c>
      <c r="G23" s="1" t="s">
        <v>108</v>
      </c>
      <c r="H23" s="60">
        <v>36459</v>
      </c>
      <c r="I23" s="1" t="s">
        <v>93</v>
      </c>
      <c r="J23" s="1" t="s">
        <v>94</v>
      </c>
      <c r="L23" s="1" t="s">
        <v>95</v>
      </c>
      <c r="M23" s="50"/>
      <c r="N23" s="1" t="str">
        <f t="shared" si="23"/>
        <v>23NR</v>
      </c>
      <c r="O23" s="1" t="str">
        <f t="shared" si="24"/>
        <v>23NRBase</v>
      </c>
      <c r="Q23" s="22">
        <f t="shared" si="28"/>
        <v>6559</v>
      </c>
      <c r="R23" s="22">
        <f t="shared" si="25"/>
        <v>6559</v>
      </c>
      <c r="T23" s="63">
        <v>37147</v>
      </c>
      <c r="V23" s="66">
        <v>6559</v>
      </c>
      <c r="W23" s="63">
        <f>V23</f>
        <v>6559</v>
      </c>
      <c r="X23" s="63">
        <f t="shared" si="29"/>
        <v>6559</v>
      </c>
      <c r="Y23" s="63">
        <f t="shared" si="29"/>
        <v>6559</v>
      </c>
      <c r="Z23" s="63">
        <f t="shared" si="29"/>
        <v>6559</v>
      </c>
      <c r="AA23" s="63">
        <f t="shared" si="29"/>
        <v>6559</v>
      </c>
      <c r="AB23" s="63">
        <f t="shared" si="30"/>
        <v>6559</v>
      </c>
      <c r="AC23" s="63">
        <f t="shared" si="30"/>
        <v>6559</v>
      </c>
      <c r="AD23" s="63">
        <f t="shared" si="30"/>
        <v>6559</v>
      </c>
      <c r="AE23" s="63">
        <f t="shared" si="31"/>
        <v>6559</v>
      </c>
      <c r="AF23" s="63">
        <f t="shared" si="31"/>
        <v>6559</v>
      </c>
      <c r="AG23" s="63">
        <f t="shared" si="31"/>
        <v>6559</v>
      </c>
      <c r="AH23" s="63">
        <f t="shared" si="31"/>
        <v>6559</v>
      </c>
      <c r="AI23" s="63">
        <f t="shared" si="32"/>
        <v>6559</v>
      </c>
      <c r="AJ23" s="63">
        <f t="shared" si="32"/>
        <v>6559</v>
      </c>
      <c r="AK23" s="63">
        <f t="shared" si="32"/>
        <v>6559</v>
      </c>
      <c r="AL23" s="63">
        <f t="shared" si="33"/>
        <v>6559</v>
      </c>
      <c r="AM23" s="63">
        <f t="shared" si="33"/>
        <v>6559</v>
      </c>
      <c r="AN23" s="63">
        <f t="shared" si="33"/>
        <v>6559</v>
      </c>
      <c r="AO23" s="63">
        <f t="shared" si="33"/>
        <v>6559</v>
      </c>
      <c r="AP23" s="63">
        <f t="shared" si="34"/>
        <v>6559</v>
      </c>
      <c r="AQ23" s="63">
        <f t="shared" si="34"/>
        <v>6559</v>
      </c>
      <c r="AR23" s="63">
        <f t="shared" si="34"/>
        <v>6559</v>
      </c>
      <c r="AS23" s="63">
        <f t="shared" si="35"/>
        <v>6559</v>
      </c>
      <c r="AT23" s="63">
        <f t="shared" si="35"/>
        <v>6559</v>
      </c>
      <c r="AU23" s="63">
        <f t="shared" si="35"/>
        <v>6559</v>
      </c>
      <c r="AV23" s="63">
        <f t="shared" si="35"/>
        <v>6559</v>
      </c>
      <c r="AW23" s="63">
        <f>AV23</f>
        <v>6559</v>
      </c>
      <c r="AX23" s="63">
        <f>AW23</f>
        <v>6559</v>
      </c>
      <c r="AY23" s="63">
        <f t="shared" si="21"/>
        <v>6559</v>
      </c>
      <c r="BB23" s="63">
        <f t="shared" si="36"/>
        <v>196770</v>
      </c>
      <c r="BC23" s="55">
        <f t="shared" si="16"/>
        <v>6559</v>
      </c>
      <c r="BD23" s="80">
        <f t="shared" si="9"/>
        <v>6559</v>
      </c>
      <c r="EV23" s="68"/>
      <c r="EX23" s="67"/>
      <c r="EZ23" s="67"/>
      <c r="FB23" s="68"/>
      <c r="FD23" s="67"/>
      <c r="FV23" s="72"/>
      <c r="FX23" s="72"/>
      <c r="GH23" s="67"/>
      <c r="GJ23" s="67"/>
      <c r="GL23" s="67"/>
      <c r="GN23" s="72"/>
      <c r="GP23" s="72"/>
      <c r="GR23" s="72"/>
      <c r="GT23" s="72"/>
      <c r="GV23" s="72"/>
      <c r="GX23" s="72"/>
      <c r="GZ23" s="72"/>
      <c r="HB23" s="72"/>
      <c r="HD23" s="72"/>
      <c r="HE23" s="22">
        <f t="shared" si="14"/>
        <v>-6559</v>
      </c>
      <c r="HF23" s="22"/>
    </row>
    <row r="24" spans="1:214" x14ac:dyDescent="0.25">
      <c r="A24" s="1" t="s">
        <v>140</v>
      </c>
      <c r="B24" s="58">
        <v>23</v>
      </c>
      <c r="D24" s="14">
        <v>1</v>
      </c>
      <c r="E24" s="1">
        <v>7</v>
      </c>
      <c r="F24" s="1" t="s">
        <v>123</v>
      </c>
      <c r="G24" s="1" t="s">
        <v>108</v>
      </c>
      <c r="H24" s="60">
        <v>36459</v>
      </c>
      <c r="I24" s="1" t="s">
        <v>93</v>
      </c>
      <c r="J24" s="1" t="s">
        <v>94</v>
      </c>
      <c r="L24" s="1" t="s">
        <v>95</v>
      </c>
      <c r="N24" s="1" t="str">
        <f t="shared" si="23"/>
        <v>23R</v>
      </c>
      <c r="O24" s="1" t="str">
        <f t="shared" si="24"/>
        <v>23RBase</v>
      </c>
      <c r="Q24" s="22">
        <f t="shared" si="28"/>
        <v>3740</v>
      </c>
      <c r="R24" s="22">
        <f t="shared" si="25"/>
        <v>3740</v>
      </c>
      <c r="T24" s="63">
        <v>37147</v>
      </c>
      <c r="V24" s="66">
        <v>3740</v>
      </c>
      <c r="W24" s="63">
        <f t="shared" ref="W24:W30" si="37">V24</f>
        <v>3740</v>
      </c>
      <c r="X24" s="63">
        <f t="shared" ref="X24:AA30" si="38">W24</f>
        <v>3740</v>
      </c>
      <c r="Y24" s="63">
        <f t="shared" si="38"/>
        <v>3740</v>
      </c>
      <c r="Z24" s="63">
        <f t="shared" si="38"/>
        <v>3740</v>
      </c>
      <c r="AA24" s="63">
        <f t="shared" si="38"/>
        <v>3740</v>
      </c>
      <c r="AB24" s="63">
        <f t="shared" ref="AB24:AD30" si="39">AA24</f>
        <v>3740</v>
      </c>
      <c r="AC24" s="63">
        <f t="shared" si="39"/>
        <v>3740</v>
      </c>
      <c r="AD24" s="63">
        <f t="shared" si="39"/>
        <v>3740</v>
      </c>
      <c r="AE24" s="63">
        <f t="shared" ref="AE24:AH30" si="40">AD24</f>
        <v>3740</v>
      </c>
      <c r="AF24" s="63">
        <f t="shared" si="40"/>
        <v>3740</v>
      </c>
      <c r="AG24" s="63">
        <f t="shared" si="40"/>
        <v>3740</v>
      </c>
      <c r="AH24" s="63">
        <f t="shared" si="40"/>
        <v>3740</v>
      </c>
      <c r="AI24" s="63">
        <f t="shared" ref="AI24:AK30" si="41">AH24</f>
        <v>3740</v>
      </c>
      <c r="AJ24" s="63">
        <f t="shared" si="41"/>
        <v>3740</v>
      </c>
      <c r="AK24" s="63">
        <f t="shared" si="41"/>
        <v>3740</v>
      </c>
      <c r="AL24" s="63">
        <f t="shared" ref="AL24:AO30" si="42">AK24</f>
        <v>3740</v>
      </c>
      <c r="AM24" s="63">
        <f t="shared" si="42"/>
        <v>3740</v>
      </c>
      <c r="AN24" s="63">
        <f t="shared" si="42"/>
        <v>3740</v>
      </c>
      <c r="AO24" s="63">
        <f t="shared" si="42"/>
        <v>3740</v>
      </c>
      <c r="AP24" s="63">
        <f t="shared" ref="AP24:AR30" si="43">AO24</f>
        <v>3740</v>
      </c>
      <c r="AQ24" s="63">
        <f t="shared" si="43"/>
        <v>3740</v>
      </c>
      <c r="AR24" s="63">
        <f t="shared" si="43"/>
        <v>3740</v>
      </c>
      <c r="AS24" s="63">
        <f t="shared" ref="AS24:AT30" si="44">AR24</f>
        <v>3740</v>
      </c>
      <c r="AT24" s="63">
        <f t="shared" si="44"/>
        <v>3740</v>
      </c>
      <c r="AU24" s="63">
        <f t="shared" ref="AU24:AU30" si="45">AT24</f>
        <v>3740</v>
      </c>
      <c r="AV24" s="63">
        <f t="shared" ref="AV24:AV30" si="46">AU24</f>
        <v>3740</v>
      </c>
      <c r="AW24" s="63">
        <f t="shared" ref="AW24:AX30" si="47">AV24</f>
        <v>3740</v>
      </c>
      <c r="AX24" s="63">
        <f t="shared" si="47"/>
        <v>3740</v>
      </c>
      <c r="AY24" s="63">
        <f t="shared" ref="AY24:AY30" si="48">AX24</f>
        <v>3740</v>
      </c>
      <c r="BB24" s="63">
        <f t="shared" si="36"/>
        <v>112200</v>
      </c>
      <c r="BC24" s="55">
        <f t="shared" si="16"/>
        <v>3740</v>
      </c>
      <c r="BD24" s="80">
        <f t="shared" si="9"/>
        <v>3740</v>
      </c>
      <c r="EV24" s="19"/>
      <c r="EX24" s="14"/>
      <c r="EZ24" s="14"/>
      <c r="FB24" s="19"/>
      <c r="FD24" s="14"/>
      <c r="FV24" s="12"/>
      <c r="FX24" s="12"/>
      <c r="GH24" s="14"/>
      <c r="GJ24" s="14"/>
      <c r="GL24" s="14"/>
      <c r="GN24" s="12"/>
      <c r="GP24" s="12"/>
      <c r="GR24" s="12"/>
      <c r="GT24" s="12"/>
      <c r="GV24" s="12"/>
      <c r="GX24" s="12"/>
      <c r="GZ24" s="12"/>
      <c r="HB24" s="12"/>
      <c r="HD24" s="12"/>
      <c r="HE24" s="22">
        <f t="shared" si="14"/>
        <v>-3740</v>
      </c>
      <c r="HF24" s="22"/>
    </row>
    <row r="25" spans="1:214" x14ac:dyDescent="0.25">
      <c r="A25" s="1" t="s">
        <v>140</v>
      </c>
      <c r="B25" s="58">
        <v>23</v>
      </c>
      <c r="D25" s="14">
        <v>3</v>
      </c>
      <c r="E25" s="1">
        <v>7</v>
      </c>
      <c r="F25" s="1" t="s">
        <v>123</v>
      </c>
      <c r="G25" s="1" t="s">
        <v>108</v>
      </c>
      <c r="H25" s="60">
        <v>36459</v>
      </c>
      <c r="I25" s="1" t="s">
        <v>93</v>
      </c>
      <c r="J25" s="1" t="s">
        <v>94</v>
      </c>
      <c r="L25" s="1" t="s">
        <v>95</v>
      </c>
      <c r="M25" s="50"/>
      <c r="N25" s="1" t="str">
        <f t="shared" ref="N25:N30" si="49">CONCATENATE(B25,J25)</f>
        <v>23R</v>
      </c>
      <c r="O25" s="1" t="str">
        <f t="shared" ref="O25:O30" si="50">CONCATENATE(B25,J25,I25)</f>
        <v>23RBase</v>
      </c>
      <c r="Q25" s="22">
        <f t="shared" si="28"/>
        <v>2644</v>
      </c>
      <c r="R25" s="22">
        <f t="shared" ref="R25:R30" si="51">+Q25</f>
        <v>2644</v>
      </c>
      <c r="T25" s="63">
        <v>37147</v>
      </c>
      <c r="V25" s="66">
        <v>2644</v>
      </c>
      <c r="W25" s="63">
        <f t="shared" si="37"/>
        <v>2644</v>
      </c>
      <c r="X25" s="63">
        <f t="shared" si="38"/>
        <v>2644</v>
      </c>
      <c r="Y25" s="63">
        <f t="shared" si="38"/>
        <v>2644</v>
      </c>
      <c r="Z25" s="63">
        <f t="shared" si="38"/>
        <v>2644</v>
      </c>
      <c r="AA25" s="63">
        <f t="shared" si="38"/>
        <v>2644</v>
      </c>
      <c r="AB25" s="63">
        <f t="shared" si="39"/>
        <v>2644</v>
      </c>
      <c r="AC25" s="63">
        <f t="shared" si="39"/>
        <v>2644</v>
      </c>
      <c r="AD25" s="63">
        <f t="shared" si="39"/>
        <v>2644</v>
      </c>
      <c r="AE25" s="63">
        <f t="shared" si="40"/>
        <v>2644</v>
      </c>
      <c r="AF25" s="63">
        <f t="shared" si="40"/>
        <v>2644</v>
      </c>
      <c r="AG25" s="63">
        <f t="shared" si="40"/>
        <v>2644</v>
      </c>
      <c r="AH25" s="63">
        <f t="shared" si="40"/>
        <v>2644</v>
      </c>
      <c r="AI25" s="63">
        <f t="shared" si="41"/>
        <v>2644</v>
      </c>
      <c r="AJ25" s="63">
        <f t="shared" si="41"/>
        <v>2644</v>
      </c>
      <c r="AK25" s="63">
        <f t="shared" si="41"/>
        <v>2644</v>
      </c>
      <c r="AL25" s="63">
        <f t="shared" si="42"/>
        <v>2644</v>
      </c>
      <c r="AM25" s="63">
        <f t="shared" si="42"/>
        <v>2644</v>
      </c>
      <c r="AN25" s="63">
        <f t="shared" si="42"/>
        <v>2644</v>
      </c>
      <c r="AO25" s="63">
        <f t="shared" si="42"/>
        <v>2644</v>
      </c>
      <c r="AP25" s="63">
        <f t="shared" si="43"/>
        <v>2644</v>
      </c>
      <c r="AQ25" s="63">
        <f t="shared" si="43"/>
        <v>2644</v>
      </c>
      <c r="AR25" s="63">
        <f t="shared" si="43"/>
        <v>2644</v>
      </c>
      <c r="AS25" s="63">
        <f t="shared" si="44"/>
        <v>2644</v>
      </c>
      <c r="AT25" s="63">
        <f t="shared" si="44"/>
        <v>2644</v>
      </c>
      <c r="AU25" s="63">
        <f t="shared" si="45"/>
        <v>2644</v>
      </c>
      <c r="AV25" s="63">
        <f t="shared" si="46"/>
        <v>2644</v>
      </c>
      <c r="AW25" s="63">
        <f t="shared" si="47"/>
        <v>2644</v>
      </c>
      <c r="AX25" s="63">
        <f t="shared" si="47"/>
        <v>2644</v>
      </c>
      <c r="AY25" s="63">
        <f t="shared" si="48"/>
        <v>2644</v>
      </c>
      <c r="BB25" s="63">
        <f t="shared" si="36"/>
        <v>79320</v>
      </c>
      <c r="BC25" s="55">
        <f t="shared" si="16"/>
        <v>2644</v>
      </c>
      <c r="BD25" s="80">
        <f t="shared" si="9"/>
        <v>2644</v>
      </c>
      <c r="HE25" s="22">
        <f t="shared" si="14"/>
        <v>-2644</v>
      </c>
      <c r="HF25" s="22"/>
    </row>
    <row r="26" spans="1:214" x14ac:dyDescent="0.25">
      <c r="A26" s="1" t="s">
        <v>140</v>
      </c>
      <c r="B26" s="58">
        <v>23</v>
      </c>
      <c r="D26" s="14">
        <v>4</v>
      </c>
      <c r="E26" s="1">
        <v>7</v>
      </c>
      <c r="F26" s="1" t="s">
        <v>123</v>
      </c>
      <c r="G26" s="1" t="s">
        <v>108</v>
      </c>
      <c r="H26" s="60">
        <v>36459</v>
      </c>
      <c r="I26" s="1" t="s">
        <v>93</v>
      </c>
      <c r="J26" s="1" t="s">
        <v>94</v>
      </c>
      <c r="L26" s="1" t="s">
        <v>95</v>
      </c>
      <c r="M26" s="50"/>
      <c r="N26" s="1" t="str">
        <f t="shared" si="49"/>
        <v>23R</v>
      </c>
      <c r="O26" s="1" t="str">
        <f t="shared" si="50"/>
        <v>23RBase</v>
      </c>
      <c r="Q26" s="22">
        <f t="shared" si="28"/>
        <v>4115</v>
      </c>
      <c r="R26" s="22">
        <f t="shared" si="51"/>
        <v>4115</v>
      </c>
      <c r="T26" s="63">
        <v>37147</v>
      </c>
      <c r="V26" s="66">
        <v>4115</v>
      </c>
      <c r="W26" s="63">
        <f t="shared" si="37"/>
        <v>4115</v>
      </c>
      <c r="X26" s="63">
        <f t="shared" si="38"/>
        <v>4115</v>
      </c>
      <c r="Y26" s="63">
        <f t="shared" si="38"/>
        <v>4115</v>
      </c>
      <c r="Z26" s="63">
        <f t="shared" si="38"/>
        <v>4115</v>
      </c>
      <c r="AA26" s="63">
        <f t="shared" si="38"/>
        <v>4115</v>
      </c>
      <c r="AB26" s="63">
        <f t="shared" si="39"/>
        <v>4115</v>
      </c>
      <c r="AC26" s="63">
        <f t="shared" si="39"/>
        <v>4115</v>
      </c>
      <c r="AD26" s="63">
        <f t="shared" si="39"/>
        <v>4115</v>
      </c>
      <c r="AE26" s="63">
        <f t="shared" si="40"/>
        <v>4115</v>
      </c>
      <c r="AF26" s="63">
        <f t="shared" si="40"/>
        <v>4115</v>
      </c>
      <c r="AG26" s="63">
        <f t="shared" si="40"/>
        <v>4115</v>
      </c>
      <c r="AH26" s="63">
        <f t="shared" si="40"/>
        <v>4115</v>
      </c>
      <c r="AI26" s="63">
        <f t="shared" si="41"/>
        <v>4115</v>
      </c>
      <c r="AJ26" s="63">
        <f t="shared" si="41"/>
        <v>4115</v>
      </c>
      <c r="AK26" s="63">
        <f t="shared" si="41"/>
        <v>4115</v>
      </c>
      <c r="AL26" s="63">
        <f t="shared" si="42"/>
        <v>4115</v>
      </c>
      <c r="AM26" s="63">
        <f t="shared" si="42"/>
        <v>4115</v>
      </c>
      <c r="AN26" s="63">
        <f t="shared" si="42"/>
        <v>4115</v>
      </c>
      <c r="AO26" s="63">
        <f t="shared" si="42"/>
        <v>4115</v>
      </c>
      <c r="AP26" s="63">
        <f t="shared" si="43"/>
        <v>4115</v>
      </c>
      <c r="AQ26" s="63">
        <f t="shared" si="43"/>
        <v>4115</v>
      </c>
      <c r="AR26" s="63">
        <f t="shared" si="43"/>
        <v>4115</v>
      </c>
      <c r="AS26" s="63">
        <f t="shared" si="44"/>
        <v>4115</v>
      </c>
      <c r="AT26" s="63">
        <f t="shared" si="44"/>
        <v>4115</v>
      </c>
      <c r="AU26" s="63">
        <f t="shared" si="45"/>
        <v>4115</v>
      </c>
      <c r="AV26" s="63">
        <f t="shared" si="46"/>
        <v>4115</v>
      </c>
      <c r="AW26" s="63">
        <f t="shared" si="47"/>
        <v>4115</v>
      </c>
      <c r="AX26" s="63">
        <f t="shared" si="47"/>
        <v>4115</v>
      </c>
      <c r="AY26" s="63">
        <f t="shared" si="48"/>
        <v>4115</v>
      </c>
      <c r="BB26" s="63">
        <f t="shared" si="36"/>
        <v>123450</v>
      </c>
      <c r="BC26" s="55">
        <f t="shared" si="16"/>
        <v>4115</v>
      </c>
      <c r="BD26" s="80">
        <f t="shared" si="9"/>
        <v>4115</v>
      </c>
      <c r="EV26" s="77"/>
      <c r="EX26" s="12"/>
      <c r="EZ26" s="12"/>
      <c r="FB26" s="77"/>
      <c r="FD26" s="12"/>
      <c r="GB26" s="81"/>
      <c r="GD26" s="81"/>
      <c r="GF26" s="81"/>
      <c r="GH26" s="12"/>
      <c r="GJ26" s="12"/>
      <c r="GL26" s="12"/>
      <c r="HE26" s="22">
        <f t="shared" si="14"/>
        <v>-4115</v>
      </c>
      <c r="HF26" s="22"/>
    </row>
    <row r="27" spans="1:214" x14ac:dyDescent="0.25">
      <c r="A27" s="1" t="s">
        <v>140</v>
      </c>
      <c r="B27" s="58">
        <v>23</v>
      </c>
      <c r="D27" s="14">
        <v>5</v>
      </c>
      <c r="E27" s="1">
        <v>7</v>
      </c>
      <c r="F27" s="1" t="s">
        <v>123</v>
      </c>
      <c r="G27" s="1" t="s">
        <v>108</v>
      </c>
      <c r="H27" s="60">
        <v>36459</v>
      </c>
      <c r="I27" s="1" t="s">
        <v>93</v>
      </c>
      <c r="J27" s="1" t="s">
        <v>94</v>
      </c>
      <c r="L27" s="1" t="s">
        <v>95</v>
      </c>
      <c r="M27" s="50"/>
      <c r="N27" s="1" t="str">
        <f t="shared" si="49"/>
        <v>23R</v>
      </c>
      <c r="O27" s="1" t="str">
        <f t="shared" si="50"/>
        <v>23RBase</v>
      </c>
      <c r="Q27" s="22">
        <f t="shared" si="28"/>
        <v>15982</v>
      </c>
      <c r="R27" s="22">
        <f t="shared" si="51"/>
        <v>15982</v>
      </c>
      <c r="T27" s="63">
        <v>37147</v>
      </c>
      <c r="V27" s="66">
        <v>15982</v>
      </c>
      <c r="W27" s="63">
        <f t="shared" si="37"/>
        <v>15982</v>
      </c>
      <c r="X27" s="63">
        <f t="shared" si="38"/>
        <v>15982</v>
      </c>
      <c r="Y27" s="63">
        <f t="shared" si="38"/>
        <v>15982</v>
      </c>
      <c r="Z27" s="63">
        <f t="shared" si="38"/>
        <v>15982</v>
      </c>
      <c r="AA27" s="63">
        <f t="shared" si="38"/>
        <v>15982</v>
      </c>
      <c r="AB27" s="63">
        <f t="shared" si="39"/>
        <v>15982</v>
      </c>
      <c r="AC27" s="63">
        <f t="shared" si="39"/>
        <v>15982</v>
      </c>
      <c r="AD27" s="63">
        <f t="shared" si="39"/>
        <v>15982</v>
      </c>
      <c r="AE27" s="63">
        <f t="shared" si="40"/>
        <v>15982</v>
      </c>
      <c r="AF27" s="63">
        <f t="shared" si="40"/>
        <v>15982</v>
      </c>
      <c r="AG27" s="63">
        <f t="shared" si="40"/>
        <v>15982</v>
      </c>
      <c r="AH27" s="63">
        <f t="shared" si="40"/>
        <v>15982</v>
      </c>
      <c r="AI27" s="63">
        <f t="shared" si="41"/>
        <v>15982</v>
      </c>
      <c r="AJ27" s="63">
        <f t="shared" si="41"/>
        <v>15982</v>
      </c>
      <c r="AK27" s="63">
        <f t="shared" si="41"/>
        <v>15982</v>
      </c>
      <c r="AL27" s="63">
        <f t="shared" si="42"/>
        <v>15982</v>
      </c>
      <c r="AM27" s="63">
        <f t="shared" si="42"/>
        <v>15982</v>
      </c>
      <c r="AN27" s="63">
        <f t="shared" si="42"/>
        <v>15982</v>
      </c>
      <c r="AO27" s="63">
        <f t="shared" si="42"/>
        <v>15982</v>
      </c>
      <c r="AP27" s="63">
        <f t="shared" si="43"/>
        <v>15982</v>
      </c>
      <c r="AQ27" s="63">
        <f t="shared" si="43"/>
        <v>15982</v>
      </c>
      <c r="AR27" s="63">
        <f t="shared" si="43"/>
        <v>15982</v>
      </c>
      <c r="AS27" s="63">
        <f t="shared" si="44"/>
        <v>15982</v>
      </c>
      <c r="AT27" s="63">
        <f t="shared" si="44"/>
        <v>15982</v>
      </c>
      <c r="AU27" s="63">
        <f t="shared" si="45"/>
        <v>15982</v>
      </c>
      <c r="AV27" s="63">
        <f t="shared" si="46"/>
        <v>15982</v>
      </c>
      <c r="AW27" s="63">
        <f t="shared" si="47"/>
        <v>15982</v>
      </c>
      <c r="AX27" s="63">
        <f t="shared" si="47"/>
        <v>15982</v>
      </c>
      <c r="AY27" s="63">
        <f t="shared" si="48"/>
        <v>15982</v>
      </c>
      <c r="BB27" s="63">
        <f t="shared" si="36"/>
        <v>479460</v>
      </c>
      <c r="BC27" s="55">
        <f t="shared" si="16"/>
        <v>15982</v>
      </c>
      <c r="BD27" s="80">
        <f t="shared" si="9"/>
        <v>15982</v>
      </c>
      <c r="EV27" s="77"/>
      <c r="EX27" s="12"/>
      <c r="EZ27" s="12"/>
      <c r="FB27" s="77"/>
      <c r="FD27" s="12"/>
      <c r="GB27" s="81"/>
      <c r="GD27" s="81"/>
      <c r="GF27" s="81"/>
      <c r="GH27" s="12"/>
      <c r="GJ27" s="12"/>
      <c r="GL27" s="12"/>
      <c r="HE27" s="22">
        <f t="shared" si="14"/>
        <v>-15982</v>
      </c>
      <c r="HF27" s="22"/>
    </row>
    <row r="28" spans="1:214" x14ac:dyDescent="0.25">
      <c r="A28" s="1" t="s">
        <v>140</v>
      </c>
      <c r="B28" s="58">
        <v>23</v>
      </c>
      <c r="D28" s="14">
        <v>6</v>
      </c>
      <c r="E28" s="1">
        <v>7</v>
      </c>
      <c r="F28" s="1" t="s">
        <v>123</v>
      </c>
      <c r="G28" s="1" t="s">
        <v>108</v>
      </c>
      <c r="H28" s="60">
        <v>36459</v>
      </c>
      <c r="I28" s="1" t="s">
        <v>93</v>
      </c>
      <c r="J28" s="1" t="s">
        <v>94</v>
      </c>
      <c r="L28" s="1" t="s">
        <v>95</v>
      </c>
      <c r="N28" s="1" t="str">
        <f t="shared" si="49"/>
        <v>23R</v>
      </c>
      <c r="O28" s="1" t="str">
        <f t="shared" si="50"/>
        <v>23RBase</v>
      </c>
      <c r="Q28" s="22">
        <f t="shared" si="28"/>
        <v>3354</v>
      </c>
      <c r="R28" s="22">
        <f t="shared" si="51"/>
        <v>3354</v>
      </c>
      <c r="T28" s="63">
        <v>37147</v>
      </c>
      <c r="V28" s="66">
        <v>3354</v>
      </c>
      <c r="W28" s="63">
        <f t="shared" si="37"/>
        <v>3354</v>
      </c>
      <c r="X28" s="63">
        <f t="shared" si="38"/>
        <v>3354</v>
      </c>
      <c r="Y28" s="63">
        <f t="shared" si="38"/>
        <v>3354</v>
      </c>
      <c r="Z28" s="63">
        <f t="shared" si="38"/>
        <v>3354</v>
      </c>
      <c r="AA28" s="63">
        <f t="shared" si="38"/>
        <v>3354</v>
      </c>
      <c r="AB28" s="63">
        <f t="shared" si="39"/>
        <v>3354</v>
      </c>
      <c r="AC28" s="63">
        <f t="shared" si="39"/>
        <v>3354</v>
      </c>
      <c r="AD28" s="63">
        <f t="shared" si="39"/>
        <v>3354</v>
      </c>
      <c r="AE28" s="63">
        <f t="shared" si="40"/>
        <v>3354</v>
      </c>
      <c r="AF28" s="63">
        <f t="shared" si="40"/>
        <v>3354</v>
      </c>
      <c r="AG28" s="63">
        <f t="shared" si="40"/>
        <v>3354</v>
      </c>
      <c r="AH28" s="63">
        <f t="shared" si="40"/>
        <v>3354</v>
      </c>
      <c r="AI28" s="63">
        <f t="shared" si="41"/>
        <v>3354</v>
      </c>
      <c r="AJ28" s="63">
        <f t="shared" si="41"/>
        <v>3354</v>
      </c>
      <c r="AK28" s="63">
        <f t="shared" si="41"/>
        <v>3354</v>
      </c>
      <c r="AL28" s="63">
        <f t="shared" si="42"/>
        <v>3354</v>
      </c>
      <c r="AM28" s="63">
        <f t="shared" si="42"/>
        <v>3354</v>
      </c>
      <c r="AN28" s="63">
        <f t="shared" si="42"/>
        <v>3354</v>
      </c>
      <c r="AO28" s="63">
        <f t="shared" si="42"/>
        <v>3354</v>
      </c>
      <c r="AP28" s="63">
        <f t="shared" si="43"/>
        <v>3354</v>
      </c>
      <c r="AQ28" s="63">
        <f t="shared" si="43"/>
        <v>3354</v>
      </c>
      <c r="AR28" s="63">
        <f t="shared" si="43"/>
        <v>3354</v>
      </c>
      <c r="AS28" s="63">
        <f t="shared" si="44"/>
        <v>3354</v>
      </c>
      <c r="AT28" s="63">
        <f t="shared" si="44"/>
        <v>3354</v>
      </c>
      <c r="AU28" s="63">
        <f t="shared" si="45"/>
        <v>3354</v>
      </c>
      <c r="AV28" s="63">
        <f t="shared" si="46"/>
        <v>3354</v>
      </c>
      <c r="AW28" s="63">
        <f t="shared" si="47"/>
        <v>3354</v>
      </c>
      <c r="AX28" s="63">
        <f t="shared" si="47"/>
        <v>3354</v>
      </c>
      <c r="AY28" s="63">
        <f t="shared" si="48"/>
        <v>3354</v>
      </c>
      <c r="BB28" s="63">
        <f t="shared" si="36"/>
        <v>100620</v>
      </c>
      <c r="BC28" s="55">
        <f t="shared" si="16"/>
        <v>3354</v>
      </c>
      <c r="BD28" s="80">
        <f t="shared" si="9"/>
        <v>3354</v>
      </c>
      <c r="EV28" s="77"/>
      <c r="EX28" s="12"/>
      <c r="EZ28" s="12"/>
      <c r="FB28" s="77"/>
      <c r="FD28" s="12"/>
      <c r="GH28" s="12"/>
      <c r="GJ28" s="12"/>
      <c r="GL28" s="12"/>
      <c r="HE28" s="22">
        <f t="shared" si="14"/>
        <v>-3354</v>
      </c>
      <c r="HF28" s="22"/>
    </row>
    <row r="29" spans="1:214" x14ac:dyDescent="0.25">
      <c r="A29" s="1" t="s">
        <v>140</v>
      </c>
      <c r="B29" s="58">
        <v>23</v>
      </c>
      <c r="D29" s="14">
        <v>8</v>
      </c>
      <c r="E29" s="1">
        <v>7</v>
      </c>
      <c r="F29" s="1" t="s">
        <v>123</v>
      </c>
      <c r="G29" s="1" t="s">
        <v>108</v>
      </c>
      <c r="H29" s="60">
        <v>36459</v>
      </c>
      <c r="I29" s="1" t="s">
        <v>93</v>
      </c>
      <c r="J29" s="1" t="s">
        <v>94</v>
      </c>
      <c r="L29" s="1" t="s">
        <v>95</v>
      </c>
      <c r="N29" s="1" t="str">
        <f t="shared" si="49"/>
        <v>23R</v>
      </c>
      <c r="O29" s="1" t="str">
        <f t="shared" si="50"/>
        <v>23RBase</v>
      </c>
      <c r="Q29" s="22">
        <f t="shared" si="28"/>
        <v>5649</v>
      </c>
      <c r="R29" s="22">
        <f t="shared" si="51"/>
        <v>5649</v>
      </c>
      <c r="T29" s="63">
        <v>37147</v>
      </c>
      <c r="V29" s="66">
        <v>5649</v>
      </c>
      <c r="W29" s="63">
        <f t="shared" si="37"/>
        <v>5649</v>
      </c>
      <c r="X29" s="63">
        <f t="shared" si="38"/>
        <v>5649</v>
      </c>
      <c r="Y29" s="63">
        <f t="shared" si="38"/>
        <v>5649</v>
      </c>
      <c r="Z29" s="63">
        <f t="shared" si="38"/>
        <v>5649</v>
      </c>
      <c r="AA29" s="63">
        <f t="shared" si="38"/>
        <v>5649</v>
      </c>
      <c r="AB29" s="63">
        <f t="shared" si="39"/>
        <v>5649</v>
      </c>
      <c r="AC29" s="63">
        <f t="shared" si="39"/>
        <v>5649</v>
      </c>
      <c r="AD29" s="63">
        <f t="shared" si="39"/>
        <v>5649</v>
      </c>
      <c r="AE29" s="63">
        <f t="shared" si="40"/>
        <v>5649</v>
      </c>
      <c r="AF29" s="63">
        <f t="shared" si="40"/>
        <v>5649</v>
      </c>
      <c r="AG29" s="63">
        <f t="shared" si="40"/>
        <v>5649</v>
      </c>
      <c r="AH29" s="63">
        <f t="shared" si="40"/>
        <v>5649</v>
      </c>
      <c r="AI29" s="63">
        <f t="shared" si="41"/>
        <v>5649</v>
      </c>
      <c r="AJ29" s="63">
        <f t="shared" si="41"/>
        <v>5649</v>
      </c>
      <c r="AK29" s="63">
        <f t="shared" si="41"/>
        <v>5649</v>
      </c>
      <c r="AL29" s="63">
        <f t="shared" si="42"/>
        <v>5649</v>
      </c>
      <c r="AM29" s="63">
        <f t="shared" si="42"/>
        <v>5649</v>
      </c>
      <c r="AN29" s="63">
        <f t="shared" si="42"/>
        <v>5649</v>
      </c>
      <c r="AO29" s="63">
        <f t="shared" si="42"/>
        <v>5649</v>
      </c>
      <c r="AP29" s="63">
        <f t="shared" si="43"/>
        <v>5649</v>
      </c>
      <c r="AQ29" s="63">
        <f t="shared" si="43"/>
        <v>5649</v>
      </c>
      <c r="AR29" s="63">
        <f t="shared" si="43"/>
        <v>5649</v>
      </c>
      <c r="AS29" s="63">
        <f t="shared" si="44"/>
        <v>5649</v>
      </c>
      <c r="AT29" s="63">
        <f t="shared" si="44"/>
        <v>5649</v>
      </c>
      <c r="AU29" s="63">
        <f t="shared" si="45"/>
        <v>5649</v>
      </c>
      <c r="AV29" s="63">
        <f t="shared" si="46"/>
        <v>5649</v>
      </c>
      <c r="AW29" s="63">
        <f t="shared" si="47"/>
        <v>5649</v>
      </c>
      <c r="AX29" s="63">
        <f t="shared" si="47"/>
        <v>5649</v>
      </c>
      <c r="AY29" s="63">
        <f t="shared" si="48"/>
        <v>5649</v>
      </c>
      <c r="BB29" s="63">
        <f t="shared" si="36"/>
        <v>169470</v>
      </c>
      <c r="BC29" s="55">
        <f t="shared" si="16"/>
        <v>5649</v>
      </c>
      <c r="BD29" s="80">
        <f t="shared" si="9"/>
        <v>5649</v>
      </c>
      <c r="EV29" s="77"/>
      <c r="EX29" s="12"/>
      <c r="EZ29" s="12"/>
      <c r="FB29" s="77"/>
      <c r="FD29" s="12"/>
      <c r="GH29" s="12"/>
      <c r="GJ29" s="12"/>
      <c r="GL29" s="12"/>
      <c r="HE29" s="22">
        <f t="shared" si="14"/>
        <v>-5649</v>
      </c>
      <c r="HF29" s="22"/>
    </row>
    <row r="30" spans="1:214" x14ac:dyDescent="0.25">
      <c r="A30" s="1" t="s">
        <v>140</v>
      </c>
      <c r="B30" s="58">
        <v>23</v>
      </c>
      <c r="D30" s="14">
        <v>9</v>
      </c>
      <c r="E30" s="1">
        <v>7</v>
      </c>
      <c r="F30" s="1" t="s">
        <v>123</v>
      </c>
      <c r="G30" s="1" t="s">
        <v>108</v>
      </c>
      <c r="H30" s="60">
        <v>36459</v>
      </c>
      <c r="I30" s="1" t="s">
        <v>93</v>
      </c>
      <c r="J30" s="1" t="s">
        <v>94</v>
      </c>
      <c r="L30" s="1" t="s">
        <v>95</v>
      </c>
      <c r="M30" s="50"/>
      <c r="N30" s="1" t="str">
        <f t="shared" si="49"/>
        <v>23R</v>
      </c>
      <c r="O30" s="1" t="str">
        <f t="shared" si="50"/>
        <v>23RBase</v>
      </c>
      <c r="Q30" s="22">
        <f t="shared" si="28"/>
        <v>5706</v>
      </c>
      <c r="R30" s="22">
        <f t="shared" si="51"/>
        <v>5706</v>
      </c>
      <c r="T30" s="63">
        <v>37147</v>
      </c>
      <c r="V30" s="66">
        <v>5706</v>
      </c>
      <c r="W30" s="63">
        <f t="shared" si="37"/>
        <v>5706</v>
      </c>
      <c r="X30" s="63">
        <f t="shared" si="38"/>
        <v>5706</v>
      </c>
      <c r="Y30" s="63">
        <f t="shared" si="38"/>
        <v>5706</v>
      </c>
      <c r="Z30" s="63">
        <f t="shared" si="38"/>
        <v>5706</v>
      </c>
      <c r="AA30" s="63">
        <f t="shared" si="38"/>
        <v>5706</v>
      </c>
      <c r="AB30" s="63">
        <f t="shared" si="39"/>
        <v>5706</v>
      </c>
      <c r="AC30" s="63">
        <f t="shared" si="39"/>
        <v>5706</v>
      </c>
      <c r="AD30" s="63">
        <f t="shared" si="39"/>
        <v>5706</v>
      </c>
      <c r="AE30" s="63">
        <f t="shared" si="40"/>
        <v>5706</v>
      </c>
      <c r="AF30" s="63">
        <f t="shared" si="40"/>
        <v>5706</v>
      </c>
      <c r="AG30" s="63">
        <f t="shared" si="40"/>
        <v>5706</v>
      </c>
      <c r="AH30" s="63">
        <f t="shared" si="40"/>
        <v>5706</v>
      </c>
      <c r="AI30" s="63">
        <f t="shared" si="41"/>
        <v>5706</v>
      </c>
      <c r="AJ30" s="63">
        <f t="shared" si="41"/>
        <v>5706</v>
      </c>
      <c r="AK30" s="63">
        <f t="shared" si="41"/>
        <v>5706</v>
      </c>
      <c r="AL30" s="63">
        <f t="shared" si="42"/>
        <v>5706</v>
      </c>
      <c r="AM30" s="63">
        <f t="shared" si="42"/>
        <v>5706</v>
      </c>
      <c r="AN30" s="63">
        <f t="shared" si="42"/>
        <v>5706</v>
      </c>
      <c r="AO30" s="63">
        <f t="shared" si="42"/>
        <v>5706</v>
      </c>
      <c r="AP30" s="63">
        <f t="shared" si="43"/>
        <v>5706</v>
      </c>
      <c r="AQ30" s="63">
        <f t="shared" si="43"/>
        <v>5706</v>
      </c>
      <c r="AR30" s="63">
        <f t="shared" si="43"/>
        <v>5706</v>
      </c>
      <c r="AS30" s="63">
        <f t="shared" si="44"/>
        <v>5706</v>
      </c>
      <c r="AT30" s="63">
        <f t="shared" si="44"/>
        <v>5706</v>
      </c>
      <c r="AU30" s="63">
        <f t="shared" si="45"/>
        <v>5706</v>
      </c>
      <c r="AV30" s="63">
        <f t="shared" si="46"/>
        <v>5706</v>
      </c>
      <c r="AW30" s="63">
        <f t="shared" si="47"/>
        <v>5706</v>
      </c>
      <c r="AX30" s="63">
        <f t="shared" si="47"/>
        <v>5706</v>
      </c>
      <c r="AY30" s="63">
        <f t="shared" si="48"/>
        <v>5706</v>
      </c>
      <c r="BB30" s="63">
        <f t="shared" si="36"/>
        <v>171180</v>
      </c>
      <c r="BC30" s="55">
        <f t="shared" si="16"/>
        <v>5706</v>
      </c>
      <c r="BD30" s="80">
        <f t="shared" si="9"/>
        <v>5706</v>
      </c>
      <c r="EV30" s="77"/>
      <c r="EX30" s="12"/>
      <c r="EZ30" s="12"/>
      <c r="FB30" s="77"/>
      <c r="FD30" s="12"/>
      <c r="GH30" s="12"/>
      <c r="GJ30" s="12"/>
      <c r="GL30" s="12"/>
      <c r="HE30" s="22">
        <f t="shared" si="14"/>
        <v>-5706</v>
      </c>
      <c r="HF30" s="22"/>
    </row>
    <row r="31" spans="1:214" x14ac:dyDescent="0.25">
      <c r="A31" s="1" t="s">
        <v>145</v>
      </c>
      <c r="B31" s="58">
        <v>24</v>
      </c>
      <c r="D31" s="14">
        <v>35</v>
      </c>
      <c r="E31" s="1">
        <v>8</v>
      </c>
      <c r="F31" s="1" t="s">
        <v>111</v>
      </c>
      <c r="G31" s="1" t="s">
        <v>108</v>
      </c>
      <c r="H31" s="60">
        <v>36459</v>
      </c>
      <c r="I31" s="1" t="s">
        <v>93</v>
      </c>
      <c r="J31" s="1" t="s">
        <v>94</v>
      </c>
      <c r="L31" s="1" t="s">
        <v>95</v>
      </c>
      <c r="M31" s="50"/>
      <c r="N31" s="1" t="str">
        <f>CONCATENATE(B31,J31)</f>
        <v>24R</v>
      </c>
      <c r="O31" s="1" t="str">
        <f>CONCATENATE(B31,J31,I31)</f>
        <v>24RBase</v>
      </c>
      <c r="Q31" s="22">
        <f t="shared" ref="Q31:Q54" si="52">+BC31</f>
        <v>3735</v>
      </c>
      <c r="R31" s="22">
        <f t="shared" ref="R31:R49" si="53">+Q31</f>
        <v>3735</v>
      </c>
      <c r="T31" s="63">
        <v>37147</v>
      </c>
      <c r="V31" s="66">
        <v>3735</v>
      </c>
      <c r="W31" s="63">
        <f t="shared" ref="W31:W54" si="54">V31</f>
        <v>3735</v>
      </c>
      <c r="X31" s="63">
        <f t="shared" ref="X31:AL40" si="55">W31</f>
        <v>3735</v>
      </c>
      <c r="Y31" s="63">
        <f t="shared" si="55"/>
        <v>3735</v>
      </c>
      <c r="Z31" s="63">
        <f t="shared" si="55"/>
        <v>3735</v>
      </c>
      <c r="AA31" s="63">
        <f t="shared" si="55"/>
        <v>3735</v>
      </c>
      <c r="AB31" s="63">
        <f t="shared" ref="AB31:AD36" si="56">AA31</f>
        <v>3735</v>
      </c>
      <c r="AC31" s="63">
        <f t="shared" si="56"/>
        <v>3735</v>
      </c>
      <c r="AD31" s="63">
        <f t="shared" si="56"/>
        <v>3735</v>
      </c>
      <c r="AE31" s="63">
        <f t="shared" ref="AE31:AH36" si="57">AD31</f>
        <v>3735</v>
      </c>
      <c r="AF31" s="63">
        <f t="shared" si="57"/>
        <v>3735</v>
      </c>
      <c r="AG31" s="63">
        <f t="shared" si="57"/>
        <v>3735</v>
      </c>
      <c r="AH31" s="63">
        <f t="shared" si="57"/>
        <v>3735</v>
      </c>
      <c r="AI31" s="63">
        <f t="shared" ref="AI31:AK36" si="58">AH31</f>
        <v>3735</v>
      </c>
      <c r="AJ31" s="63">
        <f t="shared" si="58"/>
        <v>3735</v>
      </c>
      <c r="AK31" s="63">
        <f t="shared" si="58"/>
        <v>3735</v>
      </c>
      <c r="AL31" s="63">
        <f t="shared" ref="AL31:AZ42" si="59">AK31</f>
        <v>3735</v>
      </c>
      <c r="AM31" s="63">
        <f t="shared" si="59"/>
        <v>3735</v>
      </c>
      <c r="AN31" s="63">
        <f t="shared" si="59"/>
        <v>3735</v>
      </c>
      <c r="AO31" s="63">
        <f t="shared" si="59"/>
        <v>3735</v>
      </c>
      <c r="AP31" s="63">
        <f t="shared" ref="AP31:AR36" si="60">AO31</f>
        <v>3735</v>
      </c>
      <c r="AQ31" s="63">
        <f t="shared" si="60"/>
        <v>3735</v>
      </c>
      <c r="AR31" s="63">
        <f t="shared" si="60"/>
        <v>3735</v>
      </c>
      <c r="AS31" s="63">
        <f t="shared" ref="AS31:AV36" si="61">AR31</f>
        <v>3735</v>
      </c>
      <c r="AT31" s="63">
        <f t="shared" si="61"/>
        <v>3735</v>
      </c>
      <c r="AU31" s="63">
        <f t="shared" ref="AU31:AV33" si="62">AT31</f>
        <v>3735</v>
      </c>
      <c r="AV31" s="63">
        <f t="shared" si="62"/>
        <v>3735</v>
      </c>
      <c r="AW31" s="63">
        <f t="shared" ref="AW31:AZ36" si="63">AV31</f>
        <v>3735</v>
      </c>
      <c r="AX31" s="63">
        <f t="shared" si="63"/>
        <v>3735</v>
      </c>
      <c r="AY31" s="63">
        <f>AX31</f>
        <v>3735</v>
      </c>
      <c r="BB31" s="63">
        <f t="shared" ref="BB31:BB54" si="64">SUM(V31:AZ31)</f>
        <v>112050</v>
      </c>
      <c r="BC31" s="55">
        <f t="shared" si="16"/>
        <v>3735</v>
      </c>
      <c r="BD31" s="80">
        <f t="shared" ref="BD31:BD65" si="65">MAX(V31:AZ31)</f>
        <v>3735</v>
      </c>
      <c r="EV31" s="77"/>
      <c r="EX31" s="12"/>
      <c r="EZ31" s="12"/>
      <c r="FB31" s="77"/>
      <c r="FD31" s="12"/>
      <c r="GH31" s="12"/>
      <c r="GJ31" s="12"/>
      <c r="GL31" s="12"/>
      <c r="HE31" s="22">
        <f t="shared" si="14"/>
        <v>-3735</v>
      </c>
      <c r="HF31" s="22"/>
    </row>
    <row r="32" spans="1:214" x14ac:dyDescent="0.25">
      <c r="A32" s="1" t="s">
        <v>145</v>
      </c>
      <c r="B32" s="58">
        <v>24</v>
      </c>
      <c r="D32" s="14">
        <v>39</v>
      </c>
      <c r="E32" s="1">
        <v>8</v>
      </c>
      <c r="F32" s="1" t="s">
        <v>111</v>
      </c>
      <c r="G32" s="1" t="s">
        <v>108</v>
      </c>
      <c r="H32" s="60">
        <v>36459</v>
      </c>
      <c r="I32" s="1" t="s">
        <v>93</v>
      </c>
      <c r="J32" s="1" t="s">
        <v>94</v>
      </c>
      <c r="L32" s="1" t="s">
        <v>95</v>
      </c>
      <c r="M32" s="50"/>
      <c r="N32" s="1" t="str">
        <f>CONCATENATE(B32,J32)</f>
        <v>24R</v>
      </c>
      <c r="O32" s="1" t="str">
        <f>CONCATENATE(B32,J32,I32)</f>
        <v>24RBase</v>
      </c>
      <c r="Q32" s="22">
        <f t="shared" si="52"/>
        <v>56</v>
      </c>
      <c r="R32" s="22">
        <f t="shared" si="53"/>
        <v>56</v>
      </c>
      <c r="T32" s="63">
        <v>37147</v>
      </c>
      <c r="V32" s="66">
        <v>56</v>
      </c>
      <c r="W32" s="63">
        <f t="shared" si="54"/>
        <v>56</v>
      </c>
      <c r="X32" s="63">
        <f t="shared" si="55"/>
        <v>56</v>
      </c>
      <c r="Y32" s="63">
        <f t="shared" si="55"/>
        <v>56</v>
      </c>
      <c r="Z32" s="63">
        <f t="shared" si="55"/>
        <v>56</v>
      </c>
      <c r="AA32" s="63">
        <f t="shared" si="55"/>
        <v>56</v>
      </c>
      <c r="AB32" s="63">
        <f t="shared" si="56"/>
        <v>56</v>
      </c>
      <c r="AC32" s="63">
        <f t="shared" si="56"/>
        <v>56</v>
      </c>
      <c r="AD32" s="63">
        <f t="shared" si="56"/>
        <v>56</v>
      </c>
      <c r="AE32" s="63">
        <f t="shared" si="57"/>
        <v>56</v>
      </c>
      <c r="AF32" s="63">
        <f t="shared" si="57"/>
        <v>56</v>
      </c>
      <c r="AG32" s="63">
        <f t="shared" si="57"/>
        <v>56</v>
      </c>
      <c r="AH32" s="63">
        <f t="shared" si="57"/>
        <v>56</v>
      </c>
      <c r="AI32" s="63">
        <f t="shared" si="58"/>
        <v>56</v>
      </c>
      <c r="AJ32" s="63">
        <f t="shared" si="58"/>
        <v>56</v>
      </c>
      <c r="AK32" s="63">
        <f t="shared" si="58"/>
        <v>56</v>
      </c>
      <c r="AL32" s="63">
        <f t="shared" si="59"/>
        <v>56</v>
      </c>
      <c r="AM32" s="63">
        <f t="shared" si="59"/>
        <v>56</v>
      </c>
      <c r="AN32" s="63">
        <f t="shared" si="59"/>
        <v>56</v>
      </c>
      <c r="AO32" s="63">
        <f t="shared" si="59"/>
        <v>56</v>
      </c>
      <c r="AP32" s="63">
        <f t="shared" si="60"/>
        <v>56</v>
      </c>
      <c r="AQ32" s="63">
        <f t="shared" si="60"/>
        <v>56</v>
      </c>
      <c r="AR32" s="63">
        <f t="shared" si="60"/>
        <v>56</v>
      </c>
      <c r="AS32" s="63">
        <f t="shared" si="61"/>
        <v>56</v>
      </c>
      <c r="AT32" s="63">
        <f t="shared" si="61"/>
        <v>56</v>
      </c>
      <c r="AU32" s="63">
        <f t="shared" si="62"/>
        <v>56</v>
      </c>
      <c r="AV32" s="63">
        <f t="shared" si="62"/>
        <v>56</v>
      </c>
      <c r="AW32" s="63">
        <f t="shared" si="63"/>
        <v>56</v>
      </c>
      <c r="AX32" s="63">
        <f t="shared" si="63"/>
        <v>56</v>
      </c>
      <c r="AY32" s="63">
        <f>AX32</f>
        <v>56</v>
      </c>
      <c r="BB32" s="63">
        <f t="shared" si="64"/>
        <v>1680</v>
      </c>
      <c r="BC32" s="55">
        <f t="shared" si="16"/>
        <v>56</v>
      </c>
      <c r="BD32" s="80">
        <f t="shared" si="65"/>
        <v>56</v>
      </c>
      <c r="EV32" s="77"/>
      <c r="EX32" s="12"/>
      <c r="EZ32" s="12"/>
      <c r="FB32" s="77"/>
      <c r="FD32" s="12"/>
      <c r="GH32" s="12"/>
      <c r="GJ32" s="12"/>
      <c r="GL32" s="12"/>
      <c r="HE32" s="22">
        <f t="shared" si="14"/>
        <v>-56</v>
      </c>
      <c r="HF32" s="22"/>
    </row>
    <row r="33" spans="1:217" s="14" customFormat="1" x14ac:dyDescent="0.25">
      <c r="A33" s="14" t="s">
        <v>145</v>
      </c>
      <c r="B33" s="13">
        <v>24</v>
      </c>
      <c r="D33" s="14">
        <v>35</v>
      </c>
      <c r="E33" s="14">
        <v>8</v>
      </c>
      <c r="F33" s="14" t="s">
        <v>242</v>
      </c>
      <c r="G33" s="14" t="s">
        <v>108</v>
      </c>
      <c r="H33" s="69">
        <v>36459</v>
      </c>
      <c r="I33" s="14" t="s">
        <v>93</v>
      </c>
      <c r="J33" s="14" t="s">
        <v>94</v>
      </c>
      <c r="K33" s="13"/>
      <c r="L33" s="14" t="s">
        <v>95</v>
      </c>
      <c r="N33" s="14" t="str">
        <f>CONCATENATE(B33,J33)</f>
        <v>24R</v>
      </c>
      <c r="O33" s="14" t="str">
        <f>CONCATENATE(B33,J33,I33)</f>
        <v>24RBase</v>
      </c>
      <c r="Q33" s="15">
        <f t="shared" si="52"/>
        <v>0</v>
      </c>
      <c r="R33" s="15">
        <f t="shared" si="53"/>
        <v>0</v>
      </c>
      <c r="S33" s="15"/>
      <c r="T33" s="16">
        <v>37147</v>
      </c>
      <c r="U33" s="16"/>
      <c r="V33" s="29">
        <v>0</v>
      </c>
      <c r="W33" s="16">
        <f t="shared" si="54"/>
        <v>0</v>
      </c>
      <c r="X33" s="16">
        <f t="shared" si="55"/>
        <v>0</v>
      </c>
      <c r="Y33" s="16">
        <f t="shared" si="55"/>
        <v>0</v>
      </c>
      <c r="Z33" s="16">
        <f t="shared" si="55"/>
        <v>0</v>
      </c>
      <c r="AA33" s="16">
        <f t="shared" si="55"/>
        <v>0</v>
      </c>
      <c r="AB33" s="16">
        <f t="shared" si="56"/>
        <v>0</v>
      </c>
      <c r="AC33" s="16">
        <f t="shared" si="56"/>
        <v>0</v>
      </c>
      <c r="AD33" s="16">
        <f t="shared" si="56"/>
        <v>0</v>
      </c>
      <c r="AE33" s="16">
        <f t="shared" si="57"/>
        <v>0</v>
      </c>
      <c r="AF33" s="16">
        <f t="shared" si="57"/>
        <v>0</v>
      </c>
      <c r="AG33" s="16">
        <f t="shared" si="57"/>
        <v>0</v>
      </c>
      <c r="AH33" s="16">
        <f t="shared" si="57"/>
        <v>0</v>
      </c>
      <c r="AI33" s="16">
        <f t="shared" si="58"/>
        <v>0</v>
      </c>
      <c r="AJ33" s="16">
        <f t="shared" si="58"/>
        <v>0</v>
      </c>
      <c r="AK33" s="16">
        <f t="shared" si="58"/>
        <v>0</v>
      </c>
      <c r="AL33" s="16">
        <f t="shared" si="59"/>
        <v>0</v>
      </c>
      <c r="AM33" s="16">
        <f t="shared" si="59"/>
        <v>0</v>
      </c>
      <c r="AN33" s="16">
        <f t="shared" si="59"/>
        <v>0</v>
      </c>
      <c r="AO33" s="16">
        <f t="shared" si="59"/>
        <v>0</v>
      </c>
      <c r="AP33" s="16">
        <f t="shared" si="60"/>
        <v>0</v>
      </c>
      <c r="AQ33" s="16">
        <f t="shared" si="60"/>
        <v>0</v>
      </c>
      <c r="AR33" s="16">
        <f t="shared" si="60"/>
        <v>0</v>
      </c>
      <c r="AS33" s="16">
        <f t="shared" si="61"/>
        <v>0</v>
      </c>
      <c r="AT33" s="16">
        <f t="shared" si="61"/>
        <v>0</v>
      </c>
      <c r="AU33" s="16">
        <f t="shared" si="62"/>
        <v>0</v>
      </c>
      <c r="AV33" s="16">
        <f t="shared" si="62"/>
        <v>0</v>
      </c>
      <c r="AW33" s="16">
        <f t="shared" si="63"/>
        <v>0</v>
      </c>
      <c r="AX33" s="16">
        <f t="shared" si="63"/>
        <v>0</v>
      </c>
      <c r="AY33" s="16">
        <f>AX33</f>
        <v>0</v>
      </c>
      <c r="AZ33" s="16"/>
      <c r="BA33" s="16"/>
      <c r="BB33" s="16">
        <f t="shared" si="64"/>
        <v>0</v>
      </c>
      <c r="BC33" s="55">
        <f t="shared" si="16"/>
        <v>0</v>
      </c>
      <c r="BD33" s="83">
        <f t="shared" si="65"/>
        <v>0</v>
      </c>
      <c r="BE33" s="16"/>
      <c r="BF33" s="15"/>
      <c r="EV33" s="77"/>
      <c r="EX33" s="12"/>
      <c r="EZ33" s="12"/>
      <c r="FB33" s="77"/>
      <c r="FD33" s="12"/>
      <c r="FH33" s="1"/>
      <c r="FV33" s="1"/>
      <c r="FX33" s="1"/>
      <c r="GB33" s="1"/>
      <c r="GD33" s="1"/>
      <c r="GF33" s="1"/>
      <c r="GH33" s="12"/>
      <c r="GJ33" s="12"/>
      <c r="GL33" s="12"/>
      <c r="GN33" s="1"/>
      <c r="GP33" s="1"/>
      <c r="GR33" s="1"/>
      <c r="GT33" s="1"/>
      <c r="GV33" s="1"/>
      <c r="GX33" s="1"/>
      <c r="GZ33" s="1"/>
      <c r="HB33" s="1"/>
      <c r="HD33" s="1"/>
      <c r="HE33" s="22">
        <f t="shared" si="14"/>
        <v>0</v>
      </c>
      <c r="HF33" s="15"/>
    </row>
    <row r="34" spans="1:217" x14ac:dyDescent="0.25">
      <c r="A34" s="1" t="s">
        <v>140</v>
      </c>
      <c r="B34" s="58">
        <v>23</v>
      </c>
      <c r="D34" s="160">
        <v>1</v>
      </c>
      <c r="E34" s="1">
        <v>7</v>
      </c>
      <c r="F34" s="1" t="s">
        <v>290</v>
      </c>
      <c r="G34" s="1" t="s">
        <v>143</v>
      </c>
      <c r="H34" s="60">
        <v>36434</v>
      </c>
      <c r="I34" s="1" t="s">
        <v>93</v>
      </c>
      <c r="J34" s="1" t="s">
        <v>102</v>
      </c>
      <c r="L34" s="1" t="s">
        <v>95</v>
      </c>
      <c r="N34" s="1" t="str">
        <f t="shared" ref="N34:N42" si="66">CONCATENATE(B34,J34)</f>
        <v>23W</v>
      </c>
      <c r="O34" s="1" t="str">
        <f t="shared" ref="O34:O42" si="67">CONCATENATE(B34,J34,I34)</f>
        <v>23WBase</v>
      </c>
      <c r="Q34" s="22">
        <f t="shared" si="52"/>
        <v>0</v>
      </c>
      <c r="R34" s="22">
        <f t="shared" si="53"/>
        <v>0</v>
      </c>
      <c r="T34" s="63">
        <v>37147</v>
      </c>
      <c r="V34" s="64">
        <v>0</v>
      </c>
      <c r="W34" s="63">
        <f t="shared" si="54"/>
        <v>0</v>
      </c>
      <c r="X34" s="63">
        <f t="shared" si="55"/>
        <v>0</v>
      </c>
      <c r="Y34" s="63">
        <f t="shared" si="55"/>
        <v>0</v>
      </c>
      <c r="Z34" s="63">
        <f t="shared" si="55"/>
        <v>0</v>
      </c>
      <c r="AA34" s="63">
        <f t="shared" si="55"/>
        <v>0</v>
      </c>
      <c r="AB34" s="63">
        <f t="shared" si="56"/>
        <v>0</v>
      </c>
      <c r="AC34" s="63">
        <f t="shared" si="56"/>
        <v>0</v>
      </c>
      <c r="AD34" s="63">
        <f t="shared" si="56"/>
        <v>0</v>
      </c>
      <c r="AE34" s="63">
        <f t="shared" si="57"/>
        <v>0</v>
      </c>
      <c r="AF34" s="63">
        <f t="shared" si="57"/>
        <v>0</v>
      </c>
      <c r="AG34" s="63">
        <f t="shared" si="57"/>
        <v>0</v>
      </c>
      <c r="AH34" s="63">
        <f t="shared" si="57"/>
        <v>0</v>
      </c>
      <c r="AI34" s="63">
        <f t="shared" si="58"/>
        <v>0</v>
      </c>
      <c r="AJ34" s="63">
        <f t="shared" si="58"/>
        <v>0</v>
      </c>
      <c r="AK34" s="63">
        <f t="shared" si="58"/>
        <v>0</v>
      </c>
      <c r="AL34" s="63">
        <f t="shared" si="59"/>
        <v>0</v>
      </c>
      <c r="AM34" s="63">
        <f t="shared" si="59"/>
        <v>0</v>
      </c>
      <c r="AN34" s="63">
        <f t="shared" si="59"/>
        <v>0</v>
      </c>
      <c r="AO34" s="63">
        <f t="shared" si="59"/>
        <v>0</v>
      </c>
      <c r="AP34" s="63">
        <f t="shared" si="60"/>
        <v>0</v>
      </c>
      <c r="AQ34" s="63">
        <f t="shared" si="60"/>
        <v>0</v>
      </c>
      <c r="AR34" s="63">
        <f t="shared" si="60"/>
        <v>0</v>
      </c>
      <c r="AS34" s="63">
        <f t="shared" si="61"/>
        <v>0</v>
      </c>
      <c r="AT34" s="63">
        <f t="shared" si="61"/>
        <v>0</v>
      </c>
      <c r="AU34" s="63">
        <f t="shared" si="61"/>
        <v>0</v>
      </c>
      <c r="AV34" s="63">
        <f t="shared" si="61"/>
        <v>0</v>
      </c>
      <c r="AW34" s="63">
        <f t="shared" si="63"/>
        <v>0</v>
      </c>
      <c r="AX34" s="63">
        <f t="shared" si="63"/>
        <v>0</v>
      </c>
      <c r="AY34" s="63">
        <f t="shared" si="63"/>
        <v>0</v>
      </c>
      <c r="AZ34" s="63">
        <f t="shared" si="63"/>
        <v>0</v>
      </c>
      <c r="BB34" s="63">
        <f t="shared" si="64"/>
        <v>0</v>
      </c>
      <c r="BC34" s="63">
        <f t="shared" ref="BC34:BC42" si="68">+BB34/31</f>
        <v>0</v>
      </c>
      <c r="BD34" s="80">
        <f t="shared" si="65"/>
        <v>0</v>
      </c>
      <c r="CV34" s="161"/>
      <c r="EV34" s="1"/>
      <c r="FB34" s="1"/>
      <c r="HH34" s="22">
        <f t="shared" ref="HH34:HH42" si="69">SUM(BG34:HG34)-V34</f>
        <v>0</v>
      </c>
      <c r="HI34" s="22"/>
    </row>
    <row r="35" spans="1:217" x14ac:dyDescent="0.25">
      <c r="A35" s="1" t="s">
        <v>140</v>
      </c>
      <c r="B35" s="58">
        <v>23</v>
      </c>
      <c r="D35" s="160">
        <v>4</v>
      </c>
      <c r="E35" s="1">
        <v>7</v>
      </c>
      <c r="F35" s="1" t="s">
        <v>290</v>
      </c>
      <c r="G35" s="1" t="s">
        <v>143</v>
      </c>
      <c r="H35" s="60">
        <v>36434</v>
      </c>
      <c r="I35" s="1" t="s">
        <v>93</v>
      </c>
      <c r="J35" s="1" t="s">
        <v>102</v>
      </c>
      <c r="L35" s="1" t="s">
        <v>95</v>
      </c>
      <c r="N35" s="1" t="str">
        <f t="shared" si="66"/>
        <v>23W</v>
      </c>
      <c r="O35" s="1" t="str">
        <f t="shared" si="67"/>
        <v>23WBase</v>
      </c>
      <c r="Q35" s="22">
        <f t="shared" si="52"/>
        <v>0</v>
      </c>
      <c r="R35" s="22">
        <f t="shared" si="53"/>
        <v>0</v>
      </c>
      <c r="T35" s="63">
        <v>37147</v>
      </c>
      <c r="V35" s="64">
        <v>0</v>
      </c>
      <c r="W35" s="63">
        <f t="shared" si="54"/>
        <v>0</v>
      </c>
      <c r="X35" s="63">
        <f t="shared" si="55"/>
        <v>0</v>
      </c>
      <c r="Y35" s="63">
        <f t="shared" si="55"/>
        <v>0</v>
      </c>
      <c r="Z35" s="63">
        <f t="shared" si="55"/>
        <v>0</v>
      </c>
      <c r="AA35" s="63">
        <f t="shared" si="55"/>
        <v>0</v>
      </c>
      <c r="AB35" s="63">
        <f t="shared" si="56"/>
        <v>0</v>
      </c>
      <c r="AC35" s="63">
        <f t="shared" si="56"/>
        <v>0</v>
      </c>
      <c r="AD35" s="63">
        <f t="shared" si="56"/>
        <v>0</v>
      </c>
      <c r="AE35" s="63">
        <f t="shared" si="57"/>
        <v>0</v>
      </c>
      <c r="AF35" s="63">
        <f t="shared" si="57"/>
        <v>0</v>
      </c>
      <c r="AG35" s="63">
        <f t="shared" si="57"/>
        <v>0</v>
      </c>
      <c r="AH35" s="63">
        <f t="shared" si="57"/>
        <v>0</v>
      </c>
      <c r="AI35" s="63">
        <f t="shared" si="58"/>
        <v>0</v>
      </c>
      <c r="AJ35" s="63">
        <f t="shared" si="58"/>
        <v>0</v>
      </c>
      <c r="AK35" s="63">
        <f t="shared" si="58"/>
        <v>0</v>
      </c>
      <c r="AL35" s="63">
        <f t="shared" si="59"/>
        <v>0</v>
      </c>
      <c r="AM35" s="63">
        <f t="shared" si="59"/>
        <v>0</v>
      </c>
      <c r="AN35" s="63">
        <f t="shared" si="59"/>
        <v>0</v>
      </c>
      <c r="AO35" s="63">
        <f t="shared" si="59"/>
        <v>0</v>
      </c>
      <c r="AP35" s="63">
        <f t="shared" si="60"/>
        <v>0</v>
      </c>
      <c r="AQ35" s="63">
        <f t="shared" si="60"/>
        <v>0</v>
      </c>
      <c r="AR35" s="63">
        <f t="shared" si="60"/>
        <v>0</v>
      </c>
      <c r="AS35" s="63">
        <f t="shared" si="61"/>
        <v>0</v>
      </c>
      <c r="AT35" s="63">
        <f t="shared" si="61"/>
        <v>0</v>
      </c>
      <c r="AU35" s="63">
        <f t="shared" si="61"/>
        <v>0</v>
      </c>
      <c r="AV35" s="63">
        <f t="shared" si="61"/>
        <v>0</v>
      </c>
      <c r="AW35" s="63">
        <f t="shared" si="63"/>
        <v>0</v>
      </c>
      <c r="AX35" s="63">
        <f t="shared" si="63"/>
        <v>0</v>
      </c>
      <c r="AY35" s="63">
        <f t="shared" si="63"/>
        <v>0</v>
      </c>
      <c r="AZ35" s="63">
        <f t="shared" si="63"/>
        <v>0</v>
      </c>
      <c r="BB35" s="63">
        <f t="shared" si="64"/>
        <v>0</v>
      </c>
      <c r="BC35" s="63">
        <f t="shared" si="68"/>
        <v>0</v>
      </c>
      <c r="BD35" s="80">
        <f t="shared" si="65"/>
        <v>0</v>
      </c>
      <c r="CV35" s="161"/>
      <c r="EV35" s="1"/>
      <c r="FB35" s="1"/>
      <c r="HH35" s="22">
        <f t="shared" si="69"/>
        <v>0</v>
      </c>
      <c r="HI35" s="22"/>
    </row>
    <row r="36" spans="1:217" x14ac:dyDescent="0.25">
      <c r="A36" s="1" t="s">
        <v>140</v>
      </c>
      <c r="B36" s="58">
        <v>23</v>
      </c>
      <c r="D36" s="160">
        <v>5</v>
      </c>
      <c r="E36" s="1">
        <v>7</v>
      </c>
      <c r="F36" s="1" t="s">
        <v>290</v>
      </c>
      <c r="G36" s="1" t="s">
        <v>143</v>
      </c>
      <c r="H36" s="60">
        <v>36434</v>
      </c>
      <c r="I36" s="1" t="s">
        <v>93</v>
      </c>
      <c r="J36" s="1" t="s">
        <v>102</v>
      </c>
      <c r="L36" s="1" t="s">
        <v>95</v>
      </c>
      <c r="N36" s="1" t="str">
        <f t="shared" si="66"/>
        <v>23W</v>
      </c>
      <c r="O36" s="1" t="str">
        <f t="shared" si="67"/>
        <v>23WBase</v>
      </c>
      <c r="Q36" s="22">
        <f t="shared" si="52"/>
        <v>0</v>
      </c>
      <c r="R36" s="22">
        <f t="shared" si="53"/>
        <v>0</v>
      </c>
      <c r="T36" s="63">
        <v>37147</v>
      </c>
      <c r="V36" s="64">
        <v>0</v>
      </c>
      <c r="W36" s="63">
        <f t="shared" si="54"/>
        <v>0</v>
      </c>
      <c r="X36" s="63">
        <f t="shared" si="55"/>
        <v>0</v>
      </c>
      <c r="Y36" s="63">
        <f t="shared" si="55"/>
        <v>0</v>
      </c>
      <c r="Z36" s="63">
        <f t="shared" si="55"/>
        <v>0</v>
      </c>
      <c r="AA36" s="63">
        <f t="shared" si="55"/>
        <v>0</v>
      </c>
      <c r="AB36" s="63">
        <f t="shared" si="56"/>
        <v>0</v>
      </c>
      <c r="AC36" s="63">
        <f t="shared" si="56"/>
        <v>0</v>
      </c>
      <c r="AD36" s="63">
        <f t="shared" si="56"/>
        <v>0</v>
      </c>
      <c r="AE36" s="63">
        <f t="shared" si="57"/>
        <v>0</v>
      </c>
      <c r="AF36" s="63">
        <f t="shared" si="57"/>
        <v>0</v>
      </c>
      <c r="AG36" s="63">
        <f t="shared" si="57"/>
        <v>0</v>
      </c>
      <c r="AH36" s="63">
        <f t="shared" si="57"/>
        <v>0</v>
      </c>
      <c r="AI36" s="63">
        <f t="shared" si="58"/>
        <v>0</v>
      </c>
      <c r="AJ36" s="63">
        <f t="shared" si="58"/>
        <v>0</v>
      </c>
      <c r="AK36" s="63">
        <f t="shared" si="58"/>
        <v>0</v>
      </c>
      <c r="AL36" s="63">
        <f t="shared" si="59"/>
        <v>0</v>
      </c>
      <c r="AM36" s="63">
        <f t="shared" si="59"/>
        <v>0</v>
      </c>
      <c r="AN36" s="63">
        <f t="shared" si="59"/>
        <v>0</v>
      </c>
      <c r="AO36" s="63">
        <f t="shared" si="59"/>
        <v>0</v>
      </c>
      <c r="AP36" s="63">
        <f t="shared" si="60"/>
        <v>0</v>
      </c>
      <c r="AQ36" s="63">
        <f t="shared" si="60"/>
        <v>0</v>
      </c>
      <c r="AR36" s="63">
        <f t="shared" si="60"/>
        <v>0</v>
      </c>
      <c r="AS36" s="63">
        <f t="shared" si="61"/>
        <v>0</v>
      </c>
      <c r="AT36" s="63">
        <f t="shared" si="61"/>
        <v>0</v>
      </c>
      <c r="AU36" s="63">
        <f t="shared" si="61"/>
        <v>0</v>
      </c>
      <c r="AV36" s="63">
        <f t="shared" si="61"/>
        <v>0</v>
      </c>
      <c r="AW36" s="63">
        <f t="shared" si="63"/>
        <v>0</v>
      </c>
      <c r="AX36" s="63">
        <f t="shared" si="63"/>
        <v>0</v>
      </c>
      <c r="AY36" s="63">
        <f t="shared" si="63"/>
        <v>0</v>
      </c>
      <c r="AZ36" s="63">
        <f t="shared" si="63"/>
        <v>0</v>
      </c>
      <c r="BB36" s="63">
        <f t="shared" si="64"/>
        <v>0</v>
      </c>
      <c r="BC36" s="63">
        <f t="shared" si="68"/>
        <v>0</v>
      </c>
      <c r="BD36" s="80">
        <f t="shared" si="65"/>
        <v>0</v>
      </c>
      <c r="CV36" s="161"/>
      <c r="EV36" s="1"/>
      <c r="FB36" s="1"/>
      <c r="HH36" s="22">
        <f t="shared" si="69"/>
        <v>0</v>
      </c>
      <c r="HI36" s="22"/>
    </row>
    <row r="37" spans="1:217" x14ac:dyDescent="0.25">
      <c r="A37" s="1" t="s">
        <v>140</v>
      </c>
      <c r="B37" s="58">
        <v>23</v>
      </c>
      <c r="D37" s="160">
        <v>6</v>
      </c>
      <c r="E37" s="1">
        <v>7</v>
      </c>
      <c r="F37" s="1" t="s">
        <v>290</v>
      </c>
      <c r="G37" s="1" t="s">
        <v>143</v>
      </c>
      <c r="H37" s="60">
        <v>36434</v>
      </c>
      <c r="I37" s="1" t="s">
        <v>93</v>
      </c>
      <c r="J37" s="1" t="s">
        <v>102</v>
      </c>
      <c r="L37" s="1" t="s">
        <v>95</v>
      </c>
      <c r="N37" s="1" t="str">
        <f t="shared" si="66"/>
        <v>23W</v>
      </c>
      <c r="O37" s="1" t="str">
        <f t="shared" si="67"/>
        <v>23WBase</v>
      </c>
      <c r="Q37" s="22">
        <f t="shared" si="52"/>
        <v>0</v>
      </c>
      <c r="R37" s="22">
        <f t="shared" si="53"/>
        <v>0</v>
      </c>
      <c r="T37" s="63">
        <v>37147</v>
      </c>
      <c r="V37" s="64">
        <v>0</v>
      </c>
      <c r="W37" s="63">
        <f t="shared" si="54"/>
        <v>0</v>
      </c>
      <c r="X37" s="63">
        <f t="shared" si="55"/>
        <v>0</v>
      </c>
      <c r="Y37" s="63">
        <f t="shared" si="55"/>
        <v>0</v>
      </c>
      <c r="Z37" s="63">
        <f t="shared" si="55"/>
        <v>0</v>
      </c>
      <c r="AA37" s="63">
        <f t="shared" si="55"/>
        <v>0</v>
      </c>
      <c r="AB37" s="63">
        <f t="shared" si="55"/>
        <v>0</v>
      </c>
      <c r="AC37" s="63">
        <f t="shared" si="55"/>
        <v>0</v>
      </c>
      <c r="AD37" s="63">
        <f t="shared" si="55"/>
        <v>0</v>
      </c>
      <c r="AE37" s="63">
        <f t="shared" si="55"/>
        <v>0</v>
      </c>
      <c r="AF37" s="63">
        <f t="shared" si="55"/>
        <v>0</v>
      </c>
      <c r="AG37" s="63">
        <f t="shared" si="55"/>
        <v>0</v>
      </c>
      <c r="AH37" s="63">
        <f t="shared" si="55"/>
        <v>0</v>
      </c>
      <c r="AI37" s="63">
        <f t="shared" si="55"/>
        <v>0</v>
      </c>
      <c r="AJ37" s="63">
        <f t="shared" si="55"/>
        <v>0</v>
      </c>
      <c r="AK37" s="63">
        <f t="shared" si="55"/>
        <v>0</v>
      </c>
      <c r="AL37" s="63">
        <f t="shared" si="55"/>
        <v>0</v>
      </c>
      <c r="AM37" s="63">
        <f t="shared" si="59"/>
        <v>0</v>
      </c>
      <c r="AN37" s="63">
        <f t="shared" si="59"/>
        <v>0</v>
      </c>
      <c r="AO37" s="63">
        <f t="shared" si="59"/>
        <v>0</v>
      </c>
      <c r="AP37" s="63">
        <f t="shared" si="59"/>
        <v>0</v>
      </c>
      <c r="AQ37" s="63">
        <f t="shared" si="59"/>
        <v>0</v>
      </c>
      <c r="AR37" s="63">
        <f t="shared" si="59"/>
        <v>0</v>
      </c>
      <c r="AS37" s="63">
        <f t="shared" si="59"/>
        <v>0</v>
      </c>
      <c r="AT37" s="63">
        <f t="shared" si="59"/>
        <v>0</v>
      </c>
      <c r="AU37" s="63">
        <f t="shared" si="59"/>
        <v>0</v>
      </c>
      <c r="AV37" s="63">
        <f t="shared" si="59"/>
        <v>0</v>
      </c>
      <c r="AW37" s="63">
        <f t="shared" si="59"/>
        <v>0</v>
      </c>
      <c r="AX37" s="63">
        <f t="shared" si="59"/>
        <v>0</v>
      </c>
      <c r="AY37" s="63">
        <f t="shared" si="59"/>
        <v>0</v>
      </c>
      <c r="AZ37" s="63">
        <f t="shared" si="59"/>
        <v>0</v>
      </c>
      <c r="BB37" s="63">
        <f t="shared" si="64"/>
        <v>0</v>
      </c>
      <c r="BC37" s="63">
        <f t="shared" si="68"/>
        <v>0</v>
      </c>
      <c r="BD37" s="80">
        <f t="shared" si="65"/>
        <v>0</v>
      </c>
      <c r="CV37" s="161"/>
      <c r="EV37" s="1"/>
      <c r="FB37" s="1"/>
      <c r="HH37" s="22">
        <f t="shared" si="69"/>
        <v>0</v>
      </c>
      <c r="HI37" s="22"/>
    </row>
    <row r="38" spans="1:217" x14ac:dyDescent="0.25">
      <c r="A38" s="1" t="s">
        <v>140</v>
      </c>
      <c r="B38" s="58">
        <v>23</v>
      </c>
      <c r="D38" s="160">
        <v>8</v>
      </c>
      <c r="E38" s="1">
        <v>7</v>
      </c>
      <c r="F38" s="1" t="s">
        <v>290</v>
      </c>
      <c r="G38" s="1" t="s">
        <v>143</v>
      </c>
      <c r="H38" s="60">
        <v>36434</v>
      </c>
      <c r="I38" s="1" t="s">
        <v>93</v>
      </c>
      <c r="J38" s="1" t="s">
        <v>102</v>
      </c>
      <c r="L38" s="1" t="s">
        <v>95</v>
      </c>
      <c r="N38" s="1" t="str">
        <f t="shared" si="66"/>
        <v>23W</v>
      </c>
      <c r="O38" s="1" t="str">
        <f t="shared" si="67"/>
        <v>23WBase</v>
      </c>
      <c r="Q38" s="22">
        <f t="shared" si="52"/>
        <v>0</v>
      </c>
      <c r="R38" s="22">
        <f t="shared" si="53"/>
        <v>0</v>
      </c>
      <c r="T38" s="63">
        <v>37147</v>
      </c>
      <c r="V38" s="64">
        <v>0</v>
      </c>
      <c r="W38" s="63">
        <f t="shared" si="54"/>
        <v>0</v>
      </c>
      <c r="X38" s="63">
        <f t="shared" si="55"/>
        <v>0</v>
      </c>
      <c r="Y38" s="63">
        <f t="shared" si="55"/>
        <v>0</v>
      </c>
      <c r="Z38" s="63">
        <f t="shared" si="55"/>
        <v>0</v>
      </c>
      <c r="AA38" s="63">
        <f t="shared" si="55"/>
        <v>0</v>
      </c>
      <c r="AB38" s="63">
        <f t="shared" si="55"/>
        <v>0</v>
      </c>
      <c r="AC38" s="63">
        <f t="shared" si="55"/>
        <v>0</v>
      </c>
      <c r="AD38" s="63">
        <f t="shared" si="55"/>
        <v>0</v>
      </c>
      <c r="AE38" s="63">
        <f t="shared" si="55"/>
        <v>0</v>
      </c>
      <c r="AF38" s="63">
        <f t="shared" si="55"/>
        <v>0</v>
      </c>
      <c r="AG38" s="63">
        <f t="shared" si="55"/>
        <v>0</v>
      </c>
      <c r="AH38" s="63">
        <f t="shared" si="55"/>
        <v>0</v>
      </c>
      <c r="AI38" s="63">
        <f t="shared" si="55"/>
        <v>0</v>
      </c>
      <c r="AJ38" s="63">
        <f t="shared" si="55"/>
        <v>0</v>
      </c>
      <c r="AK38" s="63">
        <f t="shared" si="55"/>
        <v>0</v>
      </c>
      <c r="AL38" s="63">
        <f t="shared" si="55"/>
        <v>0</v>
      </c>
      <c r="AM38" s="63">
        <f t="shared" si="59"/>
        <v>0</v>
      </c>
      <c r="AN38" s="63">
        <f t="shared" si="59"/>
        <v>0</v>
      </c>
      <c r="AO38" s="63">
        <f t="shared" si="59"/>
        <v>0</v>
      </c>
      <c r="AP38" s="63">
        <f t="shared" si="59"/>
        <v>0</v>
      </c>
      <c r="AQ38" s="63">
        <f t="shared" si="59"/>
        <v>0</v>
      </c>
      <c r="AR38" s="63">
        <f t="shared" si="59"/>
        <v>0</v>
      </c>
      <c r="AS38" s="63">
        <f t="shared" si="59"/>
        <v>0</v>
      </c>
      <c r="AT38" s="63">
        <f t="shared" si="59"/>
        <v>0</v>
      </c>
      <c r="AU38" s="63">
        <f t="shared" si="59"/>
        <v>0</v>
      </c>
      <c r="AV38" s="63">
        <f t="shared" si="59"/>
        <v>0</v>
      </c>
      <c r="AW38" s="63">
        <f t="shared" si="59"/>
        <v>0</v>
      </c>
      <c r="AX38" s="63">
        <f t="shared" si="59"/>
        <v>0</v>
      </c>
      <c r="AY38" s="63">
        <f t="shared" si="59"/>
        <v>0</v>
      </c>
      <c r="AZ38" s="63">
        <f t="shared" si="59"/>
        <v>0</v>
      </c>
      <c r="BB38" s="63">
        <f t="shared" si="64"/>
        <v>0</v>
      </c>
      <c r="BC38" s="63">
        <f t="shared" si="68"/>
        <v>0</v>
      </c>
      <c r="BD38" s="80">
        <f t="shared" si="65"/>
        <v>0</v>
      </c>
      <c r="CV38" s="161"/>
      <c r="EV38" s="1"/>
      <c r="FB38" s="1"/>
      <c r="HH38" s="22">
        <f t="shared" si="69"/>
        <v>0</v>
      </c>
      <c r="HI38" s="22"/>
    </row>
    <row r="39" spans="1:217" x14ac:dyDescent="0.25">
      <c r="A39" s="1" t="s">
        <v>140</v>
      </c>
      <c r="B39" s="58">
        <v>23</v>
      </c>
      <c r="D39" s="160">
        <v>9</v>
      </c>
      <c r="E39" s="1">
        <v>7</v>
      </c>
      <c r="F39" s="1" t="s">
        <v>290</v>
      </c>
      <c r="G39" s="1" t="s">
        <v>143</v>
      </c>
      <c r="H39" s="60">
        <v>36434</v>
      </c>
      <c r="I39" s="1" t="s">
        <v>93</v>
      </c>
      <c r="J39" s="1" t="s">
        <v>102</v>
      </c>
      <c r="L39" s="1" t="s">
        <v>95</v>
      </c>
      <c r="N39" s="1" t="str">
        <f t="shared" si="66"/>
        <v>23W</v>
      </c>
      <c r="O39" s="1" t="str">
        <f t="shared" si="67"/>
        <v>23WBase</v>
      </c>
      <c r="Q39" s="22">
        <f t="shared" si="52"/>
        <v>0</v>
      </c>
      <c r="R39" s="22">
        <f t="shared" si="53"/>
        <v>0</v>
      </c>
      <c r="T39" s="63">
        <v>37147</v>
      </c>
      <c r="V39" s="64">
        <v>0</v>
      </c>
      <c r="W39" s="63">
        <f t="shared" si="54"/>
        <v>0</v>
      </c>
      <c r="X39" s="63">
        <f t="shared" si="55"/>
        <v>0</v>
      </c>
      <c r="Y39" s="63">
        <f t="shared" si="55"/>
        <v>0</v>
      </c>
      <c r="Z39" s="63">
        <f t="shared" si="55"/>
        <v>0</v>
      </c>
      <c r="AA39" s="63">
        <f t="shared" si="55"/>
        <v>0</v>
      </c>
      <c r="AB39" s="63">
        <f t="shared" si="55"/>
        <v>0</v>
      </c>
      <c r="AC39" s="63">
        <f t="shared" si="55"/>
        <v>0</v>
      </c>
      <c r="AD39" s="63">
        <f t="shared" si="55"/>
        <v>0</v>
      </c>
      <c r="AE39" s="63">
        <f t="shared" si="55"/>
        <v>0</v>
      </c>
      <c r="AF39" s="63">
        <f t="shared" si="55"/>
        <v>0</v>
      </c>
      <c r="AG39" s="63">
        <f t="shared" si="55"/>
        <v>0</v>
      </c>
      <c r="AH39" s="63">
        <f t="shared" si="55"/>
        <v>0</v>
      </c>
      <c r="AI39" s="63">
        <f t="shared" si="55"/>
        <v>0</v>
      </c>
      <c r="AJ39" s="63">
        <f t="shared" si="55"/>
        <v>0</v>
      </c>
      <c r="AK39" s="63">
        <f t="shared" si="55"/>
        <v>0</v>
      </c>
      <c r="AL39" s="63">
        <f t="shared" si="55"/>
        <v>0</v>
      </c>
      <c r="AM39" s="63">
        <f t="shared" si="59"/>
        <v>0</v>
      </c>
      <c r="AN39" s="63">
        <f t="shared" si="59"/>
        <v>0</v>
      </c>
      <c r="AO39" s="63">
        <f t="shared" si="59"/>
        <v>0</v>
      </c>
      <c r="AP39" s="63">
        <f t="shared" si="59"/>
        <v>0</v>
      </c>
      <c r="AQ39" s="63">
        <f t="shared" si="59"/>
        <v>0</v>
      </c>
      <c r="AR39" s="63">
        <f t="shared" si="59"/>
        <v>0</v>
      </c>
      <c r="AS39" s="63">
        <f t="shared" si="59"/>
        <v>0</v>
      </c>
      <c r="AT39" s="63">
        <f t="shared" si="59"/>
        <v>0</v>
      </c>
      <c r="AU39" s="63">
        <f t="shared" si="59"/>
        <v>0</v>
      </c>
      <c r="AV39" s="63">
        <f t="shared" si="59"/>
        <v>0</v>
      </c>
      <c r="AW39" s="63">
        <f t="shared" si="59"/>
        <v>0</v>
      </c>
      <c r="AX39" s="63">
        <f t="shared" si="59"/>
        <v>0</v>
      </c>
      <c r="AY39" s="63">
        <f t="shared" si="59"/>
        <v>0</v>
      </c>
      <c r="AZ39" s="63">
        <f t="shared" si="59"/>
        <v>0</v>
      </c>
      <c r="BB39" s="63">
        <f t="shared" si="64"/>
        <v>0</v>
      </c>
      <c r="BC39" s="63">
        <f t="shared" si="68"/>
        <v>0</v>
      </c>
      <c r="BD39" s="80">
        <f t="shared" si="65"/>
        <v>0</v>
      </c>
      <c r="CV39" s="161"/>
      <c r="EV39" s="1"/>
      <c r="FB39" s="1"/>
      <c r="HH39" s="22">
        <f t="shared" si="69"/>
        <v>0</v>
      </c>
      <c r="HI39" s="22"/>
    </row>
    <row r="40" spans="1:217" x14ac:dyDescent="0.25">
      <c r="A40" s="1" t="s">
        <v>135</v>
      </c>
      <c r="B40" s="58" t="s">
        <v>136</v>
      </c>
      <c r="D40" s="160">
        <v>2</v>
      </c>
      <c r="E40" s="1">
        <v>5</v>
      </c>
      <c r="F40" s="1" t="s">
        <v>290</v>
      </c>
      <c r="G40" s="1" t="s">
        <v>108</v>
      </c>
      <c r="H40" s="60">
        <v>36459</v>
      </c>
      <c r="I40" s="1" t="s">
        <v>93</v>
      </c>
      <c r="J40" s="1" t="s">
        <v>94</v>
      </c>
      <c r="L40" s="1" t="s">
        <v>95</v>
      </c>
      <c r="M40" s="50"/>
      <c r="N40" s="1" t="str">
        <f t="shared" si="66"/>
        <v>23NR</v>
      </c>
      <c r="O40" s="1" t="str">
        <f t="shared" si="67"/>
        <v>23NRBase</v>
      </c>
      <c r="Q40" s="22">
        <f t="shared" si="52"/>
        <v>0</v>
      </c>
      <c r="R40" s="22">
        <f t="shared" si="53"/>
        <v>0</v>
      </c>
      <c r="T40" s="63">
        <v>37147</v>
      </c>
      <c r="V40" s="64">
        <v>0</v>
      </c>
      <c r="W40" s="63">
        <f t="shared" si="54"/>
        <v>0</v>
      </c>
      <c r="X40" s="63">
        <f t="shared" si="55"/>
        <v>0</v>
      </c>
      <c r="Y40" s="63">
        <f t="shared" si="55"/>
        <v>0</v>
      </c>
      <c r="Z40" s="63">
        <f t="shared" si="55"/>
        <v>0</v>
      </c>
      <c r="AA40" s="63">
        <f t="shared" si="55"/>
        <v>0</v>
      </c>
      <c r="AB40" s="63">
        <f t="shared" si="55"/>
        <v>0</v>
      </c>
      <c r="AC40" s="63">
        <f t="shared" si="55"/>
        <v>0</v>
      </c>
      <c r="AD40" s="63">
        <f t="shared" si="55"/>
        <v>0</v>
      </c>
      <c r="AE40" s="63">
        <f t="shared" si="55"/>
        <v>0</v>
      </c>
      <c r="AF40" s="63">
        <f t="shared" si="55"/>
        <v>0</v>
      </c>
      <c r="AG40" s="63">
        <f t="shared" si="55"/>
        <v>0</v>
      </c>
      <c r="AH40" s="63">
        <f t="shared" si="55"/>
        <v>0</v>
      </c>
      <c r="AI40" s="63">
        <f t="shared" si="55"/>
        <v>0</v>
      </c>
      <c r="AJ40" s="63">
        <f t="shared" si="55"/>
        <v>0</v>
      </c>
      <c r="AK40" s="63">
        <f t="shared" si="55"/>
        <v>0</v>
      </c>
      <c r="AL40" s="63">
        <f t="shared" si="55"/>
        <v>0</v>
      </c>
      <c r="AM40" s="63">
        <f t="shared" si="59"/>
        <v>0</v>
      </c>
      <c r="AN40" s="63">
        <f t="shared" si="59"/>
        <v>0</v>
      </c>
      <c r="AO40" s="63">
        <f t="shared" si="59"/>
        <v>0</v>
      </c>
      <c r="AP40" s="63">
        <f t="shared" si="59"/>
        <v>0</v>
      </c>
      <c r="AQ40" s="63">
        <f t="shared" si="59"/>
        <v>0</v>
      </c>
      <c r="AR40" s="63">
        <f t="shared" si="59"/>
        <v>0</v>
      </c>
      <c r="AS40" s="63">
        <f t="shared" si="59"/>
        <v>0</v>
      </c>
      <c r="AT40" s="63">
        <f t="shared" si="59"/>
        <v>0</v>
      </c>
      <c r="AU40" s="63">
        <f t="shared" si="59"/>
        <v>0</v>
      </c>
      <c r="AV40" s="63">
        <f t="shared" si="59"/>
        <v>0</v>
      </c>
      <c r="AW40" s="63">
        <f t="shared" si="59"/>
        <v>0</v>
      </c>
      <c r="AX40" s="63">
        <f t="shared" si="59"/>
        <v>0</v>
      </c>
      <c r="AY40" s="63">
        <f t="shared" si="59"/>
        <v>0</v>
      </c>
      <c r="AZ40" s="63">
        <f t="shared" si="59"/>
        <v>0</v>
      </c>
      <c r="BB40" s="63">
        <f t="shared" si="64"/>
        <v>0</v>
      </c>
      <c r="BC40" s="63">
        <f t="shared" si="68"/>
        <v>0</v>
      </c>
      <c r="BD40" s="80">
        <f t="shared" si="65"/>
        <v>0</v>
      </c>
      <c r="CV40" s="161"/>
      <c r="EV40" s="1"/>
      <c r="FB40" s="1"/>
      <c r="HH40" s="22">
        <f t="shared" si="69"/>
        <v>0</v>
      </c>
      <c r="HI40" s="22"/>
    </row>
    <row r="41" spans="1:217" x14ac:dyDescent="0.25">
      <c r="A41" s="1" t="s">
        <v>135</v>
      </c>
      <c r="B41" s="58" t="s">
        <v>136</v>
      </c>
      <c r="D41" s="160">
        <v>7</v>
      </c>
      <c r="E41" s="1">
        <v>5</v>
      </c>
      <c r="F41" s="1" t="s">
        <v>290</v>
      </c>
      <c r="G41" s="1" t="s">
        <v>108</v>
      </c>
      <c r="H41" s="60">
        <v>36459</v>
      </c>
      <c r="I41" s="1" t="s">
        <v>93</v>
      </c>
      <c r="J41" s="1" t="s">
        <v>94</v>
      </c>
      <c r="L41" s="1" t="s">
        <v>95</v>
      </c>
      <c r="N41" s="1" t="str">
        <f t="shared" si="66"/>
        <v>23NR</v>
      </c>
      <c r="O41" s="1" t="str">
        <f t="shared" si="67"/>
        <v>23NRBase</v>
      </c>
      <c r="Q41" s="22">
        <f t="shared" si="52"/>
        <v>0</v>
      </c>
      <c r="R41" s="22">
        <f t="shared" si="53"/>
        <v>0</v>
      </c>
      <c r="T41" s="63">
        <v>37147</v>
      </c>
      <c r="V41" s="64">
        <v>0</v>
      </c>
      <c r="W41" s="63">
        <f t="shared" si="54"/>
        <v>0</v>
      </c>
      <c r="X41" s="63">
        <f t="shared" ref="X41:AL41" si="70">W41</f>
        <v>0</v>
      </c>
      <c r="Y41" s="63">
        <f t="shared" si="70"/>
        <v>0</v>
      </c>
      <c r="Z41" s="63">
        <f t="shared" si="70"/>
        <v>0</v>
      </c>
      <c r="AA41" s="63">
        <f t="shared" si="70"/>
        <v>0</v>
      </c>
      <c r="AB41" s="63">
        <f t="shared" si="70"/>
        <v>0</v>
      </c>
      <c r="AC41" s="63">
        <f t="shared" si="70"/>
        <v>0</v>
      </c>
      <c r="AD41" s="63">
        <f t="shared" si="70"/>
        <v>0</v>
      </c>
      <c r="AE41" s="63">
        <f t="shared" si="70"/>
        <v>0</v>
      </c>
      <c r="AF41" s="63">
        <f t="shared" si="70"/>
        <v>0</v>
      </c>
      <c r="AG41" s="63">
        <f t="shared" si="70"/>
        <v>0</v>
      </c>
      <c r="AH41" s="63">
        <f t="shared" si="70"/>
        <v>0</v>
      </c>
      <c r="AI41" s="63">
        <f t="shared" si="70"/>
        <v>0</v>
      </c>
      <c r="AJ41" s="63">
        <f t="shared" si="70"/>
        <v>0</v>
      </c>
      <c r="AK41" s="63">
        <f t="shared" si="70"/>
        <v>0</v>
      </c>
      <c r="AL41" s="63">
        <f t="shared" si="70"/>
        <v>0</v>
      </c>
      <c r="AM41" s="63">
        <f t="shared" si="59"/>
        <v>0</v>
      </c>
      <c r="AN41" s="63">
        <f t="shared" si="59"/>
        <v>0</v>
      </c>
      <c r="AO41" s="63">
        <f t="shared" si="59"/>
        <v>0</v>
      </c>
      <c r="AP41" s="63">
        <f t="shared" si="59"/>
        <v>0</v>
      </c>
      <c r="AQ41" s="63">
        <f t="shared" si="59"/>
        <v>0</v>
      </c>
      <c r="AR41" s="63">
        <f t="shared" si="59"/>
        <v>0</v>
      </c>
      <c r="AS41" s="63">
        <f t="shared" si="59"/>
        <v>0</v>
      </c>
      <c r="AT41" s="63">
        <f t="shared" si="59"/>
        <v>0</v>
      </c>
      <c r="AU41" s="63">
        <f t="shared" si="59"/>
        <v>0</v>
      </c>
      <c r="AV41" s="63">
        <f t="shared" si="59"/>
        <v>0</v>
      </c>
      <c r="AW41" s="63">
        <f t="shared" si="59"/>
        <v>0</v>
      </c>
      <c r="AX41" s="63">
        <f t="shared" si="59"/>
        <v>0</v>
      </c>
      <c r="AY41" s="63">
        <f t="shared" si="59"/>
        <v>0</v>
      </c>
      <c r="AZ41" s="63">
        <f t="shared" si="59"/>
        <v>0</v>
      </c>
      <c r="BB41" s="63">
        <f t="shared" si="64"/>
        <v>0</v>
      </c>
      <c r="BC41" s="63">
        <f t="shared" si="68"/>
        <v>0</v>
      </c>
      <c r="BD41" s="80">
        <f t="shared" si="65"/>
        <v>0</v>
      </c>
      <c r="CV41" s="161"/>
      <c r="EV41" s="1"/>
      <c r="FB41" s="1"/>
      <c r="HH41" s="22">
        <f t="shared" si="69"/>
        <v>0</v>
      </c>
      <c r="HI41" s="22"/>
    </row>
    <row r="42" spans="1:217" x14ac:dyDescent="0.25">
      <c r="A42" s="1" t="s">
        <v>139</v>
      </c>
      <c r="B42" s="58">
        <v>73</v>
      </c>
      <c r="D42" s="160">
        <v>10</v>
      </c>
      <c r="E42" s="1">
        <v>6</v>
      </c>
      <c r="F42" s="1" t="s">
        <v>290</v>
      </c>
      <c r="G42" s="1" t="s">
        <v>291</v>
      </c>
      <c r="H42" s="60">
        <v>36521</v>
      </c>
      <c r="I42" s="1" t="s">
        <v>93</v>
      </c>
      <c r="J42" s="1" t="s">
        <v>94</v>
      </c>
      <c r="L42" s="1" t="s">
        <v>95</v>
      </c>
      <c r="M42" s="50"/>
      <c r="N42" s="1" t="str">
        <f t="shared" si="66"/>
        <v>73R</v>
      </c>
      <c r="O42" s="1" t="str">
        <f t="shared" si="67"/>
        <v>73RBase</v>
      </c>
      <c r="Q42" s="22">
        <f t="shared" si="52"/>
        <v>0</v>
      </c>
      <c r="R42" s="22">
        <f t="shared" si="53"/>
        <v>0</v>
      </c>
      <c r="T42" s="63">
        <v>37147</v>
      </c>
      <c r="V42" s="64">
        <v>0</v>
      </c>
      <c r="W42" s="63">
        <f t="shared" si="54"/>
        <v>0</v>
      </c>
      <c r="X42" s="63">
        <f t="shared" ref="X42:AL42" si="71">W42</f>
        <v>0</v>
      </c>
      <c r="Y42" s="63">
        <f t="shared" si="71"/>
        <v>0</v>
      </c>
      <c r="Z42" s="63">
        <f t="shared" si="71"/>
        <v>0</v>
      </c>
      <c r="AA42" s="63">
        <f t="shared" si="71"/>
        <v>0</v>
      </c>
      <c r="AB42" s="63">
        <f t="shared" si="71"/>
        <v>0</v>
      </c>
      <c r="AC42" s="63">
        <f t="shared" si="71"/>
        <v>0</v>
      </c>
      <c r="AD42" s="63">
        <f t="shared" si="71"/>
        <v>0</v>
      </c>
      <c r="AE42" s="63">
        <f t="shared" si="71"/>
        <v>0</v>
      </c>
      <c r="AF42" s="63">
        <f t="shared" si="71"/>
        <v>0</v>
      </c>
      <c r="AG42" s="63">
        <f t="shared" si="71"/>
        <v>0</v>
      </c>
      <c r="AH42" s="63">
        <f t="shared" si="71"/>
        <v>0</v>
      </c>
      <c r="AI42" s="63">
        <f t="shared" si="71"/>
        <v>0</v>
      </c>
      <c r="AJ42" s="63">
        <f t="shared" si="71"/>
        <v>0</v>
      </c>
      <c r="AK42" s="63">
        <f t="shared" si="71"/>
        <v>0</v>
      </c>
      <c r="AL42" s="63">
        <f t="shared" si="71"/>
        <v>0</v>
      </c>
      <c r="AM42" s="63">
        <f t="shared" si="59"/>
        <v>0</v>
      </c>
      <c r="AN42" s="63">
        <f t="shared" si="59"/>
        <v>0</v>
      </c>
      <c r="AO42" s="63">
        <f t="shared" si="59"/>
        <v>0</v>
      </c>
      <c r="AP42" s="63">
        <f t="shared" si="59"/>
        <v>0</v>
      </c>
      <c r="AQ42" s="63">
        <f t="shared" si="59"/>
        <v>0</v>
      </c>
      <c r="AR42" s="63">
        <f t="shared" si="59"/>
        <v>0</v>
      </c>
      <c r="AS42" s="63">
        <f t="shared" si="59"/>
        <v>0</v>
      </c>
      <c r="AT42" s="63">
        <f t="shared" si="59"/>
        <v>0</v>
      </c>
      <c r="AU42" s="63">
        <f t="shared" si="59"/>
        <v>0</v>
      </c>
      <c r="AV42" s="63">
        <f t="shared" si="59"/>
        <v>0</v>
      </c>
      <c r="AW42" s="63">
        <f t="shared" si="59"/>
        <v>0</v>
      </c>
      <c r="AX42" s="63">
        <f t="shared" si="59"/>
        <v>0</v>
      </c>
      <c r="AY42" s="63">
        <f t="shared" si="59"/>
        <v>0</v>
      </c>
      <c r="AZ42" s="63">
        <f t="shared" si="59"/>
        <v>0</v>
      </c>
      <c r="BB42" s="63">
        <f t="shared" si="64"/>
        <v>0</v>
      </c>
      <c r="BC42" s="63">
        <f t="shared" si="68"/>
        <v>0</v>
      </c>
      <c r="BD42" s="80">
        <f t="shared" si="65"/>
        <v>0</v>
      </c>
      <c r="CV42" s="161"/>
      <c r="EV42" s="1"/>
      <c r="FB42" s="1"/>
      <c r="HH42" s="22">
        <f t="shared" si="69"/>
        <v>0</v>
      </c>
      <c r="HI42" s="22"/>
    </row>
    <row r="43" spans="1:217" x14ac:dyDescent="0.25">
      <c r="A43" s="1" t="s">
        <v>146</v>
      </c>
      <c r="B43" s="58">
        <v>25</v>
      </c>
      <c r="D43" s="14">
        <v>26</v>
      </c>
      <c r="E43" s="1">
        <v>8</v>
      </c>
      <c r="F43" s="1" t="s">
        <v>123</v>
      </c>
      <c r="G43" s="1" t="s">
        <v>114</v>
      </c>
      <c r="H43" s="60" t="e">
        <f>#REF!</f>
        <v>#REF!</v>
      </c>
      <c r="I43" s="1" t="s">
        <v>93</v>
      </c>
      <c r="J43" s="1" t="s">
        <v>94</v>
      </c>
      <c r="L43" s="1" t="s">
        <v>95</v>
      </c>
      <c r="M43" s="50"/>
      <c r="N43" s="1" t="e">
        <f>#REF!</f>
        <v>#REF!</v>
      </c>
      <c r="O43" s="1" t="e">
        <f>#REF!</f>
        <v>#REF!</v>
      </c>
      <c r="Q43" s="22">
        <f t="shared" si="52"/>
        <v>39</v>
      </c>
      <c r="R43" s="22">
        <f t="shared" si="53"/>
        <v>39</v>
      </c>
      <c r="T43" s="63">
        <v>37147</v>
      </c>
      <c r="V43" s="66">
        <v>39</v>
      </c>
      <c r="W43" s="63">
        <f t="shared" si="54"/>
        <v>39</v>
      </c>
      <c r="X43" s="63">
        <f t="shared" ref="X43:AA54" si="72">W43</f>
        <v>39</v>
      </c>
      <c r="Y43" s="63">
        <f t="shared" si="72"/>
        <v>39</v>
      </c>
      <c r="Z43" s="63">
        <f t="shared" si="72"/>
        <v>39</v>
      </c>
      <c r="AA43" s="63">
        <f t="shared" si="72"/>
        <v>39</v>
      </c>
      <c r="AB43" s="63">
        <f t="shared" ref="AB43:AD54" si="73">AA43</f>
        <v>39</v>
      </c>
      <c r="AC43" s="63">
        <f t="shared" si="73"/>
        <v>39</v>
      </c>
      <c r="AD43" s="63">
        <f t="shared" si="73"/>
        <v>39</v>
      </c>
      <c r="AE43" s="63">
        <f t="shared" ref="AE43:AH55" si="74">AD43</f>
        <v>39</v>
      </c>
      <c r="AF43" s="63">
        <f t="shared" si="74"/>
        <v>39</v>
      </c>
      <c r="AG43" s="63">
        <f t="shared" si="74"/>
        <v>39</v>
      </c>
      <c r="AH43" s="63">
        <f t="shared" si="74"/>
        <v>39</v>
      </c>
      <c r="AI43" s="63">
        <f t="shared" ref="AI43:AK54" si="75">AH43</f>
        <v>39</v>
      </c>
      <c r="AJ43" s="63">
        <f t="shared" si="75"/>
        <v>39</v>
      </c>
      <c r="AK43" s="63">
        <f t="shared" si="75"/>
        <v>39</v>
      </c>
      <c r="AL43" s="63">
        <f t="shared" ref="AL43:AO55" si="76">AK43</f>
        <v>39</v>
      </c>
      <c r="AM43" s="63">
        <f t="shared" si="76"/>
        <v>39</v>
      </c>
      <c r="AN43" s="63">
        <f t="shared" si="76"/>
        <v>39</v>
      </c>
      <c r="AO43" s="63">
        <f t="shared" si="76"/>
        <v>39</v>
      </c>
      <c r="AP43" s="63">
        <f t="shared" ref="AP43:AR54" si="77">AO43</f>
        <v>39</v>
      </c>
      <c r="AQ43" s="63">
        <f t="shared" si="77"/>
        <v>39</v>
      </c>
      <c r="AR43" s="63">
        <f t="shared" si="77"/>
        <v>39</v>
      </c>
      <c r="AS43" s="63">
        <f t="shared" ref="AS43:AT54" si="78">AR43</f>
        <v>39</v>
      </c>
      <c r="AT43" s="63">
        <f t="shared" si="78"/>
        <v>39</v>
      </c>
      <c r="AU43" s="63">
        <f>AT43</f>
        <v>39</v>
      </c>
      <c r="AV43" s="63">
        <f t="shared" ref="AV43:AV54" si="79">AU43</f>
        <v>39</v>
      </c>
      <c r="AW43" s="63">
        <f t="shared" ref="AW43:AX54" si="80">AV43</f>
        <v>39</v>
      </c>
      <c r="AX43" s="63">
        <f t="shared" si="80"/>
        <v>39</v>
      </c>
      <c r="AY43" s="63">
        <f t="shared" ref="AY43:AY54" si="81">AX43</f>
        <v>39</v>
      </c>
      <c r="BB43" s="63">
        <f t="shared" si="64"/>
        <v>1170</v>
      </c>
      <c r="BC43" s="55">
        <f t="shared" si="16"/>
        <v>39</v>
      </c>
      <c r="BD43" s="80">
        <f t="shared" si="65"/>
        <v>39</v>
      </c>
      <c r="EV43" s="79"/>
      <c r="EX43" s="72"/>
      <c r="EZ43" s="72"/>
      <c r="FB43" s="79"/>
      <c r="FD43" s="72"/>
      <c r="FN43" s="1" t="s">
        <v>248</v>
      </c>
      <c r="GH43" s="72"/>
      <c r="GJ43" s="72"/>
      <c r="GL43" s="72"/>
      <c r="HE43" s="22">
        <f t="shared" ref="HE43:HE67" si="82">SUM(BG43:HD43)-V43</f>
        <v>-39</v>
      </c>
      <c r="HF43" s="22"/>
    </row>
    <row r="44" spans="1:217" x14ac:dyDescent="0.25">
      <c r="A44" s="1" t="s">
        <v>146</v>
      </c>
      <c r="B44" s="58">
        <v>25</v>
      </c>
      <c r="D44" s="14">
        <v>35</v>
      </c>
      <c r="E44" s="1">
        <v>8</v>
      </c>
      <c r="F44" s="1" t="s">
        <v>123</v>
      </c>
      <c r="G44" s="1" t="s">
        <v>114</v>
      </c>
      <c r="H44" s="60" t="e">
        <f>H43</f>
        <v>#REF!</v>
      </c>
      <c r="I44" s="1" t="s">
        <v>93</v>
      </c>
      <c r="J44" s="1" t="s">
        <v>94</v>
      </c>
      <c r="L44" s="1" t="s">
        <v>95</v>
      </c>
      <c r="N44" s="1" t="e">
        <f t="shared" ref="N44:O47" si="83">N43</f>
        <v>#REF!</v>
      </c>
      <c r="O44" s="1" t="e">
        <f t="shared" si="83"/>
        <v>#REF!</v>
      </c>
      <c r="Q44" s="22">
        <f t="shared" si="52"/>
        <v>8705</v>
      </c>
      <c r="R44" s="22">
        <f t="shared" si="53"/>
        <v>8705</v>
      </c>
      <c r="T44" s="63">
        <v>37147</v>
      </c>
      <c r="V44" s="66">
        <v>8705</v>
      </c>
      <c r="W44" s="63">
        <f t="shared" si="54"/>
        <v>8705</v>
      </c>
      <c r="X44" s="63">
        <f t="shared" si="72"/>
        <v>8705</v>
      </c>
      <c r="Y44" s="63">
        <f t="shared" si="72"/>
        <v>8705</v>
      </c>
      <c r="Z44" s="63">
        <f t="shared" si="72"/>
        <v>8705</v>
      </c>
      <c r="AA44" s="63">
        <f t="shared" si="72"/>
        <v>8705</v>
      </c>
      <c r="AB44" s="63">
        <f t="shared" si="73"/>
        <v>8705</v>
      </c>
      <c r="AC44" s="63">
        <f t="shared" si="73"/>
        <v>8705</v>
      </c>
      <c r="AD44" s="63">
        <f t="shared" si="73"/>
        <v>8705</v>
      </c>
      <c r="AE44" s="63">
        <f t="shared" si="74"/>
        <v>8705</v>
      </c>
      <c r="AF44" s="63">
        <f t="shared" si="74"/>
        <v>8705</v>
      </c>
      <c r="AG44" s="63">
        <f t="shared" si="74"/>
        <v>8705</v>
      </c>
      <c r="AH44" s="63">
        <f t="shared" si="74"/>
        <v>8705</v>
      </c>
      <c r="AI44" s="63">
        <f t="shared" si="75"/>
        <v>8705</v>
      </c>
      <c r="AJ44" s="63">
        <f t="shared" si="75"/>
        <v>8705</v>
      </c>
      <c r="AK44" s="63">
        <f t="shared" si="75"/>
        <v>8705</v>
      </c>
      <c r="AL44" s="63">
        <f t="shared" si="76"/>
        <v>8705</v>
      </c>
      <c r="AM44" s="63">
        <f t="shared" si="76"/>
        <v>8705</v>
      </c>
      <c r="AN44" s="63">
        <f t="shared" si="76"/>
        <v>8705</v>
      </c>
      <c r="AO44" s="63">
        <f t="shared" si="76"/>
        <v>8705</v>
      </c>
      <c r="AP44" s="63">
        <f t="shared" si="77"/>
        <v>8705</v>
      </c>
      <c r="AQ44" s="63">
        <f t="shared" si="77"/>
        <v>8705</v>
      </c>
      <c r="AR44" s="63">
        <f t="shared" si="77"/>
        <v>8705</v>
      </c>
      <c r="AS44" s="63">
        <f t="shared" si="78"/>
        <v>8705</v>
      </c>
      <c r="AT44" s="63">
        <f t="shared" si="78"/>
        <v>8705</v>
      </c>
      <c r="AU44" s="63">
        <f t="shared" ref="AU44:AU69" si="84">AT44</f>
        <v>8705</v>
      </c>
      <c r="AV44" s="63">
        <f t="shared" si="79"/>
        <v>8705</v>
      </c>
      <c r="AW44" s="63">
        <f t="shared" si="80"/>
        <v>8705</v>
      </c>
      <c r="AX44" s="63">
        <f t="shared" si="80"/>
        <v>8705</v>
      </c>
      <c r="AY44" s="63">
        <f t="shared" si="81"/>
        <v>8705</v>
      </c>
      <c r="BB44" s="63">
        <f t="shared" si="64"/>
        <v>261150</v>
      </c>
      <c r="BC44" s="55">
        <f t="shared" si="16"/>
        <v>8705</v>
      </c>
      <c r="BD44" s="80">
        <f t="shared" si="65"/>
        <v>8705</v>
      </c>
      <c r="EV44" s="77"/>
      <c r="EX44" s="12"/>
      <c r="EZ44" s="12"/>
      <c r="FB44" s="77"/>
      <c r="FD44" s="12"/>
      <c r="GH44" s="12"/>
      <c r="GJ44" s="12"/>
      <c r="GL44" s="12"/>
      <c r="HE44" s="22">
        <f t="shared" si="82"/>
        <v>-8705</v>
      </c>
      <c r="HF44" s="22"/>
    </row>
    <row r="45" spans="1:217" x14ac:dyDescent="0.25">
      <c r="A45" s="1" t="s">
        <v>146</v>
      </c>
      <c r="B45" s="58">
        <v>25</v>
      </c>
      <c r="D45" s="14">
        <v>36</v>
      </c>
      <c r="E45" s="1">
        <v>8</v>
      </c>
      <c r="F45" s="1" t="s">
        <v>123</v>
      </c>
      <c r="G45" s="1" t="s">
        <v>114</v>
      </c>
      <c r="H45" s="84" t="e">
        <f>H44</f>
        <v>#REF!</v>
      </c>
      <c r="I45" s="1" t="s">
        <v>93</v>
      </c>
      <c r="J45" s="1" t="s">
        <v>94</v>
      </c>
      <c r="L45" s="1" t="s">
        <v>95</v>
      </c>
      <c r="N45" s="1" t="e">
        <f t="shared" si="83"/>
        <v>#REF!</v>
      </c>
      <c r="O45" s="1" t="e">
        <f t="shared" si="83"/>
        <v>#REF!</v>
      </c>
      <c r="Q45" s="22">
        <f>+BC45</f>
        <v>2</v>
      </c>
      <c r="R45" s="22">
        <f t="shared" si="53"/>
        <v>2</v>
      </c>
      <c r="T45" s="63">
        <v>37147</v>
      </c>
      <c r="V45" s="66">
        <v>2</v>
      </c>
      <c r="W45" s="63">
        <f t="shared" si="54"/>
        <v>2</v>
      </c>
      <c r="X45" s="63">
        <f t="shared" si="72"/>
        <v>2</v>
      </c>
      <c r="Y45" s="63">
        <f t="shared" si="72"/>
        <v>2</v>
      </c>
      <c r="Z45" s="63">
        <f t="shared" si="72"/>
        <v>2</v>
      </c>
      <c r="AA45" s="63">
        <f t="shared" si="72"/>
        <v>2</v>
      </c>
      <c r="AB45" s="63">
        <f t="shared" si="73"/>
        <v>2</v>
      </c>
      <c r="AC45" s="63">
        <f t="shared" si="73"/>
        <v>2</v>
      </c>
      <c r="AD45" s="63">
        <f t="shared" si="73"/>
        <v>2</v>
      </c>
      <c r="AE45" s="63">
        <f t="shared" si="74"/>
        <v>2</v>
      </c>
      <c r="AF45" s="63">
        <f t="shared" si="74"/>
        <v>2</v>
      </c>
      <c r="AG45" s="63">
        <f t="shared" si="74"/>
        <v>2</v>
      </c>
      <c r="AH45" s="63">
        <f t="shared" si="74"/>
        <v>2</v>
      </c>
      <c r="AI45" s="63">
        <f t="shared" si="75"/>
        <v>2</v>
      </c>
      <c r="AJ45" s="63">
        <f t="shared" si="75"/>
        <v>2</v>
      </c>
      <c r="AK45" s="63">
        <f t="shared" si="75"/>
        <v>2</v>
      </c>
      <c r="AL45" s="63">
        <f t="shared" si="76"/>
        <v>2</v>
      </c>
      <c r="AM45" s="63">
        <f t="shared" si="76"/>
        <v>2</v>
      </c>
      <c r="AN45" s="63">
        <f t="shared" si="76"/>
        <v>2</v>
      </c>
      <c r="AO45" s="63">
        <f t="shared" si="76"/>
        <v>2</v>
      </c>
      <c r="AP45" s="63">
        <f t="shared" si="77"/>
        <v>2</v>
      </c>
      <c r="AQ45" s="63">
        <f t="shared" si="77"/>
        <v>2</v>
      </c>
      <c r="AR45" s="63">
        <f t="shared" si="77"/>
        <v>2</v>
      </c>
      <c r="AS45" s="63">
        <f t="shared" si="78"/>
        <v>2</v>
      </c>
      <c r="AT45" s="63">
        <f t="shared" si="78"/>
        <v>2</v>
      </c>
      <c r="AU45" s="63">
        <f t="shared" si="84"/>
        <v>2</v>
      </c>
      <c r="AV45" s="63">
        <f t="shared" si="79"/>
        <v>2</v>
      </c>
      <c r="AW45" s="63">
        <f t="shared" si="80"/>
        <v>2</v>
      </c>
      <c r="AX45" s="63">
        <f t="shared" si="80"/>
        <v>2</v>
      </c>
      <c r="AY45" s="63">
        <f t="shared" si="81"/>
        <v>2</v>
      </c>
      <c r="BB45" s="63">
        <f>SUM(V45:AZ45)</f>
        <v>60</v>
      </c>
      <c r="BC45" s="55">
        <f t="shared" si="16"/>
        <v>2</v>
      </c>
      <c r="BD45" s="63">
        <f>MAX(V45:AZ45)</f>
        <v>2</v>
      </c>
      <c r="CV45" s="1" t="s">
        <v>124</v>
      </c>
      <c r="HE45" s="22">
        <f t="shared" si="82"/>
        <v>-2</v>
      </c>
      <c r="HF45" s="22"/>
    </row>
    <row r="46" spans="1:217" x14ac:dyDescent="0.25">
      <c r="A46" s="1" t="s">
        <v>146</v>
      </c>
      <c r="B46" s="58">
        <v>25</v>
      </c>
      <c r="D46" s="14">
        <v>38</v>
      </c>
      <c r="E46" s="1">
        <v>8</v>
      </c>
      <c r="F46" s="1" t="s">
        <v>123</v>
      </c>
      <c r="G46" s="1" t="s">
        <v>114</v>
      </c>
      <c r="H46" s="60" t="e">
        <f>H45</f>
        <v>#REF!</v>
      </c>
      <c r="I46" s="1" t="s">
        <v>93</v>
      </c>
      <c r="J46" s="1" t="s">
        <v>94</v>
      </c>
      <c r="L46" s="1" t="s">
        <v>95</v>
      </c>
      <c r="N46" s="1" t="e">
        <f t="shared" si="83"/>
        <v>#REF!</v>
      </c>
      <c r="O46" s="1" t="e">
        <f t="shared" si="83"/>
        <v>#REF!</v>
      </c>
      <c r="Q46" s="22">
        <f t="shared" si="52"/>
        <v>111</v>
      </c>
      <c r="R46" s="22">
        <f t="shared" si="53"/>
        <v>111</v>
      </c>
      <c r="T46" s="63">
        <v>37147</v>
      </c>
      <c r="V46" s="66">
        <v>111</v>
      </c>
      <c r="W46" s="63">
        <f t="shared" si="54"/>
        <v>111</v>
      </c>
      <c r="X46" s="63">
        <f t="shared" si="72"/>
        <v>111</v>
      </c>
      <c r="Y46" s="63">
        <f t="shared" si="72"/>
        <v>111</v>
      </c>
      <c r="Z46" s="63">
        <f t="shared" si="72"/>
        <v>111</v>
      </c>
      <c r="AA46" s="63">
        <f t="shared" si="72"/>
        <v>111</v>
      </c>
      <c r="AB46" s="63">
        <f t="shared" si="73"/>
        <v>111</v>
      </c>
      <c r="AC46" s="63">
        <f t="shared" si="73"/>
        <v>111</v>
      </c>
      <c r="AD46" s="63">
        <f t="shared" si="73"/>
        <v>111</v>
      </c>
      <c r="AE46" s="63">
        <f t="shared" si="74"/>
        <v>111</v>
      </c>
      <c r="AF46" s="63">
        <f t="shared" si="74"/>
        <v>111</v>
      </c>
      <c r="AG46" s="63">
        <f t="shared" si="74"/>
        <v>111</v>
      </c>
      <c r="AH46" s="63">
        <f t="shared" si="74"/>
        <v>111</v>
      </c>
      <c r="AI46" s="63">
        <f t="shared" si="75"/>
        <v>111</v>
      </c>
      <c r="AJ46" s="63">
        <f t="shared" si="75"/>
        <v>111</v>
      </c>
      <c r="AK46" s="63">
        <f t="shared" si="75"/>
        <v>111</v>
      </c>
      <c r="AL46" s="63">
        <f t="shared" si="76"/>
        <v>111</v>
      </c>
      <c r="AM46" s="63">
        <f t="shared" si="76"/>
        <v>111</v>
      </c>
      <c r="AN46" s="63">
        <f t="shared" si="76"/>
        <v>111</v>
      </c>
      <c r="AO46" s="63">
        <f t="shared" si="76"/>
        <v>111</v>
      </c>
      <c r="AP46" s="63">
        <f t="shared" si="77"/>
        <v>111</v>
      </c>
      <c r="AQ46" s="63">
        <f t="shared" si="77"/>
        <v>111</v>
      </c>
      <c r="AR46" s="63">
        <f t="shared" si="77"/>
        <v>111</v>
      </c>
      <c r="AS46" s="63">
        <f t="shared" si="78"/>
        <v>111</v>
      </c>
      <c r="AT46" s="63">
        <f t="shared" si="78"/>
        <v>111</v>
      </c>
      <c r="AU46" s="63">
        <f t="shared" si="84"/>
        <v>111</v>
      </c>
      <c r="AV46" s="63">
        <f t="shared" si="79"/>
        <v>111</v>
      </c>
      <c r="AW46" s="63">
        <f t="shared" si="80"/>
        <v>111</v>
      </c>
      <c r="AX46" s="63">
        <f t="shared" si="80"/>
        <v>111</v>
      </c>
      <c r="AY46" s="63">
        <f t="shared" si="81"/>
        <v>111</v>
      </c>
      <c r="BB46" s="63">
        <f t="shared" si="64"/>
        <v>3330</v>
      </c>
      <c r="BC46" s="55">
        <f t="shared" si="16"/>
        <v>111</v>
      </c>
      <c r="BD46" s="80">
        <f t="shared" si="65"/>
        <v>111</v>
      </c>
      <c r="FR46" s="1" t="s">
        <v>119</v>
      </c>
      <c r="HE46" s="22">
        <f t="shared" si="82"/>
        <v>-111</v>
      </c>
      <c r="HF46" s="22"/>
    </row>
    <row r="47" spans="1:217" x14ac:dyDescent="0.25">
      <c r="A47" s="1" t="s">
        <v>146</v>
      </c>
      <c r="B47" s="58">
        <v>25</v>
      </c>
      <c r="D47" s="14">
        <v>39</v>
      </c>
      <c r="E47" s="1">
        <v>8</v>
      </c>
      <c r="F47" s="1" t="s">
        <v>123</v>
      </c>
      <c r="G47" s="1" t="s">
        <v>114</v>
      </c>
      <c r="H47" s="60" t="e">
        <f>H46</f>
        <v>#REF!</v>
      </c>
      <c r="I47" s="1" t="s">
        <v>93</v>
      </c>
      <c r="J47" s="1" t="s">
        <v>94</v>
      </c>
      <c r="L47" s="1" t="s">
        <v>95</v>
      </c>
      <c r="M47" s="50"/>
      <c r="N47" s="1" t="e">
        <f t="shared" si="83"/>
        <v>#REF!</v>
      </c>
      <c r="O47" s="1" t="e">
        <f t="shared" si="83"/>
        <v>#REF!</v>
      </c>
      <c r="Q47" s="22">
        <f t="shared" si="52"/>
        <v>126</v>
      </c>
      <c r="R47" s="22">
        <f t="shared" si="53"/>
        <v>126</v>
      </c>
      <c r="T47" s="63">
        <v>37147</v>
      </c>
      <c r="V47" s="66">
        <v>126</v>
      </c>
      <c r="W47" s="63">
        <f t="shared" si="54"/>
        <v>126</v>
      </c>
      <c r="X47" s="63">
        <f t="shared" si="72"/>
        <v>126</v>
      </c>
      <c r="Y47" s="63">
        <f t="shared" si="72"/>
        <v>126</v>
      </c>
      <c r="Z47" s="63">
        <f t="shared" si="72"/>
        <v>126</v>
      </c>
      <c r="AA47" s="63">
        <f t="shared" si="72"/>
        <v>126</v>
      </c>
      <c r="AB47" s="63">
        <f t="shared" si="73"/>
        <v>126</v>
      </c>
      <c r="AC47" s="63">
        <f t="shared" si="73"/>
        <v>126</v>
      </c>
      <c r="AD47" s="63">
        <f t="shared" si="73"/>
        <v>126</v>
      </c>
      <c r="AE47" s="63">
        <f t="shared" si="74"/>
        <v>126</v>
      </c>
      <c r="AF47" s="63">
        <f t="shared" si="74"/>
        <v>126</v>
      </c>
      <c r="AG47" s="63">
        <f t="shared" si="74"/>
        <v>126</v>
      </c>
      <c r="AH47" s="63">
        <f t="shared" si="74"/>
        <v>126</v>
      </c>
      <c r="AI47" s="63">
        <f t="shared" si="75"/>
        <v>126</v>
      </c>
      <c r="AJ47" s="63">
        <f t="shared" si="75"/>
        <v>126</v>
      </c>
      <c r="AK47" s="63">
        <f t="shared" si="75"/>
        <v>126</v>
      </c>
      <c r="AL47" s="63">
        <f t="shared" si="76"/>
        <v>126</v>
      </c>
      <c r="AM47" s="63">
        <f t="shared" si="76"/>
        <v>126</v>
      </c>
      <c r="AN47" s="63">
        <f t="shared" si="76"/>
        <v>126</v>
      </c>
      <c r="AO47" s="63">
        <f t="shared" si="76"/>
        <v>126</v>
      </c>
      <c r="AP47" s="63">
        <f t="shared" si="77"/>
        <v>126</v>
      </c>
      <c r="AQ47" s="63">
        <f t="shared" si="77"/>
        <v>126</v>
      </c>
      <c r="AR47" s="63">
        <f t="shared" si="77"/>
        <v>126</v>
      </c>
      <c r="AS47" s="63">
        <f t="shared" si="78"/>
        <v>126</v>
      </c>
      <c r="AT47" s="63">
        <f t="shared" si="78"/>
        <v>126</v>
      </c>
      <c r="AU47" s="63">
        <f t="shared" si="84"/>
        <v>126</v>
      </c>
      <c r="AV47" s="63">
        <f t="shared" si="79"/>
        <v>126</v>
      </c>
      <c r="AW47" s="63">
        <f t="shared" si="80"/>
        <v>126</v>
      </c>
      <c r="AX47" s="63">
        <f t="shared" si="80"/>
        <v>126</v>
      </c>
      <c r="AY47" s="63">
        <f t="shared" si="81"/>
        <v>126</v>
      </c>
      <c r="BB47" s="63">
        <f t="shared" si="64"/>
        <v>3780</v>
      </c>
      <c r="BC47" s="55">
        <f t="shared" si="16"/>
        <v>126</v>
      </c>
      <c r="BD47" s="80">
        <f t="shared" si="65"/>
        <v>126</v>
      </c>
      <c r="EV47" s="65" t="s">
        <v>276</v>
      </c>
      <c r="FB47" s="65" t="s">
        <v>276</v>
      </c>
      <c r="HE47" s="22">
        <f t="shared" si="82"/>
        <v>-126</v>
      </c>
      <c r="HF47" s="22"/>
    </row>
    <row r="48" spans="1:217" x14ac:dyDescent="0.25">
      <c r="A48" s="1" t="s">
        <v>146</v>
      </c>
      <c r="B48" s="58">
        <v>25</v>
      </c>
      <c r="D48" s="14">
        <v>35</v>
      </c>
      <c r="E48" s="1">
        <v>8</v>
      </c>
      <c r="F48" s="1" t="s">
        <v>132</v>
      </c>
      <c r="G48" s="1" t="s">
        <v>147</v>
      </c>
      <c r="H48" s="60">
        <v>36336</v>
      </c>
      <c r="I48" s="1" t="s">
        <v>93</v>
      </c>
      <c r="J48" s="1" t="s">
        <v>102</v>
      </c>
      <c r="L48" s="1" t="s">
        <v>95</v>
      </c>
      <c r="M48" s="50"/>
      <c r="N48" s="1" t="str">
        <f t="shared" ref="N48:N72" si="85">CONCATENATE(B48,J48)</f>
        <v>25W</v>
      </c>
      <c r="O48" s="1" t="str">
        <f t="shared" ref="O48:O72" si="86">CONCATENATE(B48,J48,I48)</f>
        <v>25WBase</v>
      </c>
      <c r="Q48" s="22">
        <f t="shared" si="52"/>
        <v>0</v>
      </c>
      <c r="R48" s="22">
        <f t="shared" si="53"/>
        <v>0</v>
      </c>
      <c r="T48" s="63">
        <v>37147</v>
      </c>
      <c r="V48" s="64">
        <v>0</v>
      </c>
      <c r="W48" s="63">
        <f t="shared" si="54"/>
        <v>0</v>
      </c>
      <c r="X48" s="63">
        <f t="shared" si="72"/>
        <v>0</v>
      </c>
      <c r="Y48" s="63">
        <f t="shared" si="72"/>
        <v>0</v>
      </c>
      <c r="Z48" s="63">
        <f t="shared" si="72"/>
        <v>0</v>
      </c>
      <c r="AA48" s="63">
        <f t="shared" si="72"/>
        <v>0</v>
      </c>
      <c r="AB48" s="63">
        <f t="shared" si="73"/>
        <v>0</v>
      </c>
      <c r="AC48" s="63">
        <f t="shared" si="73"/>
        <v>0</v>
      </c>
      <c r="AD48" s="63">
        <f t="shared" si="73"/>
        <v>0</v>
      </c>
      <c r="AE48" s="63">
        <f t="shared" si="74"/>
        <v>0</v>
      </c>
      <c r="AF48" s="63">
        <f t="shared" si="74"/>
        <v>0</v>
      </c>
      <c r="AG48" s="63">
        <f t="shared" si="74"/>
        <v>0</v>
      </c>
      <c r="AH48" s="63">
        <f t="shared" si="74"/>
        <v>0</v>
      </c>
      <c r="AI48" s="63">
        <f t="shared" si="75"/>
        <v>0</v>
      </c>
      <c r="AJ48" s="63">
        <f t="shared" si="75"/>
        <v>0</v>
      </c>
      <c r="AK48" s="63">
        <f t="shared" si="75"/>
        <v>0</v>
      </c>
      <c r="AL48" s="63">
        <f t="shared" si="76"/>
        <v>0</v>
      </c>
      <c r="AM48" s="63">
        <f t="shared" si="76"/>
        <v>0</v>
      </c>
      <c r="AN48" s="63">
        <f t="shared" si="76"/>
        <v>0</v>
      </c>
      <c r="AO48" s="63">
        <f t="shared" si="76"/>
        <v>0</v>
      </c>
      <c r="AP48" s="63">
        <f t="shared" si="77"/>
        <v>0</v>
      </c>
      <c r="AQ48" s="63">
        <f t="shared" si="77"/>
        <v>0</v>
      </c>
      <c r="AR48" s="63">
        <f t="shared" si="77"/>
        <v>0</v>
      </c>
      <c r="AS48" s="63">
        <f t="shared" si="78"/>
        <v>0</v>
      </c>
      <c r="AT48" s="63">
        <f t="shared" si="78"/>
        <v>0</v>
      </c>
      <c r="AU48" s="63">
        <f t="shared" si="84"/>
        <v>0</v>
      </c>
      <c r="AV48" s="63">
        <f t="shared" si="79"/>
        <v>0</v>
      </c>
      <c r="AW48" s="63">
        <f t="shared" si="80"/>
        <v>0</v>
      </c>
      <c r="AX48" s="63">
        <f t="shared" si="80"/>
        <v>0</v>
      </c>
      <c r="AY48" s="63">
        <f t="shared" si="81"/>
        <v>0</v>
      </c>
      <c r="BB48" s="63">
        <f t="shared" si="64"/>
        <v>0</v>
      </c>
      <c r="BC48" s="55">
        <f t="shared" si="16"/>
        <v>0</v>
      </c>
      <c r="BD48" s="80">
        <f t="shared" si="65"/>
        <v>0</v>
      </c>
      <c r="EV48" s="65" t="s">
        <v>277</v>
      </c>
      <c r="FB48" s="65" t="s">
        <v>277</v>
      </c>
      <c r="FP48" s="1" t="s">
        <v>249</v>
      </c>
      <c r="HE48" s="22">
        <f t="shared" si="82"/>
        <v>0</v>
      </c>
      <c r="HF48" s="22"/>
    </row>
    <row r="49" spans="1:214" x14ac:dyDescent="0.25">
      <c r="A49" s="1" t="s">
        <v>146</v>
      </c>
      <c r="B49" s="58">
        <v>25</v>
      </c>
      <c r="D49" s="14">
        <v>35</v>
      </c>
      <c r="E49" s="1">
        <v>8</v>
      </c>
      <c r="F49" s="1" t="s">
        <v>149</v>
      </c>
      <c r="G49" s="1" t="s">
        <v>143</v>
      </c>
      <c r="H49" s="84">
        <v>36465</v>
      </c>
      <c r="I49" s="1" t="s">
        <v>93</v>
      </c>
      <c r="J49" s="1" t="s">
        <v>102</v>
      </c>
      <c r="L49" s="1" t="s">
        <v>95</v>
      </c>
      <c r="N49" s="1" t="str">
        <f t="shared" si="85"/>
        <v>25W</v>
      </c>
      <c r="O49" s="1" t="str">
        <f t="shared" si="86"/>
        <v>25WBase</v>
      </c>
      <c r="Q49" s="22">
        <f t="shared" si="52"/>
        <v>0</v>
      </c>
      <c r="R49" s="22">
        <f t="shared" si="53"/>
        <v>0</v>
      </c>
      <c r="T49" s="63">
        <v>37147</v>
      </c>
      <c r="V49" s="64">
        <v>0</v>
      </c>
      <c r="W49" s="63">
        <f t="shared" si="54"/>
        <v>0</v>
      </c>
      <c r="X49" s="63">
        <f>W49</f>
        <v>0</v>
      </c>
      <c r="Y49" s="63">
        <f>X49</f>
        <v>0</v>
      </c>
      <c r="Z49" s="63">
        <f>Y49</f>
        <v>0</v>
      </c>
      <c r="AA49" s="63">
        <f>Z49</f>
        <v>0</v>
      </c>
      <c r="AB49" s="63">
        <f t="shared" si="73"/>
        <v>0</v>
      </c>
      <c r="AC49" s="63">
        <f t="shared" si="73"/>
        <v>0</v>
      </c>
      <c r="AD49" s="63">
        <f t="shared" si="73"/>
        <v>0</v>
      </c>
      <c r="AE49" s="63">
        <f t="shared" si="74"/>
        <v>0</v>
      </c>
      <c r="AF49" s="63">
        <f t="shared" si="74"/>
        <v>0</v>
      </c>
      <c r="AG49" s="63">
        <f t="shared" si="74"/>
        <v>0</v>
      </c>
      <c r="AH49" s="63">
        <f t="shared" si="74"/>
        <v>0</v>
      </c>
      <c r="AI49" s="63">
        <f t="shared" si="75"/>
        <v>0</v>
      </c>
      <c r="AJ49" s="63">
        <f t="shared" si="75"/>
        <v>0</v>
      </c>
      <c r="AK49" s="63">
        <f t="shared" si="75"/>
        <v>0</v>
      </c>
      <c r="AL49" s="63">
        <f t="shared" si="76"/>
        <v>0</v>
      </c>
      <c r="AM49" s="63">
        <f t="shared" si="76"/>
        <v>0</v>
      </c>
      <c r="AN49" s="63">
        <f t="shared" si="76"/>
        <v>0</v>
      </c>
      <c r="AO49" s="63">
        <f t="shared" si="76"/>
        <v>0</v>
      </c>
      <c r="AP49" s="63">
        <f t="shared" si="77"/>
        <v>0</v>
      </c>
      <c r="AQ49" s="63">
        <f t="shared" si="77"/>
        <v>0</v>
      </c>
      <c r="AR49" s="63">
        <f t="shared" si="77"/>
        <v>0</v>
      </c>
      <c r="AS49" s="63">
        <f t="shared" si="78"/>
        <v>0</v>
      </c>
      <c r="AT49" s="63">
        <f t="shared" si="78"/>
        <v>0</v>
      </c>
      <c r="AU49" s="63">
        <f t="shared" si="84"/>
        <v>0</v>
      </c>
      <c r="AV49" s="63">
        <f t="shared" si="79"/>
        <v>0</v>
      </c>
      <c r="AW49" s="63">
        <f t="shared" si="80"/>
        <v>0</v>
      </c>
      <c r="AX49" s="63">
        <f t="shared" si="80"/>
        <v>0</v>
      </c>
      <c r="AY49" s="63">
        <f t="shared" si="81"/>
        <v>0</v>
      </c>
      <c r="BB49" s="63">
        <f t="shared" si="64"/>
        <v>0</v>
      </c>
      <c r="BC49" s="55">
        <f t="shared" si="16"/>
        <v>0</v>
      </c>
      <c r="BD49" s="80">
        <f t="shared" si="65"/>
        <v>0</v>
      </c>
      <c r="HE49" s="22">
        <f t="shared" si="82"/>
        <v>0</v>
      </c>
      <c r="HF49" s="22"/>
    </row>
    <row r="50" spans="1:214" x14ac:dyDescent="0.25">
      <c r="A50" s="1" t="s">
        <v>150</v>
      </c>
      <c r="B50" s="58">
        <v>19</v>
      </c>
      <c r="D50" s="14">
        <v>26</v>
      </c>
      <c r="E50" s="1">
        <v>8</v>
      </c>
      <c r="F50" s="1" t="s">
        <v>123</v>
      </c>
      <c r="G50" s="1" t="s">
        <v>108</v>
      </c>
      <c r="H50" s="60">
        <v>36336</v>
      </c>
      <c r="I50" s="1" t="s">
        <v>93</v>
      </c>
      <c r="J50" s="1" t="s">
        <v>94</v>
      </c>
      <c r="L50" s="1" t="s">
        <v>95</v>
      </c>
      <c r="N50" s="1" t="str">
        <f t="shared" si="85"/>
        <v>19R</v>
      </c>
      <c r="O50" s="1" t="str">
        <f t="shared" si="86"/>
        <v>19RBase</v>
      </c>
      <c r="Q50" s="22">
        <f t="shared" si="52"/>
        <v>53</v>
      </c>
      <c r="R50" s="22">
        <f t="shared" ref="R50:R72" si="87">+Q50</f>
        <v>53</v>
      </c>
      <c r="T50" s="63">
        <v>37147</v>
      </c>
      <c r="V50" s="66">
        <v>53</v>
      </c>
      <c r="W50" s="63">
        <f t="shared" si="54"/>
        <v>53</v>
      </c>
      <c r="X50" s="63">
        <f t="shared" si="72"/>
        <v>53</v>
      </c>
      <c r="Y50" s="63">
        <f t="shared" si="72"/>
        <v>53</v>
      </c>
      <c r="Z50" s="63">
        <f t="shared" si="72"/>
        <v>53</v>
      </c>
      <c r="AA50" s="63">
        <f t="shared" si="72"/>
        <v>53</v>
      </c>
      <c r="AB50" s="63">
        <f t="shared" si="73"/>
        <v>53</v>
      </c>
      <c r="AC50" s="63">
        <f t="shared" si="73"/>
        <v>53</v>
      </c>
      <c r="AD50" s="63">
        <f t="shared" si="73"/>
        <v>53</v>
      </c>
      <c r="AE50" s="63">
        <f t="shared" si="74"/>
        <v>53</v>
      </c>
      <c r="AF50" s="63">
        <f t="shared" si="74"/>
        <v>53</v>
      </c>
      <c r="AG50" s="63">
        <f t="shared" si="74"/>
        <v>53</v>
      </c>
      <c r="AH50" s="63">
        <f t="shared" si="74"/>
        <v>53</v>
      </c>
      <c r="AI50" s="63">
        <f t="shared" si="75"/>
        <v>53</v>
      </c>
      <c r="AJ50" s="63">
        <f t="shared" si="75"/>
        <v>53</v>
      </c>
      <c r="AK50" s="63">
        <f t="shared" si="75"/>
        <v>53</v>
      </c>
      <c r="AL50" s="63">
        <f t="shared" si="76"/>
        <v>53</v>
      </c>
      <c r="AM50" s="63">
        <f t="shared" si="76"/>
        <v>53</v>
      </c>
      <c r="AN50" s="63">
        <f t="shared" si="76"/>
        <v>53</v>
      </c>
      <c r="AO50" s="63">
        <f t="shared" si="76"/>
        <v>53</v>
      </c>
      <c r="AP50" s="63">
        <f t="shared" si="77"/>
        <v>53</v>
      </c>
      <c r="AQ50" s="63">
        <f t="shared" si="77"/>
        <v>53</v>
      </c>
      <c r="AR50" s="63">
        <f t="shared" si="77"/>
        <v>53</v>
      </c>
      <c r="AS50" s="63">
        <f t="shared" si="78"/>
        <v>53</v>
      </c>
      <c r="AT50" s="63">
        <f t="shared" si="78"/>
        <v>53</v>
      </c>
      <c r="AU50" s="63">
        <f t="shared" si="84"/>
        <v>53</v>
      </c>
      <c r="AV50" s="63">
        <f t="shared" si="79"/>
        <v>53</v>
      </c>
      <c r="AW50" s="63">
        <f t="shared" si="80"/>
        <v>53</v>
      </c>
      <c r="AX50" s="63">
        <f t="shared" si="80"/>
        <v>53</v>
      </c>
      <c r="AY50" s="63">
        <f t="shared" si="81"/>
        <v>53</v>
      </c>
      <c r="BB50" s="63">
        <f t="shared" si="64"/>
        <v>1590</v>
      </c>
      <c r="BC50" s="55">
        <f t="shared" ref="BC50:BC69" si="88">+BB50/30</f>
        <v>53</v>
      </c>
      <c r="BD50" s="80">
        <f t="shared" si="65"/>
        <v>53</v>
      </c>
      <c r="BV50" s="1" t="s">
        <v>105</v>
      </c>
      <c r="BZ50" s="1" t="s">
        <v>130</v>
      </c>
      <c r="CD50" s="50"/>
      <c r="CF50" s="50"/>
      <c r="CH50" s="50"/>
      <c r="CJ50" s="50"/>
      <c r="CL50" s="50"/>
      <c r="CN50" s="1" t="s">
        <v>129</v>
      </c>
      <c r="CP50" s="50"/>
      <c r="CR50" s="50"/>
      <c r="CT50" s="50"/>
      <c r="CV50" s="50"/>
      <c r="CX50" s="50"/>
      <c r="CZ50" s="50"/>
      <c r="DB50" s="50"/>
      <c r="DD50" s="50"/>
      <c r="DF50" s="50"/>
      <c r="DH50" s="50"/>
      <c r="DJ50" s="50"/>
      <c r="DL50" s="50"/>
      <c r="DN50" s="50"/>
      <c r="DP50" s="50"/>
      <c r="DR50" s="50"/>
      <c r="DT50" s="50"/>
      <c r="ED50" s="1" t="s">
        <v>125</v>
      </c>
      <c r="EJ50" s="1" t="s">
        <v>126</v>
      </c>
      <c r="EL50" s="50"/>
      <c r="ET50" s="1" t="s">
        <v>125</v>
      </c>
      <c r="FN50" s="1" t="s">
        <v>137</v>
      </c>
      <c r="HE50" s="22">
        <f t="shared" si="82"/>
        <v>-53</v>
      </c>
      <c r="HF50" s="22"/>
    </row>
    <row r="51" spans="1:214" x14ac:dyDescent="0.25">
      <c r="A51" s="1" t="s">
        <v>150</v>
      </c>
      <c r="B51" s="58">
        <v>19</v>
      </c>
      <c r="D51" s="14">
        <v>27</v>
      </c>
      <c r="E51" s="1">
        <v>8</v>
      </c>
      <c r="F51" s="1" t="s">
        <v>97</v>
      </c>
      <c r="G51" s="1" t="s">
        <v>108</v>
      </c>
      <c r="H51" s="60">
        <v>36336</v>
      </c>
      <c r="I51" s="1" t="s">
        <v>93</v>
      </c>
      <c r="J51" s="1" t="s">
        <v>94</v>
      </c>
      <c r="L51" s="1" t="s">
        <v>95</v>
      </c>
      <c r="N51" s="1" t="str">
        <f t="shared" si="85"/>
        <v>19R</v>
      </c>
      <c r="O51" s="1" t="str">
        <f t="shared" si="86"/>
        <v>19RBase</v>
      </c>
      <c r="Q51" s="22">
        <f t="shared" si="52"/>
        <v>0</v>
      </c>
      <c r="R51" s="22">
        <f t="shared" si="87"/>
        <v>0</v>
      </c>
      <c r="T51" s="63">
        <v>37147</v>
      </c>
      <c r="V51" s="64">
        <v>0</v>
      </c>
      <c r="W51" s="63">
        <f t="shared" si="54"/>
        <v>0</v>
      </c>
      <c r="X51" s="63">
        <f t="shared" si="72"/>
        <v>0</v>
      </c>
      <c r="Y51" s="63">
        <f t="shared" si="72"/>
        <v>0</v>
      </c>
      <c r="Z51" s="63">
        <f t="shared" si="72"/>
        <v>0</v>
      </c>
      <c r="AA51" s="63">
        <f t="shared" si="72"/>
        <v>0</v>
      </c>
      <c r="AB51" s="63">
        <f t="shared" si="73"/>
        <v>0</v>
      </c>
      <c r="AC51" s="63">
        <f t="shared" si="73"/>
        <v>0</v>
      </c>
      <c r="AD51" s="63">
        <f t="shared" si="73"/>
        <v>0</v>
      </c>
      <c r="AE51" s="63">
        <f t="shared" si="74"/>
        <v>0</v>
      </c>
      <c r="AF51" s="63">
        <f t="shared" si="74"/>
        <v>0</v>
      </c>
      <c r="AG51" s="63">
        <f t="shared" si="74"/>
        <v>0</v>
      </c>
      <c r="AH51" s="63">
        <f t="shared" si="74"/>
        <v>0</v>
      </c>
      <c r="AI51" s="63">
        <f t="shared" si="75"/>
        <v>0</v>
      </c>
      <c r="AJ51" s="63">
        <f t="shared" si="75"/>
        <v>0</v>
      </c>
      <c r="AK51" s="63">
        <f t="shared" si="75"/>
        <v>0</v>
      </c>
      <c r="AL51" s="63">
        <f t="shared" si="76"/>
        <v>0</v>
      </c>
      <c r="AM51" s="63">
        <f t="shared" si="76"/>
        <v>0</v>
      </c>
      <c r="AN51" s="63">
        <f t="shared" si="76"/>
        <v>0</v>
      </c>
      <c r="AO51" s="63">
        <f t="shared" si="76"/>
        <v>0</v>
      </c>
      <c r="AP51" s="63">
        <f t="shared" si="77"/>
        <v>0</v>
      </c>
      <c r="AQ51" s="63">
        <f t="shared" si="77"/>
        <v>0</v>
      </c>
      <c r="AR51" s="63">
        <f t="shared" si="77"/>
        <v>0</v>
      </c>
      <c r="AS51" s="63">
        <f t="shared" si="78"/>
        <v>0</v>
      </c>
      <c r="AT51" s="63">
        <f t="shared" si="78"/>
        <v>0</v>
      </c>
      <c r="AU51" s="63">
        <f t="shared" si="84"/>
        <v>0</v>
      </c>
      <c r="AV51" s="63">
        <f t="shared" si="79"/>
        <v>0</v>
      </c>
      <c r="AW51" s="63">
        <f t="shared" si="80"/>
        <v>0</v>
      </c>
      <c r="AX51" s="63">
        <f t="shared" si="80"/>
        <v>0</v>
      </c>
      <c r="AY51" s="63">
        <f t="shared" si="81"/>
        <v>0</v>
      </c>
      <c r="BB51" s="63">
        <f t="shared" si="64"/>
        <v>0</v>
      </c>
      <c r="BC51" s="55">
        <f t="shared" si="88"/>
        <v>0</v>
      </c>
      <c r="BD51" s="80">
        <f t="shared" si="65"/>
        <v>0</v>
      </c>
      <c r="CD51" s="50"/>
      <c r="CF51" s="50"/>
      <c r="CH51" s="50"/>
      <c r="CJ51" s="50"/>
      <c r="CL51" s="50"/>
      <c r="CN51" s="50"/>
      <c r="CP51" s="50"/>
      <c r="CR51" s="50"/>
      <c r="CT51" s="50"/>
      <c r="CV51" s="50"/>
      <c r="CX51" s="50"/>
      <c r="CZ51" s="50"/>
      <c r="DB51" s="50"/>
      <c r="DD51" s="50"/>
      <c r="DF51" s="50"/>
      <c r="DH51" s="50"/>
      <c r="DJ51" s="50"/>
      <c r="DL51" s="50"/>
      <c r="DN51" s="50"/>
      <c r="DP51" s="50"/>
      <c r="DR51" s="50"/>
      <c r="DT51" s="50"/>
      <c r="EJ51" s="50"/>
      <c r="EL51" s="50"/>
      <c r="ET51" s="50"/>
      <c r="FF51" s="50"/>
      <c r="FT51" s="50"/>
      <c r="FZ51" s="50"/>
      <c r="HE51" s="22">
        <f t="shared" si="82"/>
        <v>0</v>
      </c>
      <c r="HF51" s="22"/>
    </row>
    <row r="52" spans="1:214" x14ac:dyDescent="0.25">
      <c r="A52" s="1" t="s">
        <v>150</v>
      </c>
      <c r="B52" s="58">
        <v>19</v>
      </c>
      <c r="D52" s="14">
        <v>27</v>
      </c>
      <c r="E52" s="1">
        <v>8</v>
      </c>
      <c r="F52" s="1" t="s">
        <v>123</v>
      </c>
      <c r="G52" s="1" t="s">
        <v>108</v>
      </c>
      <c r="H52" s="60">
        <v>36336</v>
      </c>
      <c r="I52" s="1" t="s">
        <v>93</v>
      </c>
      <c r="J52" s="1" t="s">
        <v>94</v>
      </c>
      <c r="L52" s="1" t="s">
        <v>95</v>
      </c>
      <c r="M52" s="50"/>
      <c r="N52" s="1" t="str">
        <f t="shared" si="85"/>
        <v>19R</v>
      </c>
      <c r="O52" s="1" t="str">
        <f t="shared" si="86"/>
        <v>19RBase</v>
      </c>
      <c r="Q52" s="22">
        <f t="shared" si="52"/>
        <v>204</v>
      </c>
      <c r="R52" s="22">
        <f t="shared" si="87"/>
        <v>204</v>
      </c>
      <c r="T52" s="63">
        <v>37147</v>
      </c>
      <c r="V52" s="66">
        <v>204</v>
      </c>
      <c r="W52" s="63">
        <f t="shared" si="54"/>
        <v>204</v>
      </c>
      <c r="X52" s="63">
        <f t="shared" si="72"/>
        <v>204</v>
      </c>
      <c r="Y52" s="63">
        <f t="shared" si="72"/>
        <v>204</v>
      </c>
      <c r="Z52" s="63">
        <f t="shared" si="72"/>
        <v>204</v>
      </c>
      <c r="AA52" s="63">
        <f t="shared" si="72"/>
        <v>204</v>
      </c>
      <c r="AB52" s="63">
        <f t="shared" si="73"/>
        <v>204</v>
      </c>
      <c r="AC52" s="63">
        <f t="shared" si="73"/>
        <v>204</v>
      </c>
      <c r="AD52" s="63">
        <f t="shared" si="73"/>
        <v>204</v>
      </c>
      <c r="AE52" s="63">
        <f t="shared" si="74"/>
        <v>204</v>
      </c>
      <c r="AF52" s="63">
        <f t="shared" si="74"/>
        <v>204</v>
      </c>
      <c r="AG52" s="63">
        <f t="shared" si="74"/>
        <v>204</v>
      </c>
      <c r="AH52" s="63">
        <f t="shared" si="74"/>
        <v>204</v>
      </c>
      <c r="AI52" s="63">
        <f t="shared" si="75"/>
        <v>204</v>
      </c>
      <c r="AJ52" s="63">
        <f t="shared" si="75"/>
        <v>204</v>
      </c>
      <c r="AK52" s="63">
        <f t="shared" si="75"/>
        <v>204</v>
      </c>
      <c r="AL52" s="63">
        <f t="shared" si="76"/>
        <v>204</v>
      </c>
      <c r="AM52" s="63">
        <f t="shared" si="76"/>
        <v>204</v>
      </c>
      <c r="AN52" s="63">
        <f t="shared" si="76"/>
        <v>204</v>
      </c>
      <c r="AO52" s="63">
        <f t="shared" si="76"/>
        <v>204</v>
      </c>
      <c r="AP52" s="63">
        <f t="shared" si="77"/>
        <v>204</v>
      </c>
      <c r="AQ52" s="63">
        <f t="shared" si="77"/>
        <v>204</v>
      </c>
      <c r="AR52" s="63">
        <f t="shared" si="77"/>
        <v>204</v>
      </c>
      <c r="AS52" s="63">
        <f t="shared" si="78"/>
        <v>204</v>
      </c>
      <c r="AT52" s="63">
        <f t="shared" si="78"/>
        <v>204</v>
      </c>
      <c r="AU52" s="63">
        <f t="shared" si="84"/>
        <v>204</v>
      </c>
      <c r="AV52" s="63">
        <f t="shared" si="79"/>
        <v>204</v>
      </c>
      <c r="AW52" s="63">
        <f t="shared" si="80"/>
        <v>204</v>
      </c>
      <c r="AX52" s="63">
        <f t="shared" si="80"/>
        <v>204</v>
      </c>
      <c r="AY52" s="63">
        <f t="shared" si="81"/>
        <v>204</v>
      </c>
      <c r="BB52" s="63">
        <f t="shared" si="64"/>
        <v>6120</v>
      </c>
      <c r="BC52" s="55">
        <f t="shared" si="88"/>
        <v>204</v>
      </c>
      <c r="BD52" s="80">
        <f t="shared" si="65"/>
        <v>204</v>
      </c>
      <c r="BT52" s="1" t="s">
        <v>96</v>
      </c>
      <c r="BX52" s="1" t="s">
        <v>96</v>
      </c>
      <c r="CB52" s="1" t="s">
        <v>124</v>
      </c>
      <c r="CD52" s="33"/>
      <c r="CF52" s="33"/>
      <c r="CH52" s="33"/>
      <c r="CJ52" s="33"/>
      <c r="CL52" s="33"/>
      <c r="CN52" s="33"/>
      <c r="CP52" s="1" t="s">
        <v>110</v>
      </c>
      <c r="CR52" s="33"/>
      <c r="CT52" s="33"/>
      <c r="CV52" s="33"/>
      <c r="CX52" s="33"/>
      <c r="CZ52" s="33"/>
      <c r="DB52" s="33"/>
      <c r="DD52" s="33"/>
      <c r="DF52" s="33"/>
      <c r="DH52" s="33"/>
      <c r="DJ52" s="33"/>
      <c r="DL52" s="33"/>
      <c r="DN52" s="33"/>
      <c r="DP52" s="33"/>
      <c r="DR52" s="33"/>
      <c r="DT52" s="33"/>
      <c r="EF52" s="1" t="s">
        <v>126</v>
      </c>
      <c r="EJ52" s="33"/>
      <c r="EL52" s="1" t="s">
        <v>130</v>
      </c>
      <c r="ET52" s="33"/>
      <c r="FF52" s="33"/>
      <c r="FH52" s="1" t="s">
        <v>126</v>
      </c>
      <c r="FR52" s="1" t="s">
        <v>126</v>
      </c>
      <c r="FT52" s="33"/>
      <c r="FZ52" s="33"/>
      <c r="HE52" s="22">
        <f t="shared" si="82"/>
        <v>-204</v>
      </c>
      <c r="HF52" s="22"/>
    </row>
    <row r="53" spans="1:214" x14ac:dyDescent="0.25">
      <c r="A53" s="1" t="s">
        <v>150</v>
      </c>
      <c r="B53" s="58">
        <v>19</v>
      </c>
      <c r="D53" s="14">
        <v>32</v>
      </c>
      <c r="E53" s="1">
        <v>8</v>
      </c>
      <c r="F53" s="1" t="s">
        <v>97</v>
      </c>
      <c r="G53" s="1" t="s">
        <v>108</v>
      </c>
      <c r="H53" s="60">
        <v>36336</v>
      </c>
      <c r="I53" s="1" t="s">
        <v>93</v>
      </c>
      <c r="J53" s="1" t="s">
        <v>94</v>
      </c>
      <c r="L53" s="1" t="s">
        <v>95</v>
      </c>
      <c r="M53" s="50"/>
      <c r="N53" s="1" t="str">
        <f t="shared" si="85"/>
        <v>19R</v>
      </c>
      <c r="O53" s="1" t="str">
        <f t="shared" si="86"/>
        <v>19RBase</v>
      </c>
      <c r="Q53" s="22">
        <f t="shared" si="52"/>
        <v>0</v>
      </c>
      <c r="R53" s="22">
        <f t="shared" si="87"/>
        <v>0</v>
      </c>
      <c r="T53" s="63">
        <v>37147</v>
      </c>
      <c r="V53" s="64">
        <v>0</v>
      </c>
      <c r="W53" s="63">
        <f t="shared" si="54"/>
        <v>0</v>
      </c>
      <c r="X53" s="63">
        <f t="shared" si="72"/>
        <v>0</v>
      </c>
      <c r="Y53" s="63">
        <f t="shared" si="72"/>
        <v>0</v>
      </c>
      <c r="Z53" s="63">
        <f t="shared" si="72"/>
        <v>0</v>
      </c>
      <c r="AA53" s="63">
        <f t="shared" si="72"/>
        <v>0</v>
      </c>
      <c r="AB53" s="63">
        <f t="shared" si="73"/>
        <v>0</v>
      </c>
      <c r="AC53" s="63">
        <f t="shared" si="73"/>
        <v>0</v>
      </c>
      <c r="AD53" s="63">
        <f t="shared" si="73"/>
        <v>0</v>
      </c>
      <c r="AE53" s="63">
        <f t="shared" si="74"/>
        <v>0</v>
      </c>
      <c r="AF53" s="63">
        <f t="shared" si="74"/>
        <v>0</v>
      </c>
      <c r="AG53" s="63">
        <f t="shared" si="74"/>
        <v>0</v>
      </c>
      <c r="AH53" s="63">
        <f t="shared" si="74"/>
        <v>0</v>
      </c>
      <c r="AI53" s="63">
        <f t="shared" si="75"/>
        <v>0</v>
      </c>
      <c r="AJ53" s="63">
        <f t="shared" si="75"/>
        <v>0</v>
      </c>
      <c r="AK53" s="63">
        <f t="shared" si="75"/>
        <v>0</v>
      </c>
      <c r="AL53" s="63">
        <f t="shared" si="76"/>
        <v>0</v>
      </c>
      <c r="AM53" s="63">
        <f t="shared" si="76"/>
        <v>0</v>
      </c>
      <c r="AN53" s="63">
        <f t="shared" si="76"/>
        <v>0</v>
      </c>
      <c r="AO53" s="63">
        <f t="shared" si="76"/>
        <v>0</v>
      </c>
      <c r="AP53" s="63">
        <f t="shared" si="77"/>
        <v>0</v>
      </c>
      <c r="AQ53" s="63">
        <f t="shared" si="77"/>
        <v>0</v>
      </c>
      <c r="AR53" s="63">
        <f t="shared" si="77"/>
        <v>0</v>
      </c>
      <c r="AS53" s="63">
        <f t="shared" si="78"/>
        <v>0</v>
      </c>
      <c r="AT53" s="63">
        <f t="shared" si="78"/>
        <v>0</v>
      </c>
      <c r="AU53" s="63">
        <f t="shared" si="84"/>
        <v>0</v>
      </c>
      <c r="AV53" s="63">
        <f t="shared" si="79"/>
        <v>0</v>
      </c>
      <c r="AW53" s="63">
        <f t="shared" si="80"/>
        <v>0</v>
      </c>
      <c r="AX53" s="63">
        <f t="shared" si="80"/>
        <v>0</v>
      </c>
      <c r="AY53" s="63">
        <f t="shared" si="81"/>
        <v>0</v>
      </c>
      <c r="BB53" s="63">
        <f t="shared" si="64"/>
        <v>0</v>
      </c>
      <c r="BC53" s="55">
        <f t="shared" si="88"/>
        <v>0</v>
      </c>
      <c r="BD53" s="80">
        <f t="shared" si="65"/>
        <v>0</v>
      </c>
      <c r="CD53" s="50"/>
      <c r="CF53" s="50"/>
      <c r="CH53" s="50"/>
      <c r="CJ53" s="50"/>
      <c r="CL53" s="50"/>
      <c r="CN53" s="50"/>
      <c r="CP53" s="50"/>
      <c r="CR53" s="50"/>
      <c r="CT53" s="50"/>
      <c r="CV53" s="50"/>
      <c r="CX53" s="50"/>
      <c r="CZ53" s="50"/>
      <c r="DB53" s="50"/>
      <c r="DD53" s="50"/>
      <c r="DF53" s="50"/>
      <c r="DH53" s="50"/>
      <c r="DJ53" s="50"/>
      <c r="DL53" s="50"/>
      <c r="DN53" s="50"/>
      <c r="DP53" s="50"/>
      <c r="DR53" s="50"/>
      <c r="DT53" s="50"/>
      <c r="EJ53" s="50"/>
      <c r="EL53" s="50"/>
      <c r="ET53" s="50"/>
      <c r="FF53" s="50"/>
      <c r="FT53" s="50"/>
      <c r="FZ53" s="50"/>
      <c r="HE53" s="22">
        <f t="shared" si="82"/>
        <v>0</v>
      </c>
      <c r="HF53" s="22"/>
    </row>
    <row r="54" spans="1:214" x14ac:dyDescent="0.25">
      <c r="A54" s="1" t="s">
        <v>150</v>
      </c>
      <c r="B54" s="58">
        <v>19</v>
      </c>
      <c r="D54" s="14">
        <v>32</v>
      </c>
      <c r="E54" s="1">
        <v>8</v>
      </c>
      <c r="F54" s="1" t="s">
        <v>123</v>
      </c>
      <c r="G54" s="1" t="s">
        <v>108</v>
      </c>
      <c r="H54" s="60">
        <v>36336</v>
      </c>
      <c r="I54" s="1" t="s">
        <v>93</v>
      </c>
      <c r="J54" s="1" t="s">
        <v>94</v>
      </c>
      <c r="L54" s="1" t="s">
        <v>95</v>
      </c>
      <c r="M54" s="50"/>
      <c r="N54" s="1" t="str">
        <f t="shared" si="85"/>
        <v>19R</v>
      </c>
      <c r="O54" s="1" t="str">
        <f t="shared" si="86"/>
        <v>19RBase</v>
      </c>
      <c r="Q54" s="22">
        <f t="shared" si="52"/>
        <v>42</v>
      </c>
      <c r="R54" s="22">
        <f t="shared" si="87"/>
        <v>42</v>
      </c>
      <c r="T54" s="63">
        <v>37147</v>
      </c>
      <c r="V54" s="66">
        <v>42</v>
      </c>
      <c r="W54" s="63">
        <f t="shared" si="54"/>
        <v>42</v>
      </c>
      <c r="X54" s="63">
        <f t="shared" si="72"/>
        <v>42</v>
      </c>
      <c r="Y54" s="63">
        <f t="shared" si="72"/>
        <v>42</v>
      </c>
      <c r="Z54" s="63">
        <f t="shared" si="72"/>
        <v>42</v>
      </c>
      <c r="AA54" s="63">
        <f t="shared" si="72"/>
        <v>42</v>
      </c>
      <c r="AB54" s="63">
        <f t="shared" si="73"/>
        <v>42</v>
      </c>
      <c r="AC54" s="63">
        <f t="shared" si="73"/>
        <v>42</v>
      </c>
      <c r="AD54" s="63">
        <f t="shared" si="73"/>
        <v>42</v>
      </c>
      <c r="AE54" s="63">
        <f t="shared" si="74"/>
        <v>42</v>
      </c>
      <c r="AF54" s="63">
        <f t="shared" si="74"/>
        <v>42</v>
      </c>
      <c r="AG54" s="63">
        <f t="shared" si="74"/>
        <v>42</v>
      </c>
      <c r="AH54" s="63">
        <f t="shared" si="74"/>
        <v>42</v>
      </c>
      <c r="AI54" s="63">
        <f t="shared" si="75"/>
        <v>42</v>
      </c>
      <c r="AJ54" s="63">
        <f t="shared" si="75"/>
        <v>42</v>
      </c>
      <c r="AK54" s="63">
        <f t="shared" si="75"/>
        <v>42</v>
      </c>
      <c r="AL54" s="63">
        <f t="shared" si="76"/>
        <v>42</v>
      </c>
      <c r="AM54" s="63">
        <f t="shared" si="76"/>
        <v>42</v>
      </c>
      <c r="AN54" s="63">
        <f t="shared" si="76"/>
        <v>42</v>
      </c>
      <c r="AO54" s="63">
        <f t="shared" si="76"/>
        <v>42</v>
      </c>
      <c r="AP54" s="63">
        <f t="shared" si="77"/>
        <v>42</v>
      </c>
      <c r="AQ54" s="63">
        <f t="shared" si="77"/>
        <v>42</v>
      </c>
      <c r="AR54" s="63">
        <f t="shared" si="77"/>
        <v>42</v>
      </c>
      <c r="AS54" s="63">
        <f t="shared" si="78"/>
        <v>42</v>
      </c>
      <c r="AT54" s="63">
        <f t="shared" si="78"/>
        <v>42</v>
      </c>
      <c r="AU54" s="63">
        <f t="shared" si="84"/>
        <v>42</v>
      </c>
      <c r="AV54" s="63">
        <f t="shared" si="79"/>
        <v>42</v>
      </c>
      <c r="AW54" s="63">
        <f t="shared" si="80"/>
        <v>42</v>
      </c>
      <c r="AX54" s="63">
        <f t="shared" si="80"/>
        <v>42</v>
      </c>
      <c r="AY54" s="63">
        <f t="shared" si="81"/>
        <v>42</v>
      </c>
      <c r="BB54" s="63">
        <f t="shared" si="64"/>
        <v>1260</v>
      </c>
      <c r="BC54" s="55">
        <f t="shared" si="88"/>
        <v>42</v>
      </c>
      <c r="BD54" s="80">
        <f t="shared" si="65"/>
        <v>42</v>
      </c>
      <c r="BR54" s="1" t="s">
        <v>125</v>
      </c>
      <c r="CD54" s="50"/>
      <c r="CF54" s="50"/>
      <c r="CH54" s="50"/>
      <c r="CJ54" s="50"/>
      <c r="CL54" s="50"/>
      <c r="CN54" s="50"/>
      <c r="CP54" s="50"/>
      <c r="CR54" s="1" t="s">
        <v>112</v>
      </c>
      <c r="CT54" s="50"/>
      <c r="CV54" s="50"/>
      <c r="CX54" s="50"/>
      <c r="CZ54" s="50"/>
      <c r="DB54" s="50"/>
      <c r="DD54" s="50"/>
      <c r="DF54" s="50"/>
      <c r="DH54" s="50"/>
      <c r="DJ54" s="50"/>
      <c r="DL54" s="50"/>
      <c r="DN54" s="50"/>
      <c r="DP54" s="50"/>
      <c r="DR54" s="50"/>
      <c r="DT54" s="50"/>
      <c r="EJ54" s="50"/>
      <c r="EL54" s="50"/>
      <c r="EN54" s="1" t="s">
        <v>124</v>
      </c>
      <c r="ET54" s="50"/>
      <c r="FF54" s="50"/>
      <c r="FJ54" s="1" t="s">
        <v>130</v>
      </c>
      <c r="FT54" s="50"/>
      <c r="FZ54" s="50"/>
      <c r="GB54" s="81"/>
      <c r="GD54" s="81"/>
      <c r="GF54" s="81"/>
      <c r="HE54" s="22">
        <f t="shared" si="82"/>
        <v>-42</v>
      </c>
      <c r="HF54" s="22"/>
    </row>
    <row r="55" spans="1:214" s="85" customFormat="1" x14ac:dyDescent="0.25">
      <c r="A55" s="85" t="s">
        <v>153</v>
      </c>
      <c r="B55" s="86">
        <v>4</v>
      </c>
      <c r="C55" s="85">
        <v>116</v>
      </c>
      <c r="D55" s="87">
        <v>28</v>
      </c>
      <c r="E55" s="85">
        <v>10</v>
      </c>
      <c r="F55" s="85" t="s">
        <v>257</v>
      </c>
      <c r="G55" s="85" t="s">
        <v>108</v>
      </c>
      <c r="H55" s="88">
        <v>36336</v>
      </c>
      <c r="I55" s="85" t="s">
        <v>93</v>
      </c>
      <c r="J55" s="85" t="s">
        <v>94</v>
      </c>
      <c r="K55" s="61"/>
      <c r="L55" s="85" t="s">
        <v>95</v>
      </c>
      <c r="M55" s="50"/>
      <c r="N55" s="85" t="str">
        <f t="shared" si="85"/>
        <v>4R</v>
      </c>
      <c r="O55" s="85" t="str">
        <f t="shared" si="86"/>
        <v>4RBase</v>
      </c>
      <c r="Q55" s="89">
        <f t="shared" ref="Q55:Q72" si="89">+BC55</f>
        <v>0</v>
      </c>
      <c r="R55" s="89">
        <f t="shared" si="87"/>
        <v>0</v>
      </c>
      <c r="S55" s="89"/>
      <c r="T55" s="90">
        <v>37147</v>
      </c>
      <c r="U55" s="90"/>
      <c r="V55" s="91">
        <v>0</v>
      </c>
      <c r="W55" s="92">
        <f t="shared" ref="W55:W69" si="90">V55</f>
        <v>0</v>
      </c>
      <c r="X55" s="92">
        <f t="shared" ref="X55:Z59" si="91">W55</f>
        <v>0</v>
      </c>
      <c r="Y55" s="92">
        <f t="shared" si="91"/>
        <v>0</v>
      </c>
      <c r="Z55" s="92">
        <f t="shared" si="91"/>
        <v>0</v>
      </c>
      <c r="AA55" s="92">
        <f t="shared" ref="AA55:AA61" si="92">Z55</f>
        <v>0</v>
      </c>
      <c r="AB55" s="92">
        <f t="shared" ref="AB55:AD69" si="93">AA55</f>
        <v>0</v>
      </c>
      <c r="AC55" s="92">
        <f t="shared" si="93"/>
        <v>0</v>
      </c>
      <c r="AD55" s="92">
        <f t="shared" si="93"/>
        <v>0</v>
      </c>
      <c r="AE55" s="92">
        <f t="shared" si="74"/>
        <v>0</v>
      </c>
      <c r="AF55" s="92">
        <f t="shared" si="74"/>
        <v>0</v>
      </c>
      <c r="AG55" s="92">
        <f t="shared" si="74"/>
        <v>0</v>
      </c>
      <c r="AH55" s="92">
        <f t="shared" si="74"/>
        <v>0</v>
      </c>
      <c r="AI55" s="92">
        <f t="shared" ref="AI55:AK69" si="94">AH55</f>
        <v>0</v>
      </c>
      <c r="AJ55" s="92">
        <f t="shared" si="94"/>
        <v>0</v>
      </c>
      <c r="AK55" s="92">
        <f t="shared" si="94"/>
        <v>0</v>
      </c>
      <c r="AL55" s="92">
        <f t="shared" si="76"/>
        <v>0</v>
      </c>
      <c r="AM55" s="92">
        <f t="shared" si="76"/>
        <v>0</v>
      </c>
      <c r="AN55" s="92">
        <f t="shared" si="76"/>
        <v>0</v>
      </c>
      <c r="AO55" s="92">
        <f t="shared" si="76"/>
        <v>0</v>
      </c>
      <c r="AP55" s="92">
        <f t="shared" ref="AP55:AR59" si="95">AO55</f>
        <v>0</v>
      </c>
      <c r="AQ55" s="92">
        <f t="shared" si="95"/>
        <v>0</v>
      </c>
      <c r="AR55" s="92">
        <f t="shared" si="95"/>
        <v>0</v>
      </c>
      <c r="AS55" s="92">
        <f t="shared" ref="AS55:AT69" si="96">AR55</f>
        <v>0</v>
      </c>
      <c r="AT55" s="92">
        <f t="shared" si="96"/>
        <v>0</v>
      </c>
      <c r="AU55" s="92">
        <f t="shared" si="84"/>
        <v>0</v>
      </c>
      <c r="AV55" s="92">
        <f t="shared" ref="AV55:AV61" si="97">AU55</f>
        <v>0</v>
      </c>
      <c r="AW55" s="92">
        <f t="shared" ref="AW55:AX59" si="98">AV55</f>
        <v>0</v>
      </c>
      <c r="AX55" s="92">
        <f t="shared" si="98"/>
        <v>0</v>
      </c>
      <c r="AY55" s="92">
        <f>AX55</f>
        <v>0</v>
      </c>
      <c r="AZ55" s="92"/>
      <c r="BA55" s="90"/>
      <c r="BB55" s="90">
        <f>SUM(V55:AZ55)</f>
        <v>0</v>
      </c>
      <c r="BC55" s="55">
        <f t="shared" si="88"/>
        <v>0</v>
      </c>
      <c r="BD55" s="92">
        <f t="shared" si="65"/>
        <v>0</v>
      </c>
      <c r="BE55" s="90"/>
      <c r="BF55" s="89"/>
      <c r="BR55" s="1"/>
      <c r="CD55" s="23"/>
      <c r="CF55" s="23"/>
      <c r="CH55" s="23"/>
      <c r="CJ55" s="23"/>
      <c r="CL55" s="23"/>
      <c r="CN55" s="23"/>
      <c r="CP55" s="23"/>
      <c r="CR55" s="23"/>
      <c r="CT55" s="23"/>
      <c r="CV55" s="23"/>
      <c r="CX55" s="23"/>
      <c r="CZ55" s="23"/>
      <c r="DB55" s="23"/>
      <c r="DD55" s="23"/>
      <c r="DF55" s="23"/>
      <c r="DH55" s="23"/>
      <c r="DJ55" s="23"/>
      <c r="DL55" s="23"/>
      <c r="DN55" s="23"/>
      <c r="DP55" s="23"/>
      <c r="DR55" s="23"/>
      <c r="DT55" s="23"/>
      <c r="EJ55" s="23"/>
      <c r="EL55" s="23"/>
      <c r="ET55" s="23"/>
      <c r="EV55" s="65"/>
      <c r="EX55" s="1" t="s">
        <v>148</v>
      </c>
      <c r="EZ55" s="1" t="s">
        <v>148</v>
      </c>
      <c r="FB55" s="65"/>
      <c r="FD55" s="1" t="s">
        <v>148</v>
      </c>
      <c r="FF55" s="23"/>
      <c r="FH55" s="1"/>
      <c r="FT55" s="23"/>
      <c r="FV55" s="1"/>
      <c r="FX55" s="1"/>
      <c r="FZ55" s="23"/>
      <c r="GB55" s="1"/>
      <c r="GD55" s="1"/>
      <c r="GF55" s="1"/>
      <c r="GH55" s="1"/>
      <c r="GJ55" s="1"/>
      <c r="GL55" s="1"/>
      <c r="GN55" s="1"/>
      <c r="GP55" s="1"/>
      <c r="GR55" s="1"/>
      <c r="GT55" s="1"/>
      <c r="GV55" s="1"/>
      <c r="GX55" s="1"/>
      <c r="GZ55" s="1"/>
      <c r="HB55" s="1"/>
      <c r="HD55" s="1"/>
      <c r="HE55" s="97">
        <f t="shared" si="82"/>
        <v>0</v>
      </c>
      <c r="HF55" s="89"/>
    </row>
    <row r="56" spans="1:214" s="85" customFormat="1" x14ac:dyDescent="0.25">
      <c r="A56" s="85" t="s">
        <v>153</v>
      </c>
      <c r="B56" s="86">
        <v>4</v>
      </c>
      <c r="C56" s="85">
        <v>116</v>
      </c>
      <c r="D56" s="87">
        <v>28</v>
      </c>
      <c r="E56" s="85">
        <v>10</v>
      </c>
      <c r="F56" s="85" t="s">
        <v>258</v>
      </c>
      <c r="G56" s="85" t="s">
        <v>108</v>
      </c>
      <c r="H56" s="88">
        <v>36336</v>
      </c>
      <c r="I56" s="85" t="s">
        <v>93</v>
      </c>
      <c r="J56" s="85" t="s">
        <v>94</v>
      </c>
      <c r="K56" s="61"/>
      <c r="L56" s="85" t="s">
        <v>99</v>
      </c>
      <c r="M56" s="1"/>
      <c r="N56" s="85" t="str">
        <f t="shared" si="85"/>
        <v>4R</v>
      </c>
      <c r="O56" s="85" t="str">
        <f t="shared" si="86"/>
        <v>4RBase</v>
      </c>
      <c r="Q56" s="89">
        <f t="shared" si="89"/>
        <v>0</v>
      </c>
      <c r="R56" s="89">
        <f t="shared" si="87"/>
        <v>0</v>
      </c>
      <c r="S56" s="89"/>
      <c r="T56" s="90">
        <v>37147</v>
      </c>
      <c r="U56" s="90"/>
      <c r="V56" s="94">
        <v>0</v>
      </c>
      <c r="W56" s="92">
        <f t="shared" si="90"/>
        <v>0</v>
      </c>
      <c r="X56" s="92">
        <f t="shared" si="91"/>
        <v>0</v>
      </c>
      <c r="Y56" s="92">
        <f t="shared" si="91"/>
        <v>0</v>
      </c>
      <c r="Z56" s="92">
        <f t="shared" si="91"/>
        <v>0</v>
      </c>
      <c r="AA56" s="92">
        <f t="shared" si="92"/>
        <v>0</v>
      </c>
      <c r="AB56" s="92">
        <f t="shared" si="93"/>
        <v>0</v>
      </c>
      <c r="AC56" s="92">
        <f t="shared" si="93"/>
        <v>0</v>
      </c>
      <c r="AD56" s="92">
        <f t="shared" si="93"/>
        <v>0</v>
      </c>
      <c r="AE56" s="92">
        <f t="shared" ref="AE56:AH61" si="99">AD56</f>
        <v>0</v>
      </c>
      <c r="AF56" s="92">
        <f t="shared" si="99"/>
        <v>0</v>
      </c>
      <c r="AG56" s="92">
        <f t="shared" si="99"/>
        <v>0</v>
      </c>
      <c r="AH56" s="92">
        <f t="shared" si="99"/>
        <v>0</v>
      </c>
      <c r="AI56" s="92">
        <f t="shared" si="94"/>
        <v>0</v>
      </c>
      <c r="AJ56" s="92">
        <f t="shared" si="94"/>
        <v>0</v>
      </c>
      <c r="AK56" s="92">
        <f t="shared" si="94"/>
        <v>0</v>
      </c>
      <c r="AL56" s="92">
        <f t="shared" ref="AL56:AO59" si="100">AK56</f>
        <v>0</v>
      </c>
      <c r="AM56" s="92">
        <f t="shared" si="100"/>
        <v>0</v>
      </c>
      <c r="AN56" s="92">
        <f t="shared" si="100"/>
        <v>0</v>
      </c>
      <c r="AO56" s="92">
        <f t="shared" si="100"/>
        <v>0</v>
      </c>
      <c r="AP56" s="92">
        <f t="shared" si="95"/>
        <v>0</v>
      </c>
      <c r="AQ56" s="92">
        <f t="shared" si="95"/>
        <v>0</v>
      </c>
      <c r="AR56" s="92">
        <f t="shared" si="95"/>
        <v>0</v>
      </c>
      <c r="AS56" s="92">
        <f t="shared" si="96"/>
        <v>0</v>
      </c>
      <c r="AT56" s="92">
        <f t="shared" si="96"/>
        <v>0</v>
      </c>
      <c r="AU56" s="92">
        <f t="shared" si="84"/>
        <v>0</v>
      </c>
      <c r="AV56" s="92">
        <f t="shared" si="97"/>
        <v>0</v>
      </c>
      <c r="AW56" s="92">
        <f t="shared" si="98"/>
        <v>0</v>
      </c>
      <c r="AX56" s="92">
        <f t="shared" si="98"/>
        <v>0</v>
      </c>
      <c r="AY56" s="92">
        <f>AX56</f>
        <v>0</v>
      </c>
      <c r="AZ56" s="92"/>
      <c r="BA56" s="90"/>
      <c r="BB56" s="90">
        <f t="shared" ref="BB56:BB68" si="101">SUM(V56:AZ56)</f>
        <v>0</v>
      </c>
      <c r="BC56" s="55">
        <f t="shared" si="88"/>
        <v>0</v>
      </c>
      <c r="BD56" s="92">
        <f t="shared" si="65"/>
        <v>0</v>
      </c>
      <c r="BE56" s="90"/>
      <c r="BF56" s="89"/>
      <c r="BP56" s="23" t="s">
        <v>137</v>
      </c>
      <c r="BR56" s="1"/>
      <c r="CD56" s="23"/>
      <c r="CF56" s="23"/>
      <c r="CH56" s="23"/>
      <c r="CJ56" s="23"/>
      <c r="CL56" s="23"/>
      <c r="CN56" s="23"/>
      <c r="CP56" s="23"/>
      <c r="CR56" s="23"/>
      <c r="CT56" s="23"/>
      <c r="CV56" s="23"/>
      <c r="CX56" s="23"/>
      <c r="CZ56" s="23"/>
      <c r="DB56" s="23"/>
      <c r="DD56" s="23"/>
      <c r="DF56" s="23"/>
      <c r="DH56" s="23"/>
      <c r="DJ56" s="23"/>
      <c r="DL56" s="23"/>
      <c r="DN56" s="23"/>
      <c r="DP56" s="23"/>
      <c r="DR56" s="23"/>
      <c r="DT56" s="23"/>
      <c r="EJ56" s="23"/>
      <c r="EL56" s="23"/>
      <c r="ET56" s="23"/>
      <c r="EV56" s="65"/>
      <c r="EX56" s="1"/>
      <c r="EZ56" s="1"/>
      <c r="FB56" s="65"/>
      <c r="FD56" s="1"/>
      <c r="FF56" s="23"/>
      <c r="FH56" s="1"/>
      <c r="FT56" s="23"/>
      <c r="FV56" s="1"/>
      <c r="FX56" s="1"/>
      <c r="FZ56" s="23"/>
      <c r="GB56" s="1"/>
      <c r="GD56" s="1"/>
      <c r="GF56" s="1"/>
      <c r="GH56" s="1"/>
      <c r="GJ56" s="1"/>
      <c r="GL56" s="1"/>
      <c r="GN56" s="1"/>
      <c r="GP56" s="1"/>
      <c r="GR56" s="1"/>
      <c r="GT56" s="1"/>
      <c r="GV56" s="1"/>
      <c r="GX56" s="1"/>
      <c r="GZ56" s="1"/>
      <c r="HB56" s="1"/>
      <c r="HD56" s="1"/>
      <c r="HE56" s="97">
        <f t="shared" si="82"/>
        <v>0</v>
      </c>
      <c r="HF56" s="89"/>
    </row>
    <row r="57" spans="1:214" s="23" customFormat="1" x14ac:dyDescent="0.25">
      <c r="A57" s="23" t="s">
        <v>153</v>
      </c>
      <c r="B57" s="95">
        <v>4</v>
      </c>
      <c r="C57" s="23">
        <v>164</v>
      </c>
      <c r="D57" s="25">
        <v>28</v>
      </c>
      <c r="E57" s="23">
        <v>10</v>
      </c>
      <c r="F57" s="96" t="s">
        <v>273</v>
      </c>
      <c r="G57" s="23" t="s">
        <v>108</v>
      </c>
      <c r="H57" s="88">
        <v>36336</v>
      </c>
      <c r="I57" s="23" t="s">
        <v>93</v>
      </c>
      <c r="J57" s="23" t="s">
        <v>94</v>
      </c>
      <c r="K57" s="95"/>
      <c r="L57" s="23" t="s">
        <v>99</v>
      </c>
      <c r="M57" s="1"/>
      <c r="N57" s="23" t="str">
        <f t="shared" si="85"/>
        <v>4R</v>
      </c>
      <c r="O57" s="23" t="str">
        <f t="shared" si="86"/>
        <v>4RBase</v>
      </c>
      <c r="Q57" s="89">
        <f t="shared" si="89"/>
        <v>0</v>
      </c>
      <c r="R57" s="97">
        <f t="shared" si="87"/>
        <v>0</v>
      </c>
      <c r="S57" s="97"/>
      <c r="T57" s="92">
        <v>37147</v>
      </c>
      <c r="U57" s="92"/>
      <c r="V57" s="94">
        <v>0</v>
      </c>
      <c r="W57" s="92">
        <f t="shared" si="90"/>
        <v>0</v>
      </c>
      <c r="X57" s="92">
        <f t="shared" si="91"/>
        <v>0</v>
      </c>
      <c r="Y57" s="92">
        <f t="shared" si="91"/>
        <v>0</v>
      </c>
      <c r="Z57" s="92">
        <f t="shared" si="91"/>
        <v>0</v>
      </c>
      <c r="AA57" s="92">
        <f t="shared" si="92"/>
        <v>0</v>
      </c>
      <c r="AB57" s="92">
        <f t="shared" si="93"/>
        <v>0</v>
      </c>
      <c r="AC57" s="92">
        <f t="shared" si="93"/>
        <v>0</v>
      </c>
      <c r="AD57" s="92">
        <f t="shared" si="93"/>
        <v>0</v>
      </c>
      <c r="AE57" s="92">
        <f t="shared" si="99"/>
        <v>0</v>
      </c>
      <c r="AF57" s="92">
        <f t="shared" si="99"/>
        <v>0</v>
      </c>
      <c r="AG57" s="92">
        <f t="shared" si="99"/>
        <v>0</v>
      </c>
      <c r="AH57" s="92">
        <f t="shared" si="99"/>
        <v>0</v>
      </c>
      <c r="AI57" s="92">
        <f t="shared" si="94"/>
        <v>0</v>
      </c>
      <c r="AJ57" s="92">
        <f t="shared" si="94"/>
        <v>0</v>
      </c>
      <c r="AK57" s="92">
        <f t="shared" si="94"/>
        <v>0</v>
      </c>
      <c r="AL57" s="92">
        <f t="shared" si="100"/>
        <v>0</v>
      </c>
      <c r="AM57" s="92">
        <f t="shared" si="100"/>
        <v>0</v>
      </c>
      <c r="AN57" s="92">
        <f t="shared" si="100"/>
        <v>0</v>
      </c>
      <c r="AO57" s="92">
        <f t="shared" si="100"/>
        <v>0</v>
      </c>
      <c r="AP57" s="92">
        <f t="shared" si="95"/>
        <v>0</v>
      </c>
      <c r="AQ57" s="92">
        <f t="shared" si="95"/>
        <v>0</v>
      </c>
      <c r="AR57" s="92">
        <f t="shared" si="95"/>
        <v>0</v>
      </c>
      <c r="AS57" s="92">
        <f t="shared" si="96"/>
        <v>0</v>
      </c>
      <c r="AT57" s="92">
        <f t="shared" si="96"/>
        <v>0</v>
      </c>
      <c r="AU57" s="92">
        <f t="shared" si="84"/>
        <v>0</v>
      </c>
      <c r="AV57" s="92">
        <f t="shared" si="97"/>
        <v>0</v>
      </c>
      <c r="AW57" s="92">
        <f t="shared" si="98"/>
        <v>0</v>
      </c>
      <c r="AX57" s="92">
        <f t="shared" si="98"/>
        <v>0</v>
      </c>
      <c r="AY57" s="92">
        <f>AX57</f>
        <v>0</v>
      </c>
      <c r="AZ57" s="92"/>
      <c r="BA57" s="92"/>
      <c r="BB57" s="90">
        <f t="shared" si="101"/>
        <v>0</v>
      </c>
      <c r="BC57" s="55">
        <f t="shared" si="88"/>
        <v>0</v>
      </c>
      <c r="BD57" s="92">
        <f t="shared" si="65"/>
        <v>0</v>
      </c>
      <c r="BE57" s="92"/>
      <c r="BF57" s="97"/>
      <c r="BP57" s="23" t="s">
        <v>250</v>
      </c>
      <c r="BR57" s="1"/>
      <c r="EV57" s="65"/>
      <c r="EX57" s="1"/>
      <c r="EZ57" s="1"/>
      <c r="FB57" s="65"/>
      <c r="FD57" s="1"/>
      <c r="FH57" s="1"/>
      <c r="FV57" s="1"/>
      <c r="FX57" s="1"/>
      <c r="GB57" s="1"/>
      <c r="GD57" s="1"/>
      <c r="GF57" s="1"/>
      <c r="GH57" s="1"/>
      <c r="GJ57" s="1"/>
      <c r="GL57" s="1"/>
      <c r="GN57" s="1"/>
      <c r="GP57" s="1"/>
      <c r="GR57" s="1"/>
      <c r="GT57" s="1"/>
      <c r="GV57" s="1"/>
      <c r="GX57" s="1"/>
      <c r="GZ57" s="1"/>
      <c r="HB57" s="1"/>
      <c r="HD57" s="1"/>
      <c r="HE57" s="97">
        <f t="shared" si="82"/>
        <v>0</v>
      </c>
      <c r="HF57" s="97"/>
    </row>
    <row r="58" spans="1:214" s="23" customFormat="1" x14ac:dyDescent="0.25">
      <c r="A58" s="23" t="s">
        <v>153</v>
      </c>
      <c r="B58" s="95">
        <v>4</v>
      </c>
      <c r="C58" s="23">
        <v>150</v>
      </c>
      <c r="D58" s="25"/>
      <c r="E58" s="23">
        <v>10</v>
      </c>
      <c r="F58" s="23" t="s">
        <v>256</v>
      </c>
      <c r="G58" s="23" t="s">
        <v>108</v>
      </c>
      <c r="H58" s="88">
        <v>36336</v>
      </c>
      <c r="I58" s="23" t="s">
        <v>93</v>
      </c>
      <c r="J58" s="23" t="s">
        <v>94</v>
      </c>
      <c r="K58" s="95"/>
      <c r="L58" s="23" t="s">
        <v>95</v>
      </c>
      <c r="M58" s="50"/>
      <c r="N58" s="23" t="str">
        <f t="shared" si="85"/>
        <v>4R</v>
      </c>
      <c r="O58" s="23" t="str">
        <f t="shared" si="86"/>
        <v>4RBase</v>
      </c>
      <c r="Q58" s="89">
        <f t="shared" si="89"/>
        <v>0</v>
      </c>
      <c r="R58" s="97">
        <f t="shared" si="87"/>
        <v>0</v>
      </c>
      <c r="S58" s="97"/>
      <c r="T58" s="92">
        <v>37147</v>
      </c>
      <c r="U58" s="92"/>
      <c r="V58" s="91">
        <v>0</v>
      </c>
      <c r="W58" s="92">
        <f t="shared" si="90"/>
        <v>0</v>
      </c>
      <c r="X58" s="92">
        <f t="shared" si="91"/>
        <v>0</v>
      </c>
      <c r="Y58" s="92">
        <f t="shared" si="91"/>
        <v>0</v>
      </c>
      <c r="Z58" s="92">
        <f t="shared" si="91"/>
        <v>0</v>
      </c>
      <c r="AA58" s="92">
        <f t="shared" si="92"/>
        <v>0</v>
      </c>
      <c r="AB58" s="92">
        <f t="shared" si="93"/>
        <v>0</v>
      </c>
      <c r="AC58" s="92">
        <f t="shared" si="93"/>
        <v>0</v>
      </c>
      <c r="AD58" s="92">
        <f t="shared" si="93"/>
        <v>0</v>
      </c>
      <c r="AE58" s="92">
        <f t="shared" si="99"/>
        <v>0</v>
      </c>
      <c r="AF58" s="92">
        <f t="shared" si="99"/>
        <v>0</v>
      </c>
      <c r="AG58" s="92">
        <f t="shared" si="99"/>
        <v>0</v>
      </c>
      <c r="AH58" s="92">
        <f t="shared" si="99"/>
        <v>0</v>
      </c>
      <c r="AI58" s="92">
        <f t="shared" si="94"/>
        <v>0</v>
      </c>
      <c r="AJ58" s="92">
        <f t="shared" si="94"/>
        <v>0</v>
      </c>
      <c r="AK58" s="92">
        <f t="shared" si="94"/>
        <v>0</v>
      </c>
      <c r="AL58" s="92">
        <f t="shared" si="100"/>
        <v>0</v>
      </c>
      <c r="AM58" s="92">
        <f t="shared" si="100"/>
        <v>0</v>
      </c>
      <c r="AN58" s="92">
        <f t="shared" si="100"/>
        <v>0</v>
      </c>
      <c r="AO58" s="92">
        <f t="shared" si="100"/>
        <v>0</v>
      </c>
      <c r="AP58" s="92">
        <f t="shared" si="95"/>
        <v>0</v>
      </c>
      <c r="AQ58" s="92">
        <f t="shared" si="95"/>
        <v>0</v>
      </c>
      <c r="AR58" s="92">
        <f t="shared" si="95"/>
        <v>0</v>
      </c>
      <c r="AS58" s="92">
        <f t="shared" si="96"/>
        <v>0</v>
      </c>
      <c r="AT58" s="92">
        <f t="shared" si="96"/>
        <v>0</v>
      </c>
      <c r="AU58" s="92">
        <f t="shared" si="84"/>
        <v>0</v>
      </c>
      <c r="AV58" s="92">
        <f t="shared" si="97"/>
        <v>0</v>
      </c>
      <c r="AW58" s="92">
        <f t="shared" si="98"/>
        <v>0</v>
      </c>
      <c r="AX58" s="92">
        <f t="shared" si="98"/>
        <v>0</v>
      </c>
      <c r="AY58" s="92">
        <f>AX58</f>
        <v>0</v>
      </c>
      <c r="AZ58" s="92"/>
      <c r="BA58" s="92"/>
      <c r="BB58" s="90">
        <f t="shared" si="101"/>
        <v>0</v>
      </c>
      <c r="BC58" s="55">
        <f t="shared" si="88"/>
        <v>0</v>
      </c>
      <c r="BD58" s="92">
        <f t="shared" si="65"/>
        <v>0</v>
      </c>
      <c r="BE58" s="92"/>
      <c r="BF58" s="97"/>
      <c r="BR58" s="1"/>
      <c r="EV58" s="65"/>
      <c r="EX58" s="1"/>
      <c r="EZ58" s="1"/>
      <c r="FB58" s="65"/>
      <c r="FD58" s="1"/>
      <c r="FH58" s="1"/>
      <c r="FV58" s="1"/>
      <c r="FX58" s="1"/>
      <c r="GB58" s="1"/>
      <c r="GD58" s="1"/>
      <c r="GF58" s="1"/>
      <c r="GH58" s="1"/>
      <c r="GJ58" s="1"/>
      <c r="GL58" s="1"/>
      <c r="GN58" s="1"/>
      <c r="GP58" s="1"/>
      <c r="GR58" s="1"/>
      <c r="GT58" s="1"/>
      <c r="GV58" s="1"/>
      <c r="GX58" s="1"/>
      <c r="GZ58" s="1"/>
      <c r="HB58" s="1"/>
      <c r="HD58" s="1"/>
      <c r="HE58" s="97">
        <f t="shared" si="82"/>
        <v>0</v>
      </c>
      <c r="HF58" s="97"/>
    </row>
    <row r="59" spans="1:214" s="23" customFormat="1" x14ac:dyDescent="0.25">
      <c r="A59" s="23" t="s">
        <v>153</v>
      </c>
      <c r="B59" s="95">
        <v>4</v>
      </c>
      <c r="C59" s="23">
        <v>172</v>
      </c>
      <c r="D59" s="25"/>
      <c r="E59" s="23">
        <v>10</v>
      </c>
      <c r="F59" s="23" t="s">
        <v>292</v>
      </c>
      <c r="G59" s="23" t="s">
        <v>108</v>
      </c>
      <c r="H59" s="88">
        <v>36336</v>
      </c>
      <c r="I59" s="23" t="s">
        <v>93</v>
      </c>
      <c r="J59" s="23" t="s">
        <v>94</v>
      </c>
      <c r="K59" s="95"/>
      <c r="L59" s="23" t="s">
        <v>95</v>
      </c>
      <c r="M59" s="50"/>
      <c r="N59" s="99" t="str">
        <f t="shared" si="85"/>
        <v>4R</v>
      </c>
      <c r="O59" s="23" t="str">
        <f t="shared" si="86"/>
        <v>4RBase</v>
      </c>
      <c r="Q59" s="89">
        <f t="shared" si="89"/>
        <v>0</v>
      </c>
      <c r="R59" s="97">
        <f t="shared" si="87"/>
        <v>0</v>
      </c>
      <c r="S59" s="97"/>
      <c r="T59" s="92">
        <v>37147</v>
      </c>
      <c r="U59" s="92"/>
      <c r="V59" s="91">
        <v>0</v>
      </c>
      <c r="W59" s="92">
        <f t="shared" si="90"/>
        <v>0</v>
      </c>
      <c r="X59" s="92">
        <f t="shared" si="91"/>
        <v>0</v>
      </c>
      <c r="Y59" s="92">
        <f t="shared" si="91"/>
        <v>0</v>
      </c>
      <c r="Z59" s="92">
        <f t="shared" si="91"/>
        <v>0</v>
      </c>
      <c r="AA59" s="92">
        <f t="shared" si="92"/>
        <v>0</v>
      </c>
      <c r="AB59" s="92">
        <f t="shared" si="93"/>
        <v>0</v>
      </c>
      <c r="AC59" s="92">
        <f t="shared" si="93"/>
        <v>0</v>
      </c>
      <c r="AD59" s="92">
        <f t="shared" si="93"/>
        <v>0</v>
      </c>
      <c r="AE59" s="92">
        <f t="shared" si="99"/>
        <v>0</v>
      </c>
      <c r="AF59" s="92">
        <f t="shared" si="99"/>
        <v>0</v>
      </c>
      <c r="AG59" s="92">
        <f t="shared" si="99"/>
        <v>0</v>
      </c>
      <c r="AH59" s="92">
        <f t="shared" si="99"/>
        <v>0</v>
      </c>
      <c r="AI59" s="92">
        <f t="shared" si="94"/>
        <v>0</v>
      </c>
      <c r="AJ59" s="92">
        <f t="shared" si="94"/>
        <v>0</v>
      </c>
      <c r="AK59" s="92">
        <f t="shared" si="94"/>
        <v>0</v>
      </c>
      <c r="AL59" s="92">
        <f t="shared" si="100"/>
        <v>0</v>
      </c>
      <c r="AM59" s="92">
        <f t="shared" si="100"/>
        <v>0</v>
      </c>
      <c r="AN59" s="92">
        <f t="shared" si="100"/>
        <v>0</v>
      </c>
      <c r="AO59" s="92">
        <f t="shared" si="100"/>
        <v>0</v>
      </c>
      <c r="AP59" s="92">
        <f t="shared" si="95"/>
        <v>0</v>
      </c>
      <c r="AQ59" s="92">
        <f t="shared" si="95"/>
        <v>0</v>
      </c>
      <c r="AR59" s="92">
        <f t="shared" si="95"/>
        <v>0</v>
      </c>
      <c r="AS59" s="92">
        <f t="shared" si="96"/>
        <v>0</v>
      </c>
      <c r="AT59" s="92">
        <f t="shared" si="96"/>
        <v>0</v>
      </c>
      <c r="AU59" s="92">
        <f t="shared" si="84"/>
        <v>0</v>
      </c>
      <c r="AV59" s="92">
        <f t="shared" si="97"/>
        <v>0</v>
      </c>
      <c r="AW59" s="92">
        <f t="shared" si="98"/>
        <v>0</v>
      </c>
      <c r="AX59" s="92">
        <f t="shared" si="98"/>
        <v>0</v>
      </c>
      <c r="AY59" s="92">
        <f>AX59</f>
        <v>0</v>
      </c>
      <c r="AZ59" s="92"/>
      <c r="BA59" s="92"/>
      <c r="BB59" s="90">
        <f t="shared" si="101"/>
        <v>0</v>
      </c>
      <c r="BC59" s="55">
        <f t="shared" si="88"/>
        <v>0</v>
      </c>
      <c r="BD59" s="92">
        <f t="shared" si="65"/>
        <v>0</v>
      </c>
      <c r="BE59" s="92"/>
      <c r="BF59" s="97"/>
      <c r="EV59" s="65"/>
      <c r="EX59" s="1"/>
      <c r="EZ59" s="1"/>
      <c r="FB59" s="65"/>
      <c r="FD59" s="1"/>
      <c r="FH59" s="1"/>
      <c r="FV59" s="14"/>
      <c r="FX59" s="14"/>
      <c r="GB59" s="14"/>
      <c r="GD59" s="14"/>
      <c r="GF59" s="14"/>
      <c r="GH59" s="1"/>
      <c r="GJ59" s="1"/>
      <c r="GL59" s="1"/>
      <c r="GN59" s="14"/>
      <c r="GP59" s="14"/>
      <c r="GR59" s="14"/>
      <c r="GT59" s="14"/>
      <c r="GV59" s="14"/>
      <c r="GX59" s="14"/>
      <c r="GZ59" s="14"/>
      <c r="HB59" s="14"/>
      <c r="HD59" s="14"/>
      <c r="HE59" s="97">
        <f t="shared" si="82"/>
        <v>0</v>
      </c>
      <c r="HF59" s="97"/>
    </row>
    <row r="60" spans="1:214" s="23" customFormat="1" x14ac:dyDescent="0.25">
      <c r="A60" s="23" t="s">
        <v>153</v>
      </c>
      <c r="B60" s="95">
        <v>4</v>
      </c>
      <c r="C60" s="23">
        <v>116</v>
      </c>
      <c r="E60" s="23">
        <v>10</v>
      </c>
      <c r="F60" s="23" t="s">
        <v>155</v>
      </c>
      <c r="G60" s="23" t="s">
        <v>108</v>
      </c>
      <c r="H60" s="88">
        <v>36336</v>
      </c>
      <c r="I60" s="23" t="s">
        <v>93</v>
      </c>
      <c r="J60" s="23" t="s">
        <v>94</v>
      </c>
      <c r="K60" s="95"/>
      <c r="L60" s="23" t="s">
        <v>99</v>
      </c>
      <c r="M60" s="50"/>
      <c r="N60" s="23" t="str">
        <f t="shared" si="85"/>
        <v>4R</v>
      </c>
      <c r="O60" s="23" t="str">
        <f t="shared" si="86"/>
        <v>4RBase</v>
      </c>
      <c r="Q60" s="89">
        <f t="shared" si="89"/>
        <v>0</v>
      </c>
      <c r="R60" s="97">
        <f t="shared" si="87"/>
        <v>0</v>
      </c>
      <c r="S60" s="97"/>
      <c r="T60" s="92">
        <v>37147</v>
      </c>
      <c r="U60" s="92"/>
      <c r="V60" s="91">
        <v>0</v>
      </c>
      <c r="W60" s="92">
        <f t="shared" si="90"/>
        <v>0</v>
      </c>
      <c r="X60" s="92">
        <f t="shared" ref="X60:Z61" si="102">W60</f>
        <v>0</v>
      </c>
      <c r="Y60" s="92">
        <f t="shared" si="102"/>
        <v>0</v>
      </c>
      <c r="Z60" s="92">
        <f t="shared" si="102"/>
        <v>0</v>
      </c>
      <c r="AA60" s="92">
        <f t="shared" si="92"/>
        <v>0</v>
      </c>
      <c r="AB60" s="92">
        <f t="shared" ref="AB60:AD61" si="103">AA60</f>
        <v>0</v>
      </c>
      <c r="AC60" s="92">
        <f t="shared" si="103"/>
        <v>0</v>
      </c>
      <c r="AD60" s="92">
        <f t="shared" si="103"/>
        <v>0</v>
      </c>
      <c r="AE60" s="92">
        <f t="shared" si="99"/>
        <v>0</v>
      </c>
      <c r="AF60" s="92">
        <f t="shared" si="99"/>
        <v>0</v>
      </c>
      <c r="AG60" s="92">
        <f t="shared" si="99"/>
        <v>0</v>
      </c>
      <c r="AH60" s="92">
        <f t="shared" si="99"/>
        <v>0</v>
      </c>
      <c r="AI60" s="92">
        <f t="shared" ref="AI60:AU61" si="104">AH60</f>
        <v>0</v>
      </c>
      <c r="AJ60" s="92">
        <f t="shared" si="104"/>
        <v>0</v>
      </c>
      <c r="AK60" s="92">
        <f t="shared" si="104"/>
        <v>0</v>
      </c>
      <c r="AL60" s="92">
        <f t="shared" si="104"/>
        <v>0</v>
      </c>
      <c r="AM60" s="92">
        <f t="shared" si="104"/>
        <v>0</v>
      </c>
      <c r="AN60" s="92">
        <f t="shared" si="104"/>
        <v>0</v>
      </c>
      <c r="AO60" s="92">
        <f t="shared" si="104"/>
        <v>0</v>
      </c>
      <c r="AP60" s="92">
        <f t="shared" si="104"/>
        <v>0</v>
      </c>
      <c r="AQ60" s="92">
        <f t="shared" si="104"/>
        <v>0</v>
      </c>
      <c r="AR60" s="92">
        <f t="shared" si="104"/>
        <v>0</v>
      </c>
      <c r="AS60" s="92">
        <f t="shared" si="104"/>
        <v>0</v>
      </c>
      <c r="AT60" s="92">
        <f t="shared" si="104"/>
        <v>0</v>
      </c>
      <c r="AU60" s="92">
        <f t="shared" si="104"/>
        <v>0</v>
      </c>
      <c r="AV60" s="92">
        <f t="shared" si="97"/>
        <v>0</v>
      </c>
      <c r="AW60" s="92">
        <f t="shared" ref="AW60:AY61" si="105">AV60</f>
        <v>0</v>
      </c>
      <c r="AX60" s="92">
        <f t="shared" si="105"/>
        <v>0</v>
      </c>
      <c r="AY60" s="92">
        <f t="shared" si="105"/>
        <v>0</v>
      </c>
      <c r="AZ60" s="92"/>
      <c r="BA60" s="92"/>
      <c r="BB60" s="90">
        <f t="shared" si="101"/>
        <v>0</v>
      </c>
      <c r="BC60" s="55">
        <f t="shared" si="88"/>
        <v>0</v>
      </c>
      <c r="BD60" s="92">
        <f t="shared" si="65"/>
        <v>0</v>
      </c>
      <c r="BE60" s="92"/>
      <c r="BF60" s="97"/>
      <c r="EV60" s="65"/>
      <c r="EX60" s="1"/>
      <c r="EZ60" s="1"/>
      <c r="FB60" s="65"/>
      <c r="FD60" s="1"/>
      <c r="FH60" s="1"/>
      <c r="FV60" s="1"/>
      <c r="FX60" s="1"/>
      <c r="GB60" s="1"/>
      <c r="GD60" s="1"/>
      <c r="GF60" s="1"/>
      <c r="GH60" s="1"/>
      <c r="GJ60" s="1"/>
      <c r="GL60" s="1"/>
      <c r="GN60" s="1"/>
      <c r="GP60" s="1"/>
      <c r="GR60" s="1"/>
      <c r="GT60" s="1"/>
      <c r="GV60" s="1"/>
      <c r="GX60" s="1"/>
      <c r="GZ60" s="1"/>
      <c r="HB60" s="1"/>
      <c r="HD60" s="1"/>
      <c r="HE60" s="97">
        <f t="shared" si="82"/>
        <v>0</v>
      </c>
      <c r="HF60" s="97"/>
    </row>
    <row r="61" spans="1:214" s="25" customFormat="1" x14ac:dyDescent="0.25">
      <c r="A61" s="25" t="s">
        <v>153</v>
      </c>
      <c r="B61" s="24">
        <v>4</v>
      </c>
      <c r="C61" s="25">
        <v>156</v>
      </c>
      <c r="E61" s="25">
        <v>10</v>
      </c>
      <c r="F61" s="25" t="s">
        <v>272</v>
      </c>
      <c r="G61" s="25" t="s">
        <v>108</v>
      </c>
      <c r="H61" s="100">
        <v>36336</v>
      </c>
      <c r="I61" s="25" t="s">
        <v>93</v>
      </c>
      <c r="J61" s="25" t="s">
        <v>94</v>
      </c>
      <c r="K61" s="24"/>
      <c r="L61" s="25" t="s">
        <v>99</v>
      </c>
      <c r="M61" s="50"/>
      <c r="N61" s="25" t="str">
        <f>CONCATENATE(B61,J61)</f>
        <v>4R</v>
      </c>
      <c r="O61" s="25" t="str">
        <f>CONCATENATE(B61,J61,I61)</f>
        <v>4RBase</v>
      </c>
      <c r="Q61" s="89">
        <f>+BC61</f>
        <v>0</v>
      </c>
      <c r="R61" s="101">
        <f t="shared" si="87"/>
        <v>0</v>
      </c>
      <c r="S61" s="101"/>
      <c r="T61" s="102">
        <v>37147</v>
      </c>
      <c r="U61" s="102"/>
      <c r="V61" s="103">
        <v>0</v>
      </c>
      <c r="W61" s="102">
        <f t="shared" si="90"/>
        <v>0</v>
      </c>
      <c r="X61" s="102">
        <f t="shared" si="102"/>
        <v>0</v>
      </c>
      <c r="Y61" s="102">
        <f t="shared" si="102"/>
        <v>0</v>
      </c>
      <c r="Z61" s="102">
        <f t="shared" si="102"/>
        <v>0</v>
      </c>
      <c r="AA61" s="102">
        <f t="shared" si="92"/>
        <v>0</v>
      </c>
      <c r="AB61" s="102">
        <f t="shared" si="103"/>
        <v>0</v>
      </c>
      <c r="AC61" s="102">
        <f t="shared" si="103"/>
        <v>0</v>
      </c>
      <c r="AD61" s="102">
        <f t="shared" si="103"/>
        <v>0</v>
      </c>
      <c r="AE61" s="102">
        <f t="shared" si="99"/>
        <v>0</v>
      </c>
      <c r="AF61" s="102">
        <f t="shared" si="99"/>
        <v>0</v>
      </c>
      <c r="AG61" s="102">
        <f t="shared" si="99"/>
        <v>0</v>
      </c>
      <c r="AH61" s="102">
        <f t="shared" si="99"/>
        <v>0</v>
      </c>
      <c r="AI61" s="102">
        <f t="shared" si="104"/>
        <v>0</v>
      </c>
      <c r="AJ61" s="102">
        <f t="shared" si="104"/>
        <v>0</v>
      </c>
      <c r="AK61" s="102">
        <f t="shared" si="104"/>
        <v>0</v>
      </c>
      <c r="AL61" s="102">
        <f t="shared" si="104"/>
        <v>0</v>
      </c>
      <c r="AM61" s="102">
        <f t="shared" si="104"/>
        <v>0</v>
      </c>
      <c r="AN61" s="102">
        <f t="shared" si="104"/>
        <v>0</v>
      </c>
      <c r="AO61" s="102">
        <f t="shared" si="104"/>
        <v>0</v>
      </c>
      <c r="AP61" s="102">
        <f t="shared" si="104"/>
        <v>0</v>
      </c>
      <c r="AQ61" s="102">
        <f t="shared" si="104"/>
        <v>0</v>
      </c>
      <c r="AR61" s="102">
        <f t="shared" si="104"/>
        <v>0</v>
      </c>
      <c r="AS61" s="102">
        <f t="shared" si="104"/>
        <v>0</v>
      </c>
      <c r="AT61" s="102">
        <f t="shared" si="104"/>
        <v>0</v>
      </c>
      <c r="AU61" s="102">
        <f t="shared" si="104"/>
        <v>0</v>
      </c>
      <c r="AV61" s="102">
        <f t="shared" si="97"/>
        <v>0</v>
      </c>
      <c r="AW61" s="102">
        <f t="shared" si="105"/>
        <v>0</v>
      </c>
      <c r="AX61" s="102">
        <f t="shared" si="105"/>
        <v>0</v>
      </c>
      <c r="AY61" s="102">
        <f t="shared" si="105"/>
        <v>0</v>
      </c>
      <c r="AZ61" s="102"/>
      <c r="BA61" s="102"/>
      <c r="BB61" s="90">
        <f>SUM(V61:AZ61)</f>
        <v>0</v>
      </c>
      <c r="BC61" s="55">
        <f t="shared" si="88"/>
        <v>0</v>
      </c>
      <c r="BD61" s="92">
        <f>MAX(V61:AZ61)</f>
        <v>0</v>
      </c>
      <c r="BE61" s="102"/>
      <c r="BF61" s="101"/>
      <c r="BP61" s="23"/>
      <c r="CD61" s="23"/>
      <c r="CF61" s="23"/>
      <c r="CH61" s="23"/>
      <c r="CJ61" s="23"/>
      <c r="CL61" s="23"/>
      <c r="CN61" s="23"/>
      <c r="CP61" s="23"/>
      <c r="CR61" s="23"/>
      <c r="CT61" s="23"/>
      <c r="CV61" s="23"/>
      <c r="CX61" s="23"/>
      <c r="CZ61" s="23"/>
      <c r="DB61" s="23"/>
      <c r="DD61" s="23"/>
      <c r="DF61" s="23"/>
      <c r="DH61" s="23"/>
      <c r="DJ61" s="23"/>
      <c r="DL61" s="23"/>
      <c r="DN61" s="23"/>
      <c r="DP61" s="23"/>
      <c r="DR61" s="23"/>
      <c r="DT61" s="23"/>
      <c r="EJ61" s="23"/>
      <c r="EL61" s="23"/>
      <c r="ET61" s="23"/>
      <c r="EV61" s="65" t="s">
        <v>278</v>
      </c>
      <c r="EX61" s="1"/>
      <c r="EZ61" s="1"/>
      <c r="FB61" s="65" t="s">
        <v>278</v>
      </c>
      <c r="FD61" s="1"/>
      <c r="FF61" s="23"/>
      <c r="FH61" s="1"/>
      <c r="FT61" s="23"/>
      <c r="FV61" s="1"/>
      <c r="FX61" s="1"/>
      <c r="FZ61" s="23"/>
      <c r="GB61" s="1"/>
      <c r="GD61" s="1"/>
      <c r="GF61" s="1"/>
      <c r="GH61" s="1"/>
      <c r="GJ61" s="1"/>
      <c r="GL61" s="1"/>
      <c r="GN61" s="1"/>
      <c r="GP61" s="1"/>
      <c r="GR61" s="1"/>
      <c r="GT61" s="1"/>
      <c r="GV61" s="1"/>
      <c r="GX61" s="1"/>
      <c r="GZ61" s="1"/>
      <c r="HB61" s="1"/>
      <c r="HD61" s="1"/>
      <c r="HE61" s="97">
        <f t="shared" si="82"/>
        <v>0</v>
      </c>
      <c r="HF61" s="101"/>
    </row>
    <row r="62" spans="1:214" s="23" customFormat="1" x14ac:dyDescent="0.25">
      <c r="A62" s="23" t="s">
        <v>19</v>
      </c>
      <c r="B62" s="95">
        <v>46</v>
      </c>
      <c r="D62" s="25">
        <v>30</v>
      </c>
      <c r="E62" s="23">
        <v>10</v>
      </c>
      <c r="F62" s="23" t="s">
        <v>97</v>
      </c>
      <c r="G62" s="23" t="s">
        <v>114</v>
      </c>
      <c r="H62" s="88">
        <v>36336</v>
      </c>
      <c r="I62" s="23" t="s">
        <v>93</v>
      </c>
      <c r="J62" s="23" t="s">
        <v>94</v>
      </c>
      <c r="K62" s="95"/>
      <c r="L62" s="23" t="s">
        <v>95</v>
      </c>
      <c r="M62" s="50" t="s">
        <v>237</v>
      </c>
      <c r="N62" s="23" t="str">
        <f>CONCATENATE(B62,J62)</f>
        <v>46R</v>
      </c>
      <c r="O62" s="23" t="str">
        <f>CONCATENATE(B62,J62,I62)</f>
        <v>46RBase</v>
      </c>
      <c r="Q62" s="89">
        <f t="shared" si="89"/>
        <v>0</v>
      </c>
      <c r="R62" s="97">
        <f t="shared" si="87"/>
        <v>0</v>
      </c>
      <c r="S62" s="97"/>
      <c r="T62" s="92">
        <v>37147</v>
      </c>
      <c r="U62" s="92"/>
      <c r="V62" s="91">
        <v>0</v>
      </c>
      <c r="W62" s="92">
        <f t="shared" si="90"/>
        <v>0</v>
      </c>
      <c r="X62" s="92">
        <f t="shared" ref="X62:X69" si="106">W62</f>
        <v>0</v>
      </c>
      <c r="Y62" s="92">
        <f t="shared" ref="Y62:Y69" si="107">X62</f>
        <v>0</v>
      </c>
      <c r="Z62" s="92">
        <f t="shared" ref="Z62:Z69" si="108">Y62</f>
        <v>0</v>
      </c>
      <c r="AA62" s="92">
        <f t="shared" ref="AA62:AA69" si="109">Z62</f>
        <v>0</v>
      </c>
      <c r="AB62" s="92">
        <f t="shared" si="93"/>
        <v>0</v>
      </c>
      <c r="AC62" s="92">
        <f t="shared" si="93"/>
        <v>0</v>
      </c>
      <c r="AD62" s="92">
        <f t="shared" si="93"/>
        <v>0</v>
      </c>
      <c r="AE62" s="92">
        <f t="shared" ref="AE62:AF69" si="110">AD62</f>
        <v>0</v>
      </c>
      <c r="AF62" s="92">
        <f t="shared" si="110"/>
        <v>0</v>
      </c>
      <c r="AG62" s="92">
        <f t="shared" ref="AG62:AH69" si="111">AF62</f>
        <v>0</v>
      </c>
      <c r="AH62" s="92">
        <f t="shared" si="111"/>
        <v>0</v>
      </c>
      <c r="AI62" s="92">
        <f t="shared" si="94"/>
        <v>0</v>
      </c>
      <c r="AJ62" s="92">
        <f t="shared" si="94"/>
        <v>0</v>
      </c>
      <c r="AK62" s="92">
        <f t="shared" si="94"/>
        <v>0</v>
      </c>
      <c r="AL62" s="92">
        <f t="shared" ref="AL62:AL69" si="112">AK62</f>
        <v>0</v>
      </c>
      <c r="AM62" s="92">
        <f t="shared" ref="AM62:AM69" si="113">AL62</f>
        <v>0</v>
      </c>
      <c r="AN62" s="92">
        <f t="shared" ref="AN62:AN69" si="114">AM62</f>
        <v>0</v>
      </c>
      <c r="AO62" s="92">
        <f t="shared" ref="AO62:AO69" si="115">AN62</f>
        <v>0</v>
      </c>
      <c r="AP62" s="92">
        <f t="shared" ref="AP62:AQ69" si="116">AO62</f>
        <v>0</v>
      </c>
      <c r="AQ62" s="92">
        <f t="shared" si="116"/>
        <v>0</v>
      </c>
      <c r="AR62" s="92">
        <f t="shared" ref="AR62:AR69" si="117">AQ62</f>
        <v>0</v>
      </c>
      <c r="AS62" s="92">
        <f t="shared" si="96"/>
        <v>0</v>
      </c>
      <c r="AT62" s="92">
        <f t="shared" si="96"/>
        <v>0</v>
      </c>
      <c r="AU62" s="92">
        <f t="shared" si="84"/>
        <v>0</v>
      </c>
      <c r="AV62" s="92">
        <f t="shared" ref="AV62:AV69" si="118">AU62</f>
        <v>0</v>
      </c>
      <c r="AW62" s="92">
        <f t="shared" ref="AW62:AX69" si="119">AV62</f>
        <v>0</v>
      </c>
      <c r="AX62" s="92">
        <f t="shared" si="119"/>
        <v>0</v>
      </c>
      <c r="AY62" s="92">
        <f t="shared" ref="AY62:AY69" si="120">AX62</f>
        <v>0</v>
      </c>
      <c r="AZ62" s="92"/>
      <c r="BA62" s="92"/>
      <c r="BB62" s="90">
        <f t="shared" si="101"/>
        <v>0</v>
      </c>
      <c r="BC62" s="55">
        <f t="shared" si="88"/>
        <v>0</v>
      </c>
      <c r="BD62" s="92">
        <f t="shared" si="65"/>
        <v>0</v>
      </c>
      <c r="BE62" s="92"/>
      <c r="BF62" s="97"/>
      <c r="BR62" s="106"/>
      <c r="EV62" s="65"/>
      <c r="EX62" s="1"/>
      <c r="EZ62" s="1"/>
      <c r="FB62" s="65"/>
      <c r="FD62" s="1"/>
      <c r="FH62" s="1"/>
      <c r="FV62" s="1"/>
      <c r="FX62" s="1"/>
      <c r="GB62" s="1"/>
      <c r="GD62" s="1"/>
      <c r="GF62" s="1"/>
      <c r="GH62" s="1"/>
      <c r="GJ62" s="1"/>
      <c r="GL62" s="1"/>
      <c r="GN62" s="1"/>
      <c r="GP62" s="1"/>
      <c r="GR62" s="1"/>
      <c r="GT62" s="1"/>
      <c r="GV62" s="1"/>
      <c r="GX62" s="1"/>
      <c r="GZ62" s="1"/>
      <c r="HB62" s="1"/>
      <c r="HD62" s="1"/>
      <c r="HE62" s="97">
        <f t="shared" si="82"/>
        <v>0</v>
      </c>
      <c r="HF62" s="97"/>
    </row>
    <row r="63" spans="1:214" s="23" customFormat="1" x14ac:dyDescent="0.25">
      <c r="A63" s="23" t="s">
        <v>19</v>
      </c>
      <c r="B63" s="95">
        <v>46</v>
      </c>
      <c r="D63" s="25">
        <v>31</v>
      </c>
      <c r="E63" s="23">
        <v>10</v>
      </c>
      <c r="F63" s="23" t="s">
        <v>97</v>
      </c>
      <c r="G63" s="23" t="s">
        <v>114</v>
      </c>
      <c r="H63" s="88">
        <v>36336</v>
      </c>
      <c r="I63" s="23" t="s">
        <v>93</v>
      </c>
      <c r="J63" s="23" t="s">
        <v>94</v>
      </c>
      <c r="K63" s="95"/>
      <c r="L63" s="23" t="s">
        <v>99</v>
      </c>
      <c r="M63" s="50"/>
      <c r="N63" s="23" t="str">
        <f t="shared" si="85"/>
        <v>46R</v>
      </c>
      <c r="O63" s="23" t="str">
        <f t="shared" si="86"/>
        <v>46RBase</v>
      </c>
      <c r="Q63" s="89">
        <f t="shared" si="89"/>
        <v>0</v>
      </c>
      <c r="R63" s="97">
        <f t="shared" si="87"/>
        <v>0</v>
      </c>
      <c r="S63" s="97"/>
      <c r="T63" s="92">
        <v>37147</v>
      </c>
      <c r="U63" s="92"/>
      <c r="V63" s="91">
        <v>0</v>
      </c>
      <c r="W63" s="92">
        <f t="shared" si="90"/>
        <v>0</v>
      </c>
      <c r="X63" s="92">
        <f t="shared" si="106"/>
        <v>0</v>
      </c>
      <c r="Y63" s="92">
        <f t="shared" si="107"/>
        <v>0</v>
      </c>
      <c r="Z63" s="92">
        <f t="shared" si="108"/>
        <v>0</v>
      </c>
      <c r="AA63" s="92">
        <f t="shared" si="109"/>
        <v>0</v>
      </c>
      <c r="AB63" s="92">
        <f t="shared" si="93"/>
        <v>0</v>
      </c>
      <c r="AC63" s="92">
        <f t="shared" si="93"/>
        <v>0</v>
      </c>
      <c r="AD63" s="92">
        <f t="shared" si="93"/>
        <v>0</v>
      </c>
      <c r="AE63" s="92">
        <f t="shared" si="110"/>
        <v>0</v>
      </c>
      <c r="AF63" s="92">
        <f t="shared" si="110"/>
        <v>0</v>
      </c>
      <c r="AG63" s="92">
        <f t="shared" si="111"/>
        <v>0</v>
      </c>
      <c r="AH63" s="92">
        <f t="shared" si="111"/>
        <v>0</v>
      </c>
      <c r="AI63" s="92">
        <f t="shared" si="94"/>
        <v>0</v>
      </c>
      <c r="AJ63" s="92">
        <f t="shared" si="94"/>
        <v>0</v>
      </c>
      <c r="AK63" s="92">
        <f t="shared" si="94"/>
        <v>0</v>
      </c>
      <c r="AL63" s="92">
        <f t="shared" si="112"/>
        <v>0</v>
      </c>
      <c r="AM63" s="92">
        <f t="shared" si="113"/>
        <v>0</v>
      </c>
      <c r="AN63" s="92">
        <f t="shared" si="114"/>
        <v>0</v>
      </c>
      <c r="AO63" s="92">
        <f t="shared" si="115"/>
        <v>0</v>
      </c>
      <c r="AP63" s="92">
        <f t="shared" si="116"/>
        <v>0</v>
      </c>
      <c r="AQ63" s="92">
        <f t="shared" si="116"/>
        <v>0</v>
      </c>
      <c r="AR63" s="92">
        <f t="shared" si="117"/>
        <v>0</v>
      </c>
      <c r="AS63" s="92">
        <f t="shared" si="96"/>
        <v>0</v>
      </c>
      <c r="AT63" s="92">
        <f t="shared" si="96"/>
        <v>0</v>
      </c>
      <c r="AU63" s="92">
        <f t="shared" si="84"/>
        <v>0</v>
      </c>
      <c r="AV63" s="92">
        <f t="shared" si="118"/>
        <v>0</v>
      </c>
      <c r="AW63" s="92">
        <f t="shared" si="119"/>
        <v>0</v>
      </c>
      <c r="AX63" s="92">
        <f t="shared" si="119"/>
        <v>0</v>
      </c>
      <c r="AY63" s="92">
        <f t="shared" si="120"/>
        <v>0</v>
      </c>
      <c r="AZ63" s="92"/>
      <c r="BA63" s="92"/>
      <c r="BB63" s="90">
        <f t="shared" si="101"/>
        <v>0</v>
      </c>
      <c r="BC63" s="55">
        <f t="shared" si="88"/>
        <v>0</v>
      </c>
      <c r="BD63" s="92">
        <f t="shared" si="65"/>
        <v>0</v>
      </c>
      <c r="BE63" s="92"/>
      <c r="BF63" s="97"/>
      <c r="EV63" s="65"/>
      <c r="EX63" s="1"/>
      <c r="EZ63" s="1"/>
      <c r="FB63" s="65"/>
      <c r="FD63" s="1"/>
      <c r="FH63" s="1"/>
      <c r="FV63" s="1"/>
      <c r="FX63" s="1"/>
      <c r="GB63" s="1"/>
      <c r="GD63" s="1"/>
      <c r="GF63" s="1"/>
      <c r="GH63" s="1"/>
      <c r="GJ63" s="1"/>
      <c r="GL63" s="1"/>
      <c r="GN63" s="1"/>
      <c r="GP63" s="1"/>
      <c r="GR63" s="1"/>
      <c r="GT63" s="1"/>
      <c r="GV63" s="1"/>
      <c r="GX63" s="1"/>
      <c r="GZ63" s="1"/>
      <c r="HB63" s="1"/>
      <c r="HD63" s="1"/>
      <c r="HE63" s="97">
        <f t="shared" si="82"/>
        <v>0</v>
      </c>
      <c r="HF63" s="97"/>
    </row>
    <row r="64" spans="1:214" s="23" customFormat="1" x14ac:dyDescent="0.25">
      <c r="A64" s="23" t="s">
        <v>19</v>
      </c>
      <c r="B64" s="95">
        <v>46</v>
      </c>
      <c r="D64" s="25">
        <v>30</v>
      </c>
      <c r="E64" s="23">
        <v>10</v>
      </c>
      <c r="F64" s="23" t="s">
        <v>123</v>
      </c>
      <c r="G64" s="23" t="s">
        <v>114</v>
      </c>
      <c r="H64" s="88">
        <v>36336</v>
      </c>
      <c r="I64" s="23" t="s">
        <v>93</v>
      </c>
      <c r="J64" s="23" t="s">
        <v>94</v>
      </c>
      <c r="K64" s="95"/>
      <c r="L64" s="23" t="s">
        <v>95</v>
      </c>
      <c r="M64" s="50" t="s">
        <v>236</v>
      </c>
      <c r="N64" s="23" t="str">
        <f t="shared" si="85"/>
        <v>46R</v>
      </c>
      <c r="O64" s="23" t="str">
        <f t="shared" si="86"/>
        <v>46RBase</v>
      </c>
      <c r="Q64" s="89">
        <f t="shared" si="89"/>
        <v>1211</v>
      </c>
      <c r="R64" s="97">
        <f t="shared" si="87"/>
        <v>1211</v>
      </c>
      <c r="S64" s="97"/>
      <c r="T64" s="92">
        <v>37147</v>
      </c>
      <c r="U64" s="92"/>
      <c r="V64" s="107">
        <v>1211</v>
      </c>
      <c r="W64" s="92">
        <f t="shared" si="90"/>
        <v>1211</v>
      </c>
      <c r="X64" s="92">
        <f t="shared" si="106"/>
        <v>1211</v>
      </c>
      <c r="Y64" s="92">
        <f t="shared" si="107"/>
        <v>1211</v>
      </c>
      <c r="Z64" s="92">
        <f t="shared" si="108"/>
        <v>1211</v>
      </c>
      <c r="AA64" s="92">
        <f t="shared" si="109"/>
        <v>1211</v>
      </c>
      <c r="AB64" s="92">
        <f t="shared" si="93"/>
        <v>1211</v>
      </c>
      <c r="AC64" s="92">
        <f t="shared" si="93"/>
        <v>1211</v>
      </c>
      <c r="AD64" s="92">
        <f t="shared" si="93"/>
        <v>1211</v>
      </c>
      <c r="AE64" s="92">
        <f t="shared" si="110"/>
        <v>1211</v>
      </c>
      <c r="AF64" s="92">
        <f t="shared" si="110"/>
        <v>1211</v>
      </c>
      <c r="AG64" s="92">
        <f t="shared" si="111"/>
        <v>1211</v>
      </c>
      <c r="AH64" s="92">
        <f t="shared" si="111"/>
        <v>1211</v>
      </c>
      <c r="AI64" s="92">
        <f t="shared" si="94"/>
        <v>1211</v>
      </c>
      <c r="AJ64" s="92">
        <f t="shared" si="94"/>
        <v>1211</v>
      </c>
      <c r="AK64" s="92">
        <f t="shared" si="94"/>
        <v>1211</v>
      </c>
      <c r="AL64" s="92">
        <f t="shared" si="112"/>
        <v>1211</v>
      </c>
      <c r="AM64" s="92">
        <f t="shared" si="113"/>
        <v>1211</v>
      </c>
      <c r="AN64" s="92">
        <f t="shared" si="114"/>
        <v>1211</v>
      </c>
      <c r="AO64" s="92">
        <f t="shared" si="115"/>
        <v>1211</v>
      </c>
      <c r="AP64" s="92">
        <f t="shared" si="116"/>
        <v>1211</v>
      </c>
      <c r="AQ64" s="92">
        <f t="shared" si="116"/>
        <v>1211</v>
      </c>
      <c r="AR64" s="92">
        <f t="shared" si="117"/>
        <v>1211</v>
      </c>
      <c r="AS64" s="92">
        <f t="shared" si="96"/>
        <v>1211</v>
      </c>
      <c r="AT64" s="92">
        <f t="shared" si="96"/>
        <v>1211</v>
      </c>
      <c r="AU64" s="92">
        <f t="shared" si="84"/>
        <v>1211</v>
      </c>
      <c r="AV64" s="92">
        <f t="shared" si="118"/>
        <v>1211</v>
      </c>
      <c r="AW64" s="92">
        <f t="shared" si="119"/>
        <v>1211</v>
      </c>
      <c r="AX64" s="92">
        <f t="shared" si="119"/>
        <v>1211</v>
      </c>
      <c r="AY64" s="92">
        <f t="shared" si="120"/>
        <v>1211</v>
      </c>
      <c r="AZ64" s="92"/>
      <c r="BA64" s="92"/>
      <c r="BB64" s="90">
        <f t="shared" si="101"/>
        <v>36330</v>
      </c>
      <c r="BC64" s="55">
        <f t="shared" si="88"/>
        <v>1211</v>
      </c>
      <c r="BD64" s="92">
        <f t="shared" si="65"/>
        <v>1211</v>
      </c>
      <c r="BE64" s="92"/>
      <c r="BF64" s="97"/>
      <c r="BP64" s="23" t="s">
        <v>253</v>
      </c>
      <c r="EH64" s="23" t="s">
        <v>126</v>
      </c>
      <c r="ER64" s="23" t="s">
        <v>126</v>
      </c>
      <c r="EV64" s="65"/>
      <c r="EX64" s="1"/>
      <c r="EZ64" s="1"/>
      <c r="FB64" s="65"/>
      <c r="FD64" s="1"/>
      <c r="FH64" s="1"/>
      <c r="FL64" s="23" t="s">
        <v>126</v>
      </c>
      <c r="FV64" s="1"/>
      <c r="FX64" s="1"/>
      <c r="GB64" s="1"/>
      <c r="GD64" s="1"/>
      <c r="GF64" s="1"/>
      <c r="GH64" s="1"/>
      <c r="GJ64" s="1"/>
      <c r="GL64" s="1"/>
      <c r="GN64" s="1"/>
      <c r="GP64" s="1"/>
      <c r="GR64" s="1"/>
      <c r="GT64" s="1"/>
      <c r="GV64" s="1"/>
      <c r="GX64" s="1"/>
      <c r="GZ64" s="1"/>
      <c r="HB64" s="1"/>
      <c r="HD64" s="1"/>
      <c r="HE64" s="97">
        <f t="shared" si="82"/>
        <v>-1211</v>
      </c>
      <c r="HF64" s="97"/>
    </row>
    <row r="65" spans="1:214" s="23" customFormat="1" x14ac:dyDescent="0.25">
      <c r="A65" s="23" t="s">
        <v>157</v>
      </c>
      <c r="B65" s="95">
        <v>62</v>
      </c>
      <c r="D65" s="25">
        <v>31</v>
      </c>
      <c r="E65" s="23">
        <v>10</v>
      </c>
      <c r="F65" s="23" t="s">
        <v>97</v>
      </c>
      <c r="G65" s="23" t="s">
        <v>275</v>
      </c>
      <c r="H65" s="88">
        <v>36336</v>
      </c>
      <c r="I65" s="23" t="s">
        <v>93</v>
      </c>
      <c r="J65" s="23" t="s">
        <v>94</v>
      </c>
      <c r="K65" s="95"/>
      <c r="L65" s="23" t="s">
        <v>95</v>
      </c>
      <c r="M65" s="50"/>
      <c r="N65" s="23" t="str">
        <f t="shared" si="85"/>
        <v>62R</v>
      </c>
      <c r="O65" s="23" t="str">
        <f t="shared" si="86"/>
        <v>62RBase</v>
      </c>
      <c r="Q65" s="89">
        <f t="shared" si="89"/>
        <v>0</v>
      </c>
      <c r="R65" s="97">
        <f t="shared" si="87"/>
        <v>0</v>
      </c>
      <c r="S65" s="97"/>
      <c r="T65" s="92">
        <v>37147</v>
      </c>
      <c r="U65" s="92"/>
      <c r="V65" s="91">
        <v>0</v>
      </c>
      <c r="W65" s="92">
        <f t="shared" si="90"/>
        <v>0</v>
      </c>
      <c r="X65" s="92">
        <f t="shared" si="106"/>
        <v>0</v>
      </c>
      <c r="Y65" s="92">
        <f t="shared" si="107"/>
        <v>0</v>
      </c>
      <c r="Z65" s="92">
        <f t="shared" si="108"/>
        <v>0</v>
      </c>
      <c r="AA65" s="92">
        <f t="shared" si="109"/>
        <v>0</v>
      </c>
      <c r="AB65" s="92">
        <f t="shared" si="93"/>
        <v>0</v>
      </c>
      <c r="AC65" s="92">
        <f t="shared" si="93"/>
        <v>0</v>
      </c>
      <c r="AD65" s="92">
        <f t="shared" si="93"/>
        <v>0</v>
      </c>
      <c r="AE65" s="92">
        <f t="shared" si="110"/>
        <v>0</v>
      </c>
      <c r="AF65" s="92">
        <f t="shared" si="110"/>
        <v>0</v>
      </c>
      <c r="AG65" s="92">
        <f t="shared" si="111"/>
        <v>0</v>
      </c>
      <c r="AH65" s="92">
        <f t="shared" si="111"/>
        <v>0</v>
      </c>
      <c r="AI65" s="92">
        <f t="shared" si="94"/>
        <v>0</v>
      </c>
      <c r="AJ65" s="92">
        <f t="shared" si="94"/>
        <v>0</v>
      </c>
      <c r="AK65" s="92">
        <f t="shared" si="94"/>
        <v>0</v>
      </c>
      <c r="AL65" s="92">
        <f t="shared" si="112"/>
        <v>0</v>
      </c>
      <c r="AM65" s="92">
        <f t="shared" si="113"/>
        <v>0</v>
      </c>
      <c r="AN65" s="92">
        <f t="shared" si="114"/>
        <v>0</v>
      </c>
      <c r="AO65" s="92">
        <f t="shared" si="115"/>
        <v>0</v>
      </c>
      <c r="AP65" s="92">
        <f t="shared" si="116"/>
        <v>0</v>
      </c>
      <c r="AQ65" s="92">
        <f t="shared" si="116"/>
        <v>0</v>
      </c>
      <c r="AR65" s="92">
        <f t="shared" si="117"/>
        <v>0</v>
      </c>
      <c r="AS65" s="92">
        <f t="shared" si="96"/>
        <v>0</v>
      </c>
      <c r="AT65" s="92">
        <f t="shared" si="96"/>
        <v>0</v>
      </c>
      <c r="AU65" s="92">
        <f t="shared" si="84"/>
        <v>0</v>
      </c>
      <c r="AV65" s="92">
        <f t="shared" si="118"/>
        <v>0</v>
      </c>
      <c r="AW65" s="92">
        <f t="shared" si="119"/>
        <v>0</v>
      </c>
      <c r="AX65" s="92">
        <f t="shared" si="119"/>
        <v>0</v>
      </c>
      <c r="AY65" s="92">
        <f t="shared" si="120"/>
        <v>0</v>
      </c>
      <c r="AZ65" s="92"/>
      <c r="BA65" s="92"/>
      <c r="BB65" s="90">
        <f t="shared" si="101"/>
        <v>0</v>
      </c>
      <c r="BC65" s="55">
        <f t="shared" si="88"/>
        <v>0</v>
      </c>
      <c r="BD65" s="92">
        <f t="shared" si="65"/>
        <v>0</v>
      </c>
      <c r="BE65" s="92"/>
      <c r="BF65" s="97"/>
      <c r="EV65" s="65"/>
      <c r="EX65" s="1"/>
      <c r="EZ65" s="1"/>
      <c r="FB65" s="65"/>
      <c r="FD65" s="1"/>
      <c r="FH65" s="1"/>
      <c r="FV65" s="1"/>
      <c r="FX65" s="1"/>
      <c r="GB65" s="1"/>
      <c r="GD65" s="1"/>
      <c r="GF65" s="1"/>
      <c r="GH65" s="1"/>
      <c r="GJ65" s="1"/>
      <c r="GL65" s="1"/>
      <c r="GN65" s="1"/>
      <c r="GP65" s="1"/>
      <c r="GR65" s="1"/>
      <c r="GT65" s="1"/>
      <c r="GV65" s="1"/>
      <c r="GX65" s="1"/>
      <c r="GZ65" s="1"/>
      <c r="HB65" s="1"/>
      <c r="HD65" s="1"/>
      <c r="HE65" s="97">
        <f t="shared" si="82"/>
        <v>0</v>
      </c>
      <c r="HF65" s="97"/>
    </row>
    <row r="66" spans="1:214" s="23" customFormat="1" x14ac:dyDescent="0.25">
      <c r="A66" s="23" t="s">
        <v>158</v>
      </c>
      <c r="B66" s="95">
        <v>78</v>
      </c>
      <c r="D66" s="25">
        <v>30</v>
      </c>
      <c r="E66" s="23">
        <v>10</v>
      </c>
      <c r="F66" s="23" t="s">
        <v>123</v>
      </c>
      <c r="G66" s="23" t="s">
        <v>108</v>
      </c>
      <c r="H66" s="88">
        <v>36336</v>
      </c>
      <c r="I66" s="23" t="s">
        <v>93</v>
      </c>
      <c r="J66" s="23" t="s">
        <v>94</v>
      </c>
      <c r="K66" s="95"/>
      <c r="L66" s="23" t="s">
        <v>95</v>
      </c>
      <c r="M66" s="1"/>
      <c r="N66" s="23" t="str">
        <f t="shared" si="85"/>
        <v>78R</v>
      </c>
      <c r="O66" s="23" t="str">
        <f t="shared" si="86"/>
        <v>78RBase</v>
      </c>
      <c r="Q66" s="89">
        <f t="shared" si="89"/>
        <v>0</v>
      </c>
      <c r="R66" s="97">
        <f t="shared" si="87"/>
        <v>0</v>
      </c>
      <c r="S66" s="97"/>
      <c r="T66" s="92">
        <v>37147</v>
      </c>
      <c r="U66" s="92"/>
      <c r="V66" s="107">
        <v>0</v>
      </c>
      <c r="W66" s="92">
        <f t="shared" si="90"/>
        <v>0</v>
      </c>
      <c r="X66" s="92">
        <f t="shared" si="106"/>
        <v>0</v>
      </c>
      <c r="Y66" s="92">
        <f t="shared" si="107"/>
        <v>0</v>
      </c>
      <c r="Z66" s="92">
        <f t="shared" si="108"/>
        <v>0</v>
      </c>
      <c r="AA66" s="92">
        <f t="shared" si="109"/>
        <v>0</v>
      </c>
      <c r="AB66" s="92">
        <f t="shared" si="93"/>
        <v>0</v>
      </c>
      <c r="AC66" s="92">
        <f t="shared" si="93"/>
        <v>0</v>
      </c>
      <c r="AD66" s="92">
        <f t="shared" si="93"/>
        <v>0</v>
      </c>
      <c r="AE66" s="92">
        <f t="shared" si="110"/>
        <v>0</v>
      </c>
      <c r="AF66" s="92">
        <f t="shared" si="110"/>
        <v>0</v>
      </c>
      <c r="AG66" s="92">
        <f t="shared" si="111"/>
        <v>0</v>
      </c>
      <c r="AH66" s="92">
        <f t="shared" si="111"/>
        <v>0</v>
      </c>
      <c r="AI66" s="92">
        <f t="shared" si="94"/>
        <v>0</v>
      </c>
      <c r="AJ66" s="92">
        <f t="shared" si="94"/>
        <v>0</v>
      </c>
      <c r="AK66" s="92">
        <f t="shared" si="94"/>
        <v>0</v>
      </c>
      <c r="AL66" s="92">
        <f t="shared" si="112"/>
        <v>0</v>
      </c>
      <c r="AM66" s="92">
        <f t="shared" si="113"/>
        <v>0</v>
      </c>
      <c r="AN66" s="92">
        <f t="shared" si="114"/>
        <v>0</v>
      </c>
      <c r="AO66" s="92">
        <f t="shared" si="115"/>
        <v>0</v>
      </c>
      <c r="AP66" s="92">
        <f t="shared" si="116"/>
        <v>0</v>
      </c>
      <c r="AQ66" s="92">
        <f t="shared" si="116"/>
        <v>0</v>
      </c>
      <c r="AR66" s="92">
        <f t="shared" si="117"/>
        <v>0</v>
      </c>
      <c r="AS66" s="92">
        <f t="shared" si="96"/>
        <v>0</v>
      </c>
      <c r="AT66" s="92">
        <f t="shared" si="96"/>
        <v>0</v>
      </c>
      <c r="AU66" s="92">
        <f t="shared" si="84"/>
        <v>0</v>
      </c>
      <c r="AV66" s="92">
        <f t="shared" si="118"/>
        <v>0</v>
      </c>
      <c r="AW66" s="92">
        <f t="shared" si="119"/>
        <v>0</v>
      </c>
      <c r="AX66" s="92">
        <f t="shared" si="119"/>
        <v>0</v>
      </c>
      <c r="AY66" s="92">
        <f t="shared" si="120"/>
        <v>0</v>
      </c>
      <c r="AZ66" s="92"/>
      <c r="BA66" s="92"/>
      <c r="BB66" s="90">
        <f t="shared" si="101"/>
        <v>0</v>
      </c>
      <c r="BC66" s="55">
        <f t="shared" si="88"/>
        <v>0</v>
      </c>
      <c r="BD66" s="92">
        <f>MAX(V66:AZ66)</f>
        <v>0</v>
      </c>
      <c r="BE66" s="92"/>
      <c r="BF66" s="97"/>
      <c r="BP66" s="23" t="s">
        <v>254</v>
      </c>
      <c r="EV66" s="65"/>
      <c r="EX66" s="1"/>
      <c r="EZ66" s="1"/>
      <c r="FB66" s="65"/>
      <c r="FD66" s="1"/>
      <c r="FH66" s="1"/>
      <c r="FV66" s="1"/>
      <c r="FX66" s="1"/>
      <c r="GB66" s="1"/>
      <c r="GD66" s="1"/>
      <c r="GF66" s="1"/>
      <c r="GH66" s="1"/>
      <c r="GJ66" s="1"/>
      <c r="GL66" s="1"/>
      <c r="GN66" s="1"/>
      <c r="GP66" s="1"/>
      <c r="GR66" s="1"/>
      <c r="GT66" s="1"/>
      <c r="GV66" s="1"/>
      <c r="GX66" s="1"/>
      <c r="GZ66" s="1"/>
      <c r="HB66" s="1"/>
      <c r="HD66" s="1"/>
      <c r="HE66" s="97">
        <f t="shared" si="82"/>
        <v>0</v>
      </c>
      <c r="HF66" s="97"/>
    </row>
    <row r="67" spans="1:214" s="23" customFormat="1" x14ac:dyDescent="0.25">
      <c r="A67" s="23" t="s">
        <v>158</v>
      </c>
      <c r="B67" s="95">
        <v>78</v>
      </c>
      <c r="D67" s="25">
        <v>30</v>
      </c>
      <c r="E67" s="23">
        <v>10</v>
      </c>
      <c r="F67" s="23" t="s">
        <v>97</v>
      </c>
      <c r="G67" s="23" t="s">
        <v>108</v>
      </c>
      <c r="H67" s="88">
        <v>36336</v>
      </c>
      <c r="I67" s="23" t="s">
        <v>93</v>
      </c>
      <c r="J67" s="23" t="s">
        <v>94</v>
      </c>
      <c r="K67" s="95"/>
      <c r="L67" s="23" t="s">
        <v>95</v>
      </c>
      <c r="M67" s="1"/>
      <c r="N67" s="23" t="str">
        <f t="shared" si="85"/>
        <v>78R</v>
      </c>
      <c r="O67" s="23" t="str">
        <f t="shared" si="86"/>
        <v>78RBase</v>
      </c>
      <c r="Q67" s="89">
        <f t="shared" si="89"/>
        <v>0</v>
      </c>
      <c r="R67" s="97">
        <f t="shared" si="87"/>
        <v>0</v>
      </c>
      <c r="S67" s="97"/>
      <c r="T67" s="92">
        <v>37147</v>
      </c>
      <c r="U67" s="92"/>
      <c r="V67" s="91">
        <v>0</v>
      </c>
      <c r="W67" s="92">
        <f t="shared" si="90"/>
        <v>0</v>
      </c>
      <c r="X67" s="92">
        <f t="shared" si="106"/>
        <v>0</v>
      </c>
      <c r="Y67" s="92">
        <f t="shared" si="107"/>
        <v>0</v>
      </c>
      <c r="Z67" s="92">
        <f t="shared" si="108"/>
        <v>0</v>
      </c>
      <c r="AA67" s="92">
        <f t="shared" si="109"/>
        <v>0</v>
      </c>
      <c r="AB67" s="92">
        <f t="shared" si="93"/>
        <v>0</v>
      </c>
      <c r="AC67" s="92">
        <f t="shared" si="93"/>
        <v>0</v>
      </c>
      <c r="AD67" s="92">
        <f t="shared" si="93"/>
        <v>0</v>
      </c>
      <c r="AE67" s="92">
        <f t="shared" si="110"/>
        <v>0</v>
      </c>
      <c r="AF67" s="92">
        <f t="shared" si="110"/>
        <v>0</v>
      </c>
      <c r="AG67" s="92">
        <f t="shared" si="111"/>
        <v>0</v>
      </c>
      <c r="AH67" s="92">
        <f t="shared" si="111"/>
        <v>0</v>
      </c>
      <c r="AI67" s="92">
        <f t="shared" si="94"/>
        <v>0</v>
      </c>
      <c r="AJ67" s="92">
        <f t="shared" si="94"/>
        <v>0</v>
      </c>
      <c r="AK67" s="92">
        <f t="shared" si="94"/>
        <v>0</v>
      </c>
      <c r="AL67" s="92">
        <f t="shared" si="112"/>
        <v>0</v>
      </c>
      <c r="AM67" s="92">
        <f t="shared" si="113"/>
        <v>0</v>
      </c>
      <c r="AN67" s="92">
        <f t="shared" si="114"/>
        <v>0</v>
      </c>
      <c r="AO67" s="92">
        <f t="shared" si="115"/>
        <v>0</v>
      </c>
      <c r="AP67" s="92">
        <f t="shared" si="116"/>
        <v>0</v>
      </c>
      <c r="AQ67" s="92">
        <f t="shared" si="116"/>
        <v>0</v>
      </c>
      <c r="AR67" s="92">
        <f t="shared" si="117"/>
        <v>0</v>
      </c>
      <c r="AS67" s="92">
        <f t="shared" si="96"/>
        <v>0</v>
      </c>
      <c r="AT67" s="92">
        <f t="shared" si="96"/>
        <v>0</v>
      </c>
      <c r="AU67" s="92">
        <f t="shared" si="84"/>
        <v>0</v>
      </c>
      <c r="AV67" s="92">
        <f t="shared" si="118"/>
        <v>0</v>
      </c>
      <c r="AW67" s="92">
        <f t="shared" si="119"/>
        <v>0</v>
      </c>
      <c r="AX67" s="92">
        <f t="shared" si="119"/>
        <v>0</v>
      </c>
      <c r="AY67" s="92">
        <f t="shared" si="120"/>
        <v>0</v>
      </c>
      <c r="AZ67" s="92"/>
      <c r="BA67" s="92"/>
      <c r="BB67" s="90">
        <f t="shared" si="101"/>
        <v>0</v>
      </c>
      <c r="BC67" s="55">
        <f t="shared" si="88"/>
        <v>0</v>
      </c>
      <c r="BD67" s="92">
        <f>MAX(V67:AZ67)</f>
        <v>0</v>
      </c>
      <c r="BE67" s="92"/>
      <c r="BF67" s="97"/>
      <c r="CD67" s="108"/>
      <c r="CF67" s="108"/>
      <c r="CH67" s="108"/>
      <c r="CJ67" s="108"/>
      <c r="CL67" s="108"/>
      <c r="CN67" s="108"/>
      <c r="CP67" s="108"/>
      <c r="CR67" s="108"/>
      <c r="CT67" s="108"/>
      <c r="CV67" s="108"/>
      <c r="CX67" s="108"/>
      <c r="CZ67" s="108"/>
      <c r="DB67" s="108"/>
      <c r="DD67" s="108"/>
      <c r="DF67" s="108"/>
      <c r="DH67" s="108"/>
      <c r="DJ67" s="108"/>
      <c r="DL67" s="108"/>
      <c r="DN67" s="108"/>
      <c r="DP67" s="108"/>
      <c r="DR67" s="108"/>
      <c r="DT67" s="108"/>
      <c r="EJ67" s="108"/>
      <c r="EL67" s="108"/>
      <c r="ET67" s="108"/>
      <c r="EV67" s="65"/>
      <c r="EX67" s="1"/>
      <c r="EZ67" s="1"/>
      <c r="FB67" s="65"/>
      <c r="FD67" s="1"/>
      <c r="FF67" s="108"/>
      <c r="FH67" s="1"/>
      <c r="FT67" s="108"/>
      <c r="FV67" s="1"/>
      <c r="FX67" s="1"/>
      <c r="FZ67" s="108"/>
      <c r="GB67" s="1"/>
      <c r="GD67" s="50"/>
      <c r="GF67" s="50"/>
      <c r="GH67" s="1"/>
      <c r="GJ67" s="1"/>
      <c r="GL67" s="1"/>
      <c r="GN67" s="1"/>
      <c r="GP67" s="1"/>
      <c r="GR67" s="1"/>
      <c r="GT67" s="1"/>
      <c r="GV67" s="1"/>
      <c r="GX67" s="1"/>
      <c r="GZ67" s="1"/>
      <c r="HB67" s="1"/>
      <c r="HD67" s="1"/>
      <c r="HE67" s="97">
        <f t="shared" si="82"/>
        <v>0</v>
      </c>
      <c r="HF67" s="97"/>
    </row>
    <row r="68" spans="1:214" s="25" customFormat="1" x14ac:dyDescent="0.25">
      <c r="A68" s="25" t="s">
        <v>158</v>
      </c>
      <c r="B68" s="24">
        <v>78</v>
      </c>
      <c r="D68" s="25">
        <v>30</v>
      </c>
      <c r="E68" s="25">
        <v>10</v>
      </c>
      <c r="F68" s="25" t="s">
        <v>154</v>
      </c>
      <c r="G68" s="25" t="s">
        <v>108</v>
      </c>
      <c r="H68" s="100"/>
      <c r="I68" s="25" t="s">
        <v>93</v>
      </c>
      <c r="J68" s="25" t="s">
        <v>94</v>
      </c>
      <c r="K68" s="24"/>
      <c r="L68" s="25" t="s">
        <v>95</v>
      </c>
      <c r="M68" s="33"/>
      <c r="N68" s="25" t="str">
        <f t="shared" si="85"/>
        <v>78R</v>
      </c>
      <c r="O68" s="25" t="str">
        <f t="shared" si="86"/>
        <v>78RBase</v>
      </c>
      <c r="Q68" s="105">
        <f t="shared" si="89"/>
        <v>0</v>
      </c>
      <c r="R68" s="101">
        <f t="shared" si="87"/>
        <v>0</v>
      </c>
      <c r="S68" s="101"/>
      <c r="T68" s="102">
        <v>37147</v>
      </c>
      <c r="U68" s="102"/>
      <c r="V68" s="103">
        <v>0</v>
      </c>
      <c r="W68" s="102">
        <f t="shared" si="90"/>
        <v>0</v>
      </c>
      <c r="X68" s="102">
        <f t="shared" si="106"/>
        <v>0</v>
      </c>
      <c r="Y68" s="102">
        <f t="shared" si="107"/>
        <v>0</v>
      </c>
      <c r="Z68" s="102">
        <f t="shared" si="108"/>
        <v>0</v>
      </c>
      <c r="AA68" s="102">
        <f t="shared" si="109"/>
        <v>0</v>
      </c>
      <c r="AB68" s="102">
        <f t="shared" si="93"/>
        <v>0</v>
      </c>
      <c r="AC68" s="102">
        <f t="shared" si="93"/>
        <v>0</v>
      </c>
      <c r="AD68" s="102">
        <f t="shared" si="93"/>
        <v>0</v>
      </c>
      <c r="AE68" s="102">
        <f t="shared" si="110"/>
        <v>0</v>
      </c>
      <c r="AF68" s="102">
        <f t="shared" si="110"/>
        <v>0</v>
      </c>
      <c r="AG68" s="102">
        <f t="shared" si="111"/>
        <v>0</v>
      </c>
      <c r="AH68" s="102">
        <f t="shared" si="111"/>
        <v>0</v>
      </c>
      <c r="AI68" s="102">
        <f t="shared" si="94"/>
        <v>0</v>
      </c>
      <c r="AJ68" s="102">
        <f t="shared" si="94"/>
        <v>0</v>
      </c>
      <c r="AK68" s="102">
        <f t="shared" si="94"/>
        <v>0</v>
      </c>
      <c r="AL68" s="102">
        <f t="shared" si="112"/>
        <v>0</v>
      </c>
      <c r="AM68" s="102">
        <f t="shared" si="113"/>
        <v>0</v>
      </c>
      <c r="AN68" s="102">
        <f t="shared" si="114"/>
        <v>0</v>
      </c>
      <c r="AO68" s="102">
        <f t="shared" si="115"/>
        <v>0</v>
      </c>
      <c r="AP68" s="102">
        <f t="shared" si="116"/>
        <v>0</v>
      </c>
      <c r="AQ68" s="102">
        <f t="shared" si="116"/>
        <v>0</v>
      </c>
      <c r="AR68" s="102">
        <f t="shared" si="117"/>
        <v>0</v>
      </c>
      <c r="AS68" s="102">
        <f t="shared" si="96"/>
        <v>0</v>
      </c>
      <c r="AT68" s="102">
        <f t="shared" si="96"/>
        <v>0</v>
      </c>
      <c r="AU68" s="102">
        <f t="shared" si="84"/>
        <v>0</v>
      </c>
      <c r="AV68" s="102">
        <f t="shared" si="118"/>
        <v>0</v>
      </c>
      <c r="AW68" s="102">
        <f t="shared" si="119"/>
        <v>0</v>
      </c>
      <c r="AX68" s="102">
        <f t="shared" si="119"/>
        <v>0</v>
      </c>
      <c r="AY68" s="102">
        <f t="shared" si="120"/>
        <v>0</v>
      </c>
      <c r="AZ68" s="102"/>
      <c r="BA68" s="102"/>
      <c r="BB68" s="109">
        <f t="shared" si="101"/>
        <v>0</v>
      </c>
      <c r="BC68" s="55">
        <f t="shared" si="88"/>
        <v>0</v>
      </c>
      <c r="BD68" s="92">
        <f>MAX(V68:AZ68)</f>
        <v>0</v>
      </c>
      <c r="BE68" s="102"/>
      <c r="BF68" s="101"/>
      <c r="BN68" s="25" t="s">
        <v>159</v>
      </c>
      <c r="CD68" s="1"/>
      <c r="CF68" s="1"/>
      <c r="CH68" s="1"/>
      <c r="CJ68" s="1"/>
      <c r="CL68" s="1"/>
      <c r="CN68" s="1"/>
      <c r="CP68" s="1"/>
      <c r="CR68" s="1"/>
      <c r="CT68" s="1"/>
      <c r="CV68" s="1"/>
      <c r="CX68" s="1"/>
      <c r="CZ68" s="1"/>
      <c r="DB68" s="1"/>
      <c r="DD68" s="1"/>
      <c r="DF68" s="1"/>
      <c r="DH68" s="1"/>
      <c r="DJ68" s="1"/>
      <c r="DL68" s="1"/>
      <c r="DN68" s="1"/>
      <c r="DP68" s="1"/>
      <c r="DR68" s="1"/>
      <c r="DT68" s="1"/>
      <c r="DX68" s="25" t="s">
        <v>255</v>
      </c>
      <c r="EJ68" s="1"/>
      <c r="EL68" s="1"/>
      <c r="ET68" s="1"/>
      <c r="EV68" s="65"/>
      <c r="EX68" s="1"/>
      <c r="EZ68" s="1"/>
      <c r="FB68" s="65"/>
      <c r="FD68" s="1"/>
      <c r="FF68" s="1"/>
      <c r="FH68" s="1"/>
      <c r="FT68" s="1"/>
      <c r="FV68" s="1"/>
      <c r="FX68" s="1"/>
      <c r="FZ68" s="1"/>
      <c r="GB68" s="50"/>
      <c r="GD68" s="50"/>
      <c r="GF68" s="50"/>
      <c r="GH68" s="1"/>
      <c r="GJ68" s="1"/>
      <c r="GL68" s="1"/>
      <c r="GN68" s="1"/>
      <c r="GP68" s="1"/>
      <c r="GR68" s="1"/>
      <c r="GT68" s="1"/>
      <c r="GV68" s="1"/>
      <c r="GX68" s="1"/>
      <c r="GZ68" s="1"/>
      <c r="HB68" s="1"/>
      <c r="HD68" s="1"/>
      <c r="HE68" s="105">
        <f>SUM(BG68:GU68)-V68</f>
        <v>0</v>
      </c>
      <c r="HF68" s="101"/>
    </row>
    <row r="69" spans="1:214" s="23" customFormat="1" x14ac:dyDescent="0.25">
      <c r="A69" s="23" t="s">
        <v>158</v>
      </c>
      <c r="B69" s="95">
        <v>78</v>
      </c>
      <c r="D69" s="25">
        <v>30</v>
      </c>
      <c r="E69" s="23">
        <v>10</v>
      </c>
      <c r="F69" s="23" t="s">
        <v>160</v>
      </c>
      <c r="H69" s="88">
        <v>36336</v>
      </c>
      <c r="I69" s="23" t="s">
        <v>93</v>
      </c>
      <c r="J69" s="23" t="s">
        <v>94</v>
      </c>
      <c r="K69" s="95"/>
      <c r="L69" s="23" t="s">
        <v>95</v>
      </c>
      <c r="M69" s="50"/>
      <c r="N69" s="23" t="str">
        <f t="shared" si="85"/>
        <v>78R</v>
      </c>
      <c r="O69" s="23" t="str">
        <f t="shared" si="86"/>
        <v>78RBase</v>
      </c>
      <c r="Q69" s="89">
        <f t="shared" si="89"/>
        <v>0</v>
      </c>
      <c r="R69" s="97">
        <f t="shared" si="87"/>
        <v>0</v>
      </c>
      <c r="S69" s="97"/>
      <c r="T69" s="92">
        <v>37147</v>
      </c>
      <c r="U69" s="92"/>
      <c r="V69" s="91">
        <v>0</v>
      </c>
      <c r="W69" s="92">
        <f t="shared" si="90"/>
        <v>0</v>
      </c>
      <c r="X69" s="92">
        <f t="shared" si="106"/>
        <v>0</v>
      </c>
      <c r="Y69" s="92">
        <f t="shared" si="107"/>
        <v>0</v>
      </c>
      <c r="Z69" s="92">
        <f t="shared" si="108"/>
        <v>0</v>
      </c>
      <c r="AA69" s="92">
        <f t="shared" si="109"/>
        <v>0</v>
      </c>
      <c r="AB69" s="92">
        <f t="shared" si="93"/>
        <v>0</v>
      </c>
      <c r="AC69" s="92">
        <f t="shared" si="93"/>
        <v>0</v>
      </c>
      <c r="AD69" s="92">
        <f t="shared" si="93"/>
        <v>0</v>
      </c>
      <c r="AE69" s="92">
        <f t="shared" si="110"/>
        <v>0</v>
      </c>
      <c r="AF69" s="92">
        <f t="shared" si="110"/>
        <v>0</v>
      </c>
      <c r="AG69" s="92">
        <f t="shared" si="111"/>
        <v>0</v>
      </c>
      <c r="AH69" s="92">
        <f t="shared" si="111"/>
        <v>0</v>
      </c>
      <c r="AI69" s="92">
        <f t="shared" si="94"/>
        <v>0</v>
      </c>
      <c r="AJ69" s="92">
        <f t="shared" si="94"/>
        <v>0</v>
      </c>
      <c r="AK69" s="92">
        <f t="shared" si="94"/>
        <v>0</v>
      </c>
      <c r="AL69" s="92">
        <f t="shared" si="112"/>
        <v>0</v>
      </c>
      <c r="AM69" s="92">
        <f t="shared" si="113"/>
        <v>0</v>
      </c>
      <c r="AN69" s="92">
        <f t="shared" si="114"/>
        <v>0</v>
      </c>
      <c r="AO69" s="92">
        <f t="shared" si="115"/>
        <v>0</v>
      </c>
      <c r="AP69" s="92">
        <f t="shared" si="116"/>
        <v>0</v>
      </c>
      <c r="AQ69" s="92">
        <f t="shared" si="116"/>
        <v>0</v>
      </c>
      <c r="AR69" s="92">
        <f t="shared" si="117"/>
        <v>0</v>
      </c>
      <c r="AS69" s="92">
        <f t="shared" si="96"/>
        <v>0</v>
      </c>
      <c r="AT69" s="92">
        <f t="shared" si="96"/>
        <v>0</v>
      </c>
      <c r="AU69" s="92">
        <f t="shared" si="84"/>
        <v>0</v>
      </c>
      <c r="AV69" s="92">
        <f t="shared" si="118"/>
        <v>0</v>
      </c>
      <c r="AW69" s="92">
        <f t="shared" si="119"/>
        <v>0</v>
      </c>
      <c r="AX69" s="92">
        <f t="shared" si="119"/>
        <v>0</v>
      </c>
      <c r="AY69" s="92">
        <f t="shared" si="120"/>
        <v>0</v>
      </c>
      <c r="AZ69" s="92"/>
      <c r="BA69" s="92"/>
      <c r="BB69" s="90">
        <f>SUM(V69:AZ69)</f>
        <v>0</v>
      </c>
      <c r="BC69" s="55">
        <f t="shared" si="88"/>
        <v>0</v>
      </c>
      <c r="BD69" s="92">
        <f>MAX(V69:AZ69)</f>
        <v>0</v>
      </c>
      <c r="BE69" s="92"/>
      <c r="BF69" s="97"/>
      <c r="BP69" s="108"/>
      <c r="CD69" s="1"/>
      <c r="CF69" s="1"/>
      <c r="CH69" s="1"/>
      <c r="CJ69" s="1"/>
      <c r="CL69" s="1"/>
      <c r="CN69" s="1"/>
      <c r="CP69" s="1"/>
      <c r="CR69" s="1"/>
      <c r="CT69" s="1"/>
      <c r="CV69" s="1"/>
      <c r="CX69" s="1"/>
      <c r="CZ69" s="1"/>
      <c r="DB69" s="1"/>
      <c r="DD69" s="1"/>
      <c r="DF69" s="1"/>
      <c r="DH69" s="1"/>
      <c r="DJ69" s="1"/>
      <c r="DL69" s="1"/>
      <c r="DN69" s="1"/>
      <c r="DP69" s="1"/>
      <c r="DR69" s="1"/>
      <c r="DT69" s="1"/>
      <c r="EJ69" s="1"/>
      <c r="EL69" s="1"/>
      <c r="ET69" s="1"/>
      <c r="EV69" s="65"/>
      <c r="EX69" s="1"/>
      <c r="EZ69" s="1"/>
      <c r="FB69" s="65"/>
      <c r="FD69" s="1"/>
      <c r="FF69" s="1"/>
      <c r="FH69" s="1"/>
      <c r="FT69" s="1"/>
      <c r="FV69" s="1"/>
      <c r="FX69" s="1"/>
      <c r="FZ69" s="1"/>
      <c r="GB69" s="33"/>
      <c r="GD69" s="1" t="s">
        <v>110</v>
      </c>
      <c r="GF69" s="33"/>
      <c r="GH69" s="1"/>
      <c r="GJ69" s="1"/>
      <c r="GL69" s="1"/>
      <c r="GN69" s="1"/>
      <c r="GP69" s="1"/>
      <c r="GR69" s="1"/>
      <c r="GT69" s="1"/>
      <c r="GV69" s="1"/>
      <c r="GX69" s="1"/>
      <c r="GZ69" s="1"/>
      <c r="HB69" s="1" t="s">
        <v>118</v>
      </c>
      <c r="HD69" s="1"/>
      <c r="HE69" s="89">
        <f>SUM(BG69:GU69)-V69</f>
        <v>0</v>
      </c>
      <c r="HF69" s="97"/>
    </row>
    <row r="70" spans="1:214" s="23" customFormat="1" x14ac:dyDescent="0.25">
      <c r="B70" s="95"/>
      <c r="D70" s="25"/>
      <c r="H70" s="88"/>
      <c r="K70" s="95"/>
      <c r="M70" s="50"/>
      <c r="Q70" s="97"/>
      <c r="R70" s="97"/>
      <c r="S70" s="97"/>
      <c r="T70" s="92"/>
      <c r="U70" s="92"/>
      <c r="V70" s="91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92"/>
      <c r="AJ70" s="92"/>
      <c r="AK70" s="92"/>
      <c r="AL70" s="92"/>
      <c r="AM70" s="92"/>
      <c r="AN70" s="92"/>
      <c r="AO70" s="92"/>
      <c r="AP70" s="92"/>
      <c r="AQ70" s="92"/>
      <c r="AR70" s="92"/>
      <c r="AS70" s="92"/>
      <c r="AT70" s="92"/>
      <c r="AU70" s="92"/>
      <c r="AV70" s="92"/>
      <c r="AW70" s="92"/>
      <c r="AX70" s="92"/>
      <c r="AY70" s="92"/>
      <c r="AZ70" s="92"/>
      <c r="BA70" s="92"/>
      <c r="BB70" s="92"/>
      <c r="BC70" s="92"/>
      <c r="BD70" s="92"/>
      <c r="BE70" s="92"/>
      <c r="BF70" s="97"/>
      <c r="BP70" s="108"/>
      <c r="CD70" s="14"/>
      <c r="CF70" s="14"/>
      <c r="CH70" s="14"/>
      <c r="CJ70" s="14"/>
      <c r="CL70" s="14"/>
      <c r="CN70" s="14"/>
      <c r="CP70" s="14"/>
      <c r="CR70" s="14"/>
      <c r="CT70" s="14"/>
      <c r="CV70" s="14"/>
      <c r="CX70" s="14"/>
      <c r="CZ70" s="14"/>
      <c r="DB70" s="14"/>
      <c r="DD70" s="14"/>
      <c r="DF70" s="14"/>
      <c r="DH70" s="14"/>
      <c r="DJ70" s="14"/>
      <c r="DL70" s="14"/>
      <c r="DN70" s="14"/>
      <c r="DP70" s="14"/>
      <c r="DR70" s="14"/>
      <c r="DT70" s="14"/>
      <c r="EJ70" s="14"/>
      <c r="EL70" s="14"/>
      <c r="ET70" s="14"/>
      <c r="EV70" s="65"/>
      <c r="EX70" s="1"/>
      <c r="EZ70" s="1"/>
      <c r="FB70" s="65"/>
      <c r="FD70" s="1"/>
      <c r="FF70" s="14"/>
      <c r="FH70" s="1"/>
      <c r="FT70" s="14"/>
      <c r="FV70" s="1"/>
      <c r="FX70" s="1"/>
      <c r="FZ70" s="14"/>
      <c r="GB70" s="50"/>
      <c r="GD70" s="50"/>
      <c r="GF70" s="50"/>
      <c r="GH70" s="1"/>
      <c r="GJ70" s="1"/>
      <c r="GL70" s="1"/>
      <c r="GN70" s="1"/>
      <c r="GP70" s="1"/>
      <c r="GR70" s="1"/>
      <c r="GT70" s="1"/>
      <c r="GV70" s="1"/>
      <c r="GX70" s="1"/>
      <c r="GZ70" s="1"/>
      <c r="HB70" s="1"/>
      <c r="HD70" s="1"/>
      <c r="HE70" s="89"/>
      <c r="HF70" s="97"/>
    </row>
    <row r="71" spans="1:214" s="108" customFormat="1" x14ac:dyDescent="0.25">
      <c r="A71" s="108" t="s">
        <v>161</v>
      </c>
      <c r="B71" s="110" t="s">
        <v>161</v>
      </c>
      <c r="D71" s="82"/>
      <c r="E71" s="108" t="s">
        <v>162</v>
      </c>
      <c r="F71" s="108" t="s">
        <v>163</v>
      </c>
      <c r="G71" s="108" t="s">
        <v>274</v>
      </c>
      <c r="H71" s="111">
        <v>36336</v>
      </c>
      <c r="I71" s="108" t="s">
        <v>93</v>
      </c>
      <c r="J71" s="108" t="s">
        <v>102</v>
      </c>
      <c r="K71" s="110"/>
      <c r="L71" s="108" t="s">
        <v>95</v>
      </c>
      <c r="M71" s="50"/>
      <c r="N71" s="108" t="str">
        <f t="shared" si="85"/>
        <v>STOIW</v>
      </c>
      <c r="O71" s="108" t="str">
        <f t="shared" si="86"/>
        <v>STOIWBase</v>
      </c>
      <c r="Q71" s="112">
        <f t="shared" si="89"/>
        <v>0</v>
      </c>
      <c r="R71" s="112">
        <f t="shared" si="87"/>
        <v>0</v>
      </c>
      <c r="S71" s="112"/>
      <c r="T71" s="113" t="s">
        <v>164</v>
      </c>
      <c r="U71" s="113"/>
      <c r="V71" s="114">
        <v>0</v>
      </c>
      <c r="W71" s="113">
        <f>V71</f>
        <v>0</v>
      </c>
      <c r="X71" s="113">
        <f t="shared" ref="X71:AY71" si="121">W71</f>
        <v>0</v>
      </c>
      <c r="Y71" s="113">
        <f t="shared" si="121"/>
        <v>0</v>
      </c>
      <c r="Z71" s="113">
        <f t="shared" si="121"/>
        <v>0</v>
      </c>
      <c r="AA71" s="113">
        <f t="shared" si="121"/>
        <v>0</v>
      </c>
      <c r="AB71" s="113">
        <f t="shared" si="121"/>
        <v>0</v>
      </c>
      <c r="AC71" s="113">
        <f t="shared" si="121"/>
        <v>0</v>
      </c>
      <c r="AD71" s="113">
        <f t="shared" si="121"/>
        <v>0</v>
      </c>
      <c r="AE71" s="113">
        <f t="shared" si="121"/>
        <v>0</v>
      </c>
      <c r="AF71" s="113">
        <f t="shared" si="121"/>
        <v>0</v>
      </c>
      <c r="AG71" s="113">
        <f t="shared" si="121"/>
        <v>0</v>
      </c>
      <c r="AH71" s="113">
        <f t="shared" si="121"/>
        <v>0</v>
      </c>
      <c r="AI71" s="113">
        <f t="shared" si="121"/>
        <v>0</v>
      </c>
      <c r="AJ71" s="113">
        <f t="shared" si="121"/>
        <v>0</v>
      </c>
      <c r="AK71" s="113">
        <f t="shared" si="121"/>
        <v>0</v>
      </c>
      <c r="AL71" s="113">
        <f t="shared" si="121"/>
        <v>0</v>
      </c>
      <c r="AM71" s="113">
        <f t="shared" si="121"/>
        <v>0</v>
      </c>
      <c r="AN71" s="113">
        <f t="shared" si="121"/>
        <v>0</v>
      </c>
      <c r="AO71" s="113">
        <f t="shared" si="121"/>
        <v>0</v>
      </c>
      <c r="AP71" s="113">
        <f t="shared" si="121"/>
        <v>0</v>
      </c>
      <c r="AQ71" s="113">
        <f t="shared" si="121"/>
        <v>0</v>
      </c>
      <c r="AR71" s="113">
        <f t="shared" si="121"/>
        <v>0</v>
      </c>
      <c r="AS71" s="113">
        <f t="shared" si="121"/>
        <v>0</v>
      </c>
      <c r="AT71" s="113">
        <f t="shared" si="121"/>
        <v>0</v>
      </c>
      <c r="AU71" s="113">
        <f t="shared" si="121"/>
        <v>0</v>
      </c>
      <c r="AV71" s="113">
        <f t="shared" si="121"/>
        <v>0</v>
      </c>
      <c r="AW71" s="113">
        <f t="shared" si="121"/>
        <v>0</v>
      </c>
      <c r="AX71" s="113">
        <f t="shared" si="121"/>
        <v>0</v>
      </c>
      <c r="AY71" s="113">
        <f t="shared" si="121"/>
        <v>0</v>
      </c>
      <c r="AZ71" s="113"/>
      <c r="BA71" s="113"/>
      <c r="BB71" s="113">
        <f>SUM(V71:AZ71)</f>
        <v>0</v>
      </c>
      <c r="BC71" s="113">
        <f>+BB71/30</f>
        <v>0</v>
      </c>
      <c r="BD71" s="113">
        <f>MAX(V71:AX71)</f>
        <v>0</v>
      </c>
      <c r="BE71" s="113"/>
      <c r="BF71" s="112"/>
      <c r="BP71" s="1"/>
      <c r="CD71" s="1"/>
      <c r="CF71" s="1"/>
      <c r="CH71" s="1"/>
      <c r="CJ71" s="1"/>
      <c r="CL71" s="1"/>
      <c r="CN71" s="1"/>
      <c r="CP71" s="1"/>
      <c r="CR71" s="1"/>
      <c r="CT71" s="1"/>
      <c r="CV71" s="1"/>
      <c r="CX71" s="1"/>
      <c r="CZ71" s="1"/>
      <c r="DB71" s="1"/>
      <c r="DD71" s="1"/>
      <c r="DF71" s="1"/>
      <c r="DH71" s="1"/>
      <c r="DJ71" s="1"/>
      <c r="DL71" s="1"/>
      <c r="DN71" s="1"/>
      <c r="DP71" s="1"/>
      <c r="DR71" s="1"/>
      <c r="DT71" s="1"/>
      <c r="EJ71" s="1"/>
      <c r="EL71" s="1"/>
      <c r="ET71" s="1"/>
      <c r="EV71" s="65"/>
      <c r="EX71" s="1"/>
      <c r="EZ71" s="1"/>
      <c r="FB71" s="65"/>
      <c r="FD71" s="1"/>
      <c r="FF71" s="1"/>
      <c r="FH71" s="1"/>
      <c r="FT71" s="1"/>
      <c r="FV71" s="1"/>
      <c r="FX71" s="1"/>
      <c r="FZ71" s="1"/>
      <c r="GB71" s="50"/>
      <c r="GD71" s="50"/>
      <c r="GF71" s="50"/>
      <c r="GH71" s="1"/>
      <c r="GJ71" s="1"/>
      <c r="GL71" s="1"/>
      <c r="GN71" s="1"/>
      <c r="GP71" s="1"/>
      <c r="GR71" s="1"/>
      <c r="GT71" s="1"/>
      <c r="GV71" s="1"/>
      <c r="GX71" s="1"/>
      <c r="GZ71" s="1"/>
      <c r="HB71" s="1"/>
      <c r="HD71" s="1"/>
      <c r="HE71" s="116">
        <f>SUM(BG71:HD71)-V71</f>
        <v>0</v>
      </c>
      <c r="HF71" s="112"/>
    </row>
    <row r="72" spans="1:214" x14ac:dyDescent="0.25">
      <c r="A72" s="1" t="s">
        <v>161</v>
      </c>
      <c r="B72" s="58" t="s">
        <v>161</v>
      </c>
      <c r="E72" s="1" t="s">
        <v>162</v>
      </c>
      <c r="F72" s="1" t="s">
        <v>163</v>
      </c>
      <c r="G72" s="1" t="s">
        <v>138</v>
      </c>
      <c r="H72" s="60">
        <v>36336</v>
      </c>
      <c r="I72" s="1" t="s">
        <v>93</v>
      </c>
      <c r="J72" s="1" t="s">
        <v>102</v>
      </c>
      <c r="L72" s="1" t="s">
        <v>95</v>
      </c>
      <c r="N72" s="1" t="str">
        <f t="shared" si="85"/>
        <v>STOIW</v>
      </c>
      <c r="O72" s="1" t="str">
        <f t="shared" si="86"/>
        <v>STOIWBase</v>
      </c>
      <c r="Q72" s="22">
        <f t="shared" si="89"/>
        <v>-35598</v>
      </c>
      <c r="R72" s="22">
        <f t="shared" si="87"/>
        <v>-35598</v>
      </c>
      <c r="T72" s="63">
        <v>37147</v>
      </c>
      <c r="V72" s="64">
        <v>-35598</v>
      </c>
      <c r="W72" s="63">
        <f t="shared" ref="W72:AX72" si="122">V72</f>
        <v>-35598</v>
      </c>
      <c r="X72" s="63">
        <f t="shared" si="122"/>
        <v>-35598</v>
      </c>
      <c r="Y72" s="63">
        <f t="shared" si="122"/>
        <v>-35598</v>
      </c>
      <c r="Z72" s="63">
        <f t="shared" si="122"/>
        <v>-35598</v>
      </c>
      <c r="AA72" s="63">
        <f t="shared" si="122"/>
        <v>-35598</v>
      </c>
      <c r="AB72" s="63">
        <f t="shared" si="122"/>
        <v>-35598</v>
      </c>
      <c r="AC72" s="63">
        <f t="shared" si="122"/>
        <v>-35598</v>
      </c>
      <c r="AD72" s="63">
        <f t="shared" si="122"/>
        <v>-35598</v>
      </c>
      <c r="AE72" s="63">
        <f t="shared" si="122"/>
        <v>-35598</v>
      </c>
      <c r="AF72" s="63">
        <f t="shared" si="122"/>
        <v>-35598</v>
      </c>
      <c r="AG72" s="63">
        <f t="shared" si="122"/>
        <v>-35598</v>
      </c>
      <c r="AH72" s="63">
        <f t="shared" si="122"/>
        <v>-35598</v>
      </c>
      <c r="AI72" s="63">
        <f t="shared" si="122"/>
        <v>-35598</v>
      </c>
      <c r="AJ72" s="63">
        <f t="shared" si="122"/>
        <v>-35598</v>
      </c>
      <c r="AK72" s="63">
        <f t="shared" si="122"/>
        <v>-35598</v>
      </c>
      <c r="AL72" s="63">
        <f t="shared" si="122"/>
        <v>-35598</v>
      </c>
      <c r="AM72" s="63">
        <f t="shared" si="122"/>
        <v>-35598</v>
      </c>
      <c r="AN72" s="63">
        <f t="shared" si="122"/>
        <v>-35598</v>
      </c>
      <c r="AO72" s="63">
        <f t="shared" si="122"/>
        <v>-35598</v>
      </c>
      <c r="AP72" s="63">
        <f t="shared" si="122"/>
        <v>-35598</v>
      </c>
      <c r="AQ72" s="63">
        <f t="shared" si="122"/>
        <v>-35598</v>
      </c>
      <c r="AR72" s="63">
        <f t="shared" si="122"/>
        <v>-35598</v>
      </c>
      <c r="AS72" s="63">
        <f t="shared" si="122"/>
        <v>-35598</v>
      </c>
      <c r="AT72" s="63">
        <f t="shared" si="122"/>
        <v>-35598</v>
      </c>
      <c r="AU72" s="63">
        <f t="shared" si="122"/>
        <v>-35598</v>
      </c>
      <c r="AV72" s="63">
        <f t="shared" si="122"/>
        <v>-35598</v>
      </c>
      <c r="AW72" s="63">
        <f t="shared" si="122"/>
        <v>-35598</v>
      </c>
      <c r="AX72" s="63">
        <f t="shared" si="122"/>
        <v>-35598</v>
      </c>
      <c r="AY72" s="63">
        <f>AX72</f>
        <v>-35598</v>
      </c>
      <c r="BB72" s="63">
        <f>SUM(V72:AZ72)</f>
        <v>-1067940</v>
      </c>
      <c r="BC72" s="113">
        <f>+BB72/30</f>
        <v>-35598</v>
      </c>
      <c r="BD72" s="63">
        <f>MAX(V72:AX72)</f>
        <v>-35598</v>
      </c>
      <c r="BI72" s="1">
        <v>0</v>
      </c>
      <c r="BP72" s="1" t="s">
        <v>142</v>
      </c>
      <c r="CT72" s="1" t="s">
        <v>115</v>
      </c>
      <c r="CX72" s="1" t="s">
        <v>129</v>
      </c>
      <c r="DB72" s="1" t="s">
        <v>120</v>
      </c>
      <c r="EP72" s="1" t="s">
        <v>125</v>
      </c>
      <c r="FN72" s="1" t="s">
        <v>124</v>
      </c>
      <c r="FV72" s="85"/>
      <c r="FX72" s="85"/>
      <c r="GB72" s="23"/>
      <c r="GD72" s="23"/>
      <c r="GF72" s="23"/>
      <c r="GN72" s="85"/>
      <c r="GP72" s="85"/>
      <c r="GR72" s="85"/>
      <c r="GT72" s="85"/>
      <c r="GV72" s="85"/>
      <c r="GX72" s="85"/>
      <c r="GZ72" s="85"/>
      <c r="HB72" s="85"/>
      <c r="HD72" s="85"/>
      <c r="HE72" s="159">
        <f>SUM(BG72:HD72)-V72</f>
        <v>35598</v>
      </c>
      <c r="HF72" s="22">
        <f>SUM(BG72:GU72)</f>
        <v>0</v>
      </c>
    </row>
    <row r="73" spans="1:214" x14ac:dyDescent="0.25"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FV73" s="85"/>
      <c r="FX73" s="85"/>
      <c r="GB73" s="23"/>
      <c r="GD73" s="23"/>
      <c r="GF73" s="23"/>
      <c r="GN73" s="85"/>
      <c r="GP73" s="85"/>
      <c r="GR73" s="85"/>
      <c r="GT73" s="85"/>
      <c r="GV73" s="85"/>
      <c r="GX73" s="85"/>
      <c r="GZ73" s="85"/>
      <c r="HB73" s="85"/>
      <c r="HD73" s="85"/>
    </row>
    <row r="74" spans="1:214" s="14" customFormat="1" x14ac:dyDescent="0.25">
      <c r="B74" s="13"/>
      <c r="F74" s="15" t="s">
        <v>165</v>
      </c>
      <c r="K74" s="13"/>
      <c r="M74" s="13" t="s">
        <v>166</v>
      </c>
      <c r="N74" s="13"/>
      <c r="O74" s="13"/>
      <c r="P74" s="13"/>
      <c r="Q74" s="15">
        <f>SUM(Q8:Q72)</f>
        <v>47281</v>
      </c>
      <c r="R74" s="15">
        <f>SUM(R8:R72)</f>
        <v>47281</v>
      </c>
      <c r="S74" s="15">
        <f>SUM(S8:S72)</f>
        <v>0</v>
      </c>
      <c r="T74" s="16"/>
      <c r="U74" s="16"/>
      <c r="V74" s="29">
        <f t="shared" ref="V74:AX74" si="123">SUM(V8:V72)</f>
        <v>47281</v>
      </c>
      <c r="W74" s="16">
        <f t="shared" si="123"/>
        <v>47281</v>
      </c>
      <c r="X74" s="16">
        <f t="shared" si="123"/>
        <v>47281</v>
      </c>
      <c r="Y74" s="16">
        <f t="shared" si="123"/>
        <v>47281</v>
      </c>
      <c r="Z74" s="16">
        <f t="shared" si="123"/>
        <v>47281</v>
      </c>
      <c r="AA74" s="16">
        <f t="shared" si="123"/>
        <v>47281</v>
      </c>
      <c r="AB74" s="16">
        <f t="shared" si="123"/>
        <v>47281</v>
      </c>
      <c r="AC74" s="16">
        <f t="shared" si="123"/>
        <v>47281</v>
      </c>
      <c r="AD74" s="16">
        <f t="shared" si="123"/>
        <v>47281</v>
      </c>
      <c r="AE74" s="16">
        <f t="shared" si="123"/>
        <v>47281</v>
      </c>
      <c r="AF74" s="16">
        <f t="shared" si="123"/>
        <v>47281</v>
      </c>
      <c r="AG74" s="16">
        <f t="shared" si="123"/>
        <v>47281</v>
      </c>
      <c r="AH74" s="16">
        <f t="shared" si="123"/>
        <v>47281</v>
      </c>
      <c r="AI74" s="16">
        <f t="shared" si="123"/>
        <v>47281</v>
      </c>
      <c r="AJ74" s="16">
        <f t="shared" si="123"/>
        <v>47281</v>
      </c>
      <c r="AK74" s="16">
        <f t="shared" si="123"/>
        <v>47281</v>
      </c>
      <c r="AL74" s="16">
        <f t="shared" si="123"/>
        <v>47281</v>
      </c>
      <c r="AM74" s="16">
        <f t="shared" si="123"/>
        <v>47281</v>
      </c>
      <c r="AN74" s="16">
        <f t="shared" si="123"/>
        <v>47281</v>
      </c>
      <c r="AO74" s="16">
        <f t="shared" si="123"/>
        <v>47281</v>
      </c>
      <c r="AP74" s="16">
        <f t="shared" si="123"/>
        <v>47281</v>
      </c>
      <c r="AQ74" s="16">
        <f t="shared" si="123"/>
        <v>47281</v>
      </c>
      <c r="AR74" s="16">
        <f t="shared" si="123"/>
        <v>47281</v>
      </c>
      <c r="AS74" s="16">
        <f t="shared" si="123"/>
        <v>47281</v>
      </c>
      <c r="AT74" s="16">
        <f t="shared" si="123"/>
        <v>47281</v>
      </c>
      <c r="AU74" s="16">
        <f t="shared" si="123"/>
        <v>47281</v>
      </c>
      <c r="AV74" s="16">
        <f t="shared" si="123"/>
        <v>47281</v>
      </c>
      <c r="AW74" s="16">
        <f t="shared" si="123"/>
        <v>47281</v>
      </c>
      <c r="AX74" s="16">
        <f t="shared" si="123"/>
        <v>47281</v>
      </c>
      <c r="AY74" s="16">
        <f>SUM(AY8:AY72)</f>
        <v>47281</v>
      </c>
      <c r="AZ74" s="16"/>
      <c r="BA74" s="16"/>
      <c r="BB74" s="16">
        <f>SUM(BB8:BB72)</f>
        <v>1418430</v>
      </c>
      <c r="BC74" s="16">
        <f>BB74/30</f>
        <v>47281</v>
      </c>
      <c r="BD74" s="16">
        <f>MAX(V74:AX74)</f>
        <v>47281</v>
      </c>
      <c r="BE74" s="16"/>
      <c r="BF74" s="15"/>
      <c r="BG74" s="14">
        <f>BG3-SUM(BG8:BG72)</f>
        <v>0</v>
      </c>
      <c r="BH74" s="14">
        <f>BH3-SUM(BH8:BH72)</f>
        <v>0</v>
      </c>
      <c r="BI74" s="14">
        <f>BI3-SUM(BI8:BI72)</f>
        <v>45000</v>
      </c>
      <c r="BK74" s="14">
        <f>BK3-SUM(BK8:BK72)</f>
        <v>136</v>
      </c>
      <c r="BM74" s="14">
        <f>BM3-SUM(BM8:BM72)</f>
        <v>2000</v>
      </c>
      <c r="BO74" s="14">
        <f>BO3-SUM(BO8:BO72)</f>
        <v>5000</v>
      </c>
      <c r="BQ74" s="14">
        <f>BQ3-SUM(BQ8:BQ72)</f>
        <v>19293</v>
      </c>
      <c r="BS74" s="14">
        <f>BS3-SUM(BS8:BS72)</f>
        <v>1</v>
      </c>
      <c r="BU74" s="14">
        <f>BU3-SUM(BU8:BU72)</f>
        <v>1</v>
      </c>
      <c r="BW74" s="14">
        <f>BW3-SUM(BW8:BW72)</f>
        <v>1</v>
      </c>
      <c r="BY74" s="14">
        <f>BY3-SUM(BY8:BY72)</f>
        <v>1</v>
      </c>
      <c r="CA74" s="14">
        <f>CA3-SUM(CA8:CA72)</f>
        <v>4</v>
      </c>
      <c r="CC74" s="14">
        <f>CC3-SUM(CC8:CC72)</f>
        <v>3992</v>
      </c>
      <c r="CD74" s="1"/>
      <c r="CE74" s="14">
        <f>CE3-SUM(CE8:CE72)</f>
        <v>8</v>
      </c>
      <c r="CF74" s="1"/>
      <c r="CG74" s="14">
        <f>CG3-SUM(CG8:CG72)</f>
        <v>3988</v>
      </c>
      <c r="CI74" s="14">
        <f>CI3-SUM(CI8:CI72)</f>
        <v>12</v>
      </c>
      <c r="CJ74" s="1"/>
      <c r="CK74" s="14">
        <f>CK3-SUM(CK8:CK72)</f>
        <v>4000</v>
      </c>
      <c r="CL74" s="1"/>
      <c r="CM74" s="14">
        <f>CM3-SUM(CM8:CM72)</f>
        <v>5</v>
      </c>
      <c r="CN74" s="1"/>
      <c r="CO74" s="14">
        <f>CO3-SUM(CO8:CO72)</f>
        <v>27</v>
      </c>
      <c r="CP74" s="1"/>
      <c r="CQ74" s="14">
        <f>CQ3-SUM(CQ8:CQ72)</f>
        <v>3</v>
      </c>
      <c r="CR74" s="1"/>
      <c r="CS74" s="14">
        <f>CS3-SUM(CS8:CS72)</f>
        <v>17</v>
      </c>
      <c r="CU74" s="14">
        <f>CU3-SUM(CU8:CU72)</f>
        <v>1</v>
      </c>
      <c r="CW74" s="14">
        <f>CW3-SUM(CW8:CW72)</f>
        <v>1</v>
      </c>
      <c r="CY74" s="14">
        <f>CY3-SUM(CY8:CY72)</f>
        <v>1773</v>
      </c>
      <c r="CZ74" s="1"/>
      <c r="DA74" s="14">
        <f>DA3-SUM(DA8:DA72)</f>
        <v>30275</v>
      </c>
      <c r="DB74" s="1"/>
      <c r="DC74" s="14">
        <f>DC3-SUM(DC8:DC72)</f>
        <v>4546</v>
      </c>
      <c r="DD74" s="1"/>
      <c r="DE74" s="14">
        <f>DE3-SUM(DE8:DE72)</f>
        <v>3526</v>
      </c>
      <c r="DF74" s="1"/>
      <c r="DG74" s="14">
        <f>DG3-SUM(DG8:DG72)</f>
        <v>28238</v>
      </c>
      <c r="DH74" s="1"/>
      <c r="DI74" s="14">
        <f>DI3-SUM(DI8:DI72)</f>
        <v>4809</v>
      </c>
      <c r="DJ74" s="1"/>
      <c r="DK74" s="14">
        <f>DK3-SUM(DK8:DK72)</f>
        <v>5145</v>
      </c>
      <c r="DL74" s="1"/>
      <c r="DM74" s="14">
        <f>DM3-SUM(DM8:DM72)</f>
        <v>6256</v>
      </c>
      <c r="DN74" s="1"/>
      <c r="DO74" s="14">
        <f>DO3-SUM(DO8:DO72)</f>
        <v>14754</v>
      </c>
      <c r="DP74" s="1"/>
      <c r="DQ74" s="14">
        <f>DQ3-SUM(DQ8:DQ72)</f>
        <v>5954</v>
      </c>
      <c r="DR74" s="1"/>
      <c r="DS74" s="14">
        <f>DS3-SUM(DS8:DS72)</f>
        <v>3307</v>
      </c>
      <c r="DT74" s="1"/>
      <c r="DU74" s="14">
        <f>DU3-SUM(DU8:DU72)</f>
        <v>65</v>
      </c>
      <c r="DW74" s="14">
        <f>DW3-SUM(DW8:DW72)</f>
        <v>40000</v>
      </c>
      <c r="DY74" s="14">
        <f>DY3-SUM(DY8:DY72)</f>
        <v>1</v>
      </c>
      <c r="EA74" s="14">
        <f>EA3-SUM(EA8:EA72)</f>
        <v>21</v>
      </c>
      <c r="EC74" s="14">
        <f>EC3-SUM(EC8:EC72)</f>
        <v>5</v>
      </c>
      <c r="EE74" s="14">
        <f>EE3-SUM(EE8:EE72)</f>
        <v>4</v>
      </c>
      <c r="EG74" s="14">
        <f>EG3-SUM(EG8:EG72)</f>
        <v>285</v>
      </c>
      <c r="EI74" s="14">
        <f>EI3-SUM(EI8:EI72)</f>
        <v>23</v>
      </c>
      <c r="EJ74" s="1"/>
      <c r="EK74" s="14">
        <f>EK3-SUM(EK8:EK72)</f>
        <v>88</v>
      </c>
      <c r="EL74" s="1"/>
      <c r="EM74" s="14">
        <f>EM3-SUM(EM8:EM72)</f>
        <v>19</v>
      </c>
      <c r="EO74" s="14">
        <f>EO3-SUM(EO8:EO72)</f>
        <v>88</v>
      </c>
      <c r="EQ74" s="14">
        <f>EQ3-SUM(EQ8:EQ72)</f>
        <v>900</v>
      </c>
      <c r="ES74" s="14">
        <f>ES3-SUM(ES8:ES72)</f>
        <v>1</v>
      </c>
      <c r="ET74" s="1"/>
      <c r="EU74" s="14">
        <f>EU3-SUM(EU8:EU72)</f>
        <v>2400</v>
      </c>
      <c r="EV74" s="19"/>
      <c r="EW74" s="14">
        <f>EW3-SUM(EW8:EW72)</f>
        <v>1915</v>
      </c>
      <c r="EY74" s="14">
        <f>EY3-SUM(EY8:EY72)</f>
        <v>85</v>
      </c>
      <c r="FA74" s="14">
        <f>FA3-SUM(FA8:FA72)</f>
        <v>2000</v>
      </c>
      <c r="FB74" s="19"/>
      <c r="FC74" s="14">
        <f>FC3-SUM(FC8:FC72)</f>
        <v>5000</v>
      </c>
      <c r="FE74" s="14">
        <f>FE3-SUM(FE8:FE72)</f>
        <v>1000</v>
      </c>
      <c r="FF74" s="1"/>
      <c r="FG74" s="14">
        <f>FG3-SUM(FG8:FG72)</f>
        <v>2</v>
      </c>
      <c r="FH74" s="1"/>
      <c r="FI74" s="14">
        <f>FI3-SUM(FI8:FI72)</f>
        <v>2</v>
      </c>
      <c r="FK74" s="14">
        <f>FK3-SUM(FK8:FK72)</f>
        <v>47</v>
      </c>
      <c r="FM74" s="14">
        <f>FM3-SUM(FM8:FM72)</f>
        <v>31</v>
      </c>
      <c r="FO74" s="14">
        <f>FO3-SUM(FO8:FO72)</f>
        <v>4</v>
      </c>
      <c r="FQ74" s="14">
        <f>FQ3-SUM(FQ8:FQ72)</f>
        <v>23</v>
      </c>
      <c r="FS74" s="14">
        <f>FS3-SUM(FS8:FS72)</f>
        <v>4</v>
      </c>
      <c r="FU74" s="14">
        <f>FU3-SUM(FU8:FU72)</f>
        <v>2048</v>
      </c>
      <c r="FV74" s="23"/>
      <c r="FW74" s="14">
        <f>FW3-SUM(FW8:FW72)</f>
        <v>2048</v>
      </c>
      <c r="FX74" s="23"/>
      <c r="FY74" s="14">
        <f>FY3-SUM(FY8:FY72)</f>
        <v>2048</v>
      </c>
      <c r="FZ74" s="1"/>
      <c r="GA74" s="14">
        <f>GA3-SUM(GA8:GA72)</f>
        <v>1</v>
      </c>
      <c r="GB74" s="23"/>
      <c r="GC74" s="14">
        <f>GC3-SUM(GC8:GC72)</f>
        <v>1</v>
      </c>
      <c r="GD74" s="1"/>
      <c r="GE74" s="14">
        <f>GE3-SUM(GE8:GE72)</f>
        <v>11</v>
      </c>
      <c r="GG74" s="14">
        <f>GG3-SUM(GG8:GG72)</f>
        <v>500</v>
      </c>
      <c r="GI74" s="14">
        <f>GI3-SUM(GI8:GI72)</f>
        <v>1000</v>
      </c>
      <c r="GK74" s="14">
        <f>GK3-SUM(GK8:GK72)</f>
        <v>1600</v>
      </c>
      <c r="GM74" s="14">
        <f>GM3-SUM(GM8:GM72)</f>
        <v>4018</v>
      </c>
      <c r="GO74" s="14">
        <f>GO3-SUM(GO8:GO72)</f>
        <v>38</v>
      </c>
      <c r="GQ74" s="14">
        <f>GQ3-SUM(GQ8:GQ72)</f>
        <v>8905</v>
      </c>
      <c r="GS74" s="14">
        <f>GS3-SUM(GS8:GS72)</f>
        <v>113</v>
      </c>
      <c r="GU74" s="14">
        <f>GU3-SUM(GU8:GU72)</f>
        <v>128</v>
      </c>
      <c r="GW74" s="14">
        <f>GW3-SUM(GW8:GW72)</f>
        <v>36</v>
      </c>
      <c r="GY74" s="14">
        <f>GY3-SUM(GY8:GY72)</f>
        <v>13</v>
      </c>
      <c r="HA74" s="14">
        <f>HA3-SUM(HA8:HA72)</f>
        <v>63</v>
      </c>
      <c r="HC74" s="14">
        <f>HC3-SUM(HC8:HC72)</f>
        <v>14</v>
      </c>
      <c r="HD74" s="23"/>
    </row>
    <row r="75" spans="1:214" x14ac:dyDescent="0.25">
      <c r="F75" s="15" t="s">
        <v>167</v>
      </c>
      <c r="M75" s="13"/>
      <c r="N75" s="13"/>
      <c r="O75" s="13"/>
      <c r="P75" s="58"/>
      <c r="Q75" s="15"/>
      <c r="R75" s="15"/>
      <c r="S75" s="15"/>
      <c r="T75" s="16"/>
      <c r="U75" s="16"/>
      <c r="V75" s="29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G75" s="1">
        <f>+BG3-BG74</f>
        <v>0</v>
      </c>
      <c r="BH75" s="1">
        <f>+BH3-BH74</f>
        <v>0</v>
      </c>
      <c r="BI75" s="1">
        <f>+BI3-BI74</f>
        <v>0</v>
      </c>
      <c r="BK75" s="1">
        <f>+BK3-BK74</f>
        <v>0</v>
      </c>
      <c r="BM75" s="1">
        <f>+BM3-BM74</f>
        <v>0</v>
      </c>
      <c r="BO75" s="1">
        <f>+BO3-BO74</f>
        <v>0</v>
      </c>
      <c r="BQ75" s="1">
        <f>+BQ3-BQ74</f>
        <v>0</v>
      </c>
      <c r="BS75" s="1">
        <f>+BS3-BS74</f>
        <v>0</v>
      </c>
      <c r="BU75" s="1">
        <f>+BU3-BU74</f>
        <v>0</v>
      </c>
      <c r="BW75" s="1">
        <f>+BW3-BW74</f>
        <v>0</v>
      </c>
      <c r="BY75" s="1">
        <f>+BY3-BY74</f>
        <v>0</v>
      </c>
      <c r="CA75" s="1">
        <f>+CA3-CA74</f>
        <v>0</v>
      </c>
      <c r="CC75" s="1">
        <f>+CC3-CC74</f>
        <v>0</v>
      </c>
      <c r="CE75" s="1">
        <f>+CE3-CE74</f>
        <v>0</v>
      </c>
      <c r="CG75" s="1">
        <f>+CG3-CG74</f>
        <v>0</v>
      </c>
      <c r="CI75" s="1">
        <f>+CI3-CI74</f>
        <v>0</v>
      </c>
      <c r="CK75" s="1">
        <f>+CK3-CK74</f>
        <v>0</v>
      </c>
      <c r="CM75" s="1">
        <f>+CM3-CM74</f>
        <v>0</v>
      </c>
      <c r="CO75" s="1">
        <f>+CO3-CO74</f>
        <v>0</v>
      </c>
      <c r="CQ75" s="1">
        <f>+CQ3-CQ74</f>
        <v>0</v>
      </c>
      <c r="CS75" s="1">
        <f>+CS3-CS74</f>
        <v>0</v>
      </c>
      <c r="CU75" s="1">
        <f>+CU3-CU74</f>
        <v>0</v>
      </c>
      <c r="CW75" s="1">
        <f>+CW3-CW74</f>
        <v>0</v>
      </c>
      <c r="CY75" s="1">
        <f>+CY3-CY74</f>
        <v>0</v>
      </c>
      <c r="DA75" s="1">
        <f>+DA3-DA74</f>
        <v>0</v>
      </c>
      <c r="DC75" s="1">
        <f>+DC3-DC74</f>
        <v>0</v>
      </c>
      <c r="DE75" s="1">
        <f>+DE3-DE74</f>
        <v>0</v>
      </c>
      <c r="DG75" s="1">
        <f>+DG3-DG74</f>
        <v>0</v>
      </c>
      <c r="DI75" s="1">
        <f>+DI3-DI74</f>
        <v>0</v>
      </c>
      <c r="DK75" s="1">
        <f>+DK3-DK74</f>
        <v>0</v>
      </c>
      <c r="DM75" s="1">
        <f>+DM3-DM74</f>
        <v>0</v>
      </c>
      <c r="DO75" s="1">
        <f>+DO3-DO74</f>
        <v>0</v>
      </c>
      <c r="DQ75" s="1">
        <f>+DQ3-DQ74</f>
        <v>0</v>
      </c>
      <c r="DS75" s="1">
        <f>+DS3-DS74</f>
        <v>0</v>
      </c>
      <c r="DU75" s="1">
        <f>+DU3-DU74</f>
        <v>0</v>
      </c>
      <c r="DW75" s="1">
        <f>+DW3-DW74</f>
        <v>0</v>
      </c>
      <c r="DY75" s="1">
        <f>+DY3-DY74</f>
        <v>0</v>
      </c>
      <c r="EA75" s="1">
        <f>+EA3-EA74</f>
        <v>0</v>
      </c>
      <c r="EC75" s="1">
        <f>+EC3-EC74</f>
        <v>0</v>
      </c>
      <c r="EE75" s="1">
        <f>+EE3-EE74</f>
        <v>0</v>
      </c>
      <c r="EG75" s="1">
        <f>+EG3-EG74</f>
        <v>0</v>
      </c>
      <c r="EI75" s="1">
        <f>+EI3-EI74</f>
        <v>0</v>
      </c>
      <c r="EK75" s="1">
        <f>+EK3-EK74</f>
        <v>0</v>
      </c>
      <c r="EM75" s="1">
        <f>+EM3-EM74</f>
        <v>0</v>
      </c>
      <c r="EO75" s="1">
        <f>+EO3-EO74</f>
        <v>0</v>
      </c>
      <c r="EQ75" s="1">
        <f>+EQ3-EQ74</f>
        <v>0</v>
      </c>
      <c r="ES75" s="1">
        <f>+ES3-ES74</f>
        <v>0</v>
      </c>
      <c r="EU75" s="1">
        <f>+EU3-EU74</f>
        <v>0</v>
      </c>
      <c r="EW75" s="1">
        <f>+EW3-EW74</f>
        <v>0</v>
      </c>
      <c r="EY75" s="1">
        <f>+EY3-EY74</f>
        <v>0</v>
      </c>
      <c r="FA75" s="1">
        <f>+FA3-FA74</f>
        <v>0</v>
      </c>
      <c r="FC75" s="1">
        <f>+FC3-FC74</f>
        <v>0</v>
      </c>
      <c r="FE75" s="1">
        <f>+FE3-FE74</f>
        <v>0</v>
      </c>
      <c r="FG75" s="1">
        <f>+FG3-FG74</f>
        <v>0</v>
      </c>
      <c r="FI75" s="1">
        <f>+FI3-FI74</f>
        <v>0</v>
      </c>
      <c r="FK75" s="1">
        <f>+FK3-FK74</f>
        <v>0</v>
      </c>
      <c r="FM75" s="1">
        <f>+FM3-FM74</f>
        <v>0</v>
      </c>
      <c r="FO75" s="1">
        <f>+FO3-FO74</f>
        <v>0</v>
      </c>
      <c r="FQ75" s="1">
        <f>+FQ3-FQ74</f>
        <v>0</v>
      </c>
      <c r="FS75" s="1">
        <f>+FS3-FS74</f>
        <v>0</v>
      </c>
      <c r="FU75" s="1">
        <f>+FU3-FU74</f>
        <v>0</v>
      </c>
      <c r="FV75" s="23"/>
      <c r="FW75" s="1">
        <f>+FW3-FW74</f>
        <v>0</v>
      </c>
      <c r="FX75" s="23"/>
      <c r="FY75" s="1">
        <f>+FY3-FY74</f>
        <v>0</v>
      </c>
      <c r="GA75" s="1">
        <f>+GA3-GA74</f>
        <v>0</v>
      </c>
      <c r="GB75" s="23"/>
      <c r="GC75" s="1">
        <f>+GC3-GC74</f>
        <v>0</v>
      </c>
      <c r="GE75" s="1">
        <f>+GE3-GE74</f>
        <v>0</v>
      </c>
      <c r="GG75" s="1">
        <f>+GG3-GG74</f>
        <v>0</v>
      </c>
      <c r="GI75" s="1">
        <f>+GI3-GI74</f>
        <v>0</v>
      </c>
      <c r="GK75" s="1">
        <f>+GK3-GK74</f>
        <v>0</v>
      </c>
      <c r="GM75" s="1">
        <f>+GM3-GM74</f>
        <v>0</v>
      </c>
      <c r="GO75" s="1">
        <f>+GO3-GO74</f>
        <v>0</v>
      </c>
      <c r="GQ75" s="1">
        <f>+GQ3-GQ74</f>
        <v>0</v>
      </c>
      <c r="GS75" s="1">
        <f>+GS3-GS74</f>
        <v>0</v>
      </c>
      <c r="GU75" s="1">
        <f>+GU3-GU74</f>
        <v>0</v>
      </c>
      <c r="GW75" s="1">
        <f>+GW3-GW74</f>
        <v>0</v>
      </c>
      <c r="GY75" s="1">
        <f>+GY3-GY74</f>
        <v>0</v>
      </c>
      <c r="HA75" s="1">
        <f>+HA3-HA74</f>
        <v>0</v>
      </c>
      <c r="HC75" s="1">
        <f>+HC3-HC74</f>
        <v>0</v>
      </c>
      <c r="HD75" s="23"/>
    </row>
    <row r="76" spans="1:214" x14ac:dyDescent="0.25">
      <c r="I76" s="27"/>
      <c r="J76" s="27"/>
      <c r="Q76" s="26"/>
      <c r="R76" s="15"/>
      <c r="FU76" s="23"/>
      <c r="FV76" s="23"/>
      <c r="FW76" s="23"/>
      <c r="FX76" s="23"/>
      <c r="FY76" s="23"/>
      <c r="GA76" s="23"/>
      <c r="GB76" s="23"/>
      <c r="GC76" s="23"/>
      <c r="GD76" s="23"/>
      <c r="GE76" s="23"/>
      <c r="GF76" s="23"/>
      <c r="GM76" s="23"/>
      <c r="GN76" s="23"/>
      <c r="GO76" s="23"/>
      <c r="GP76" s="23"/>
      <c r="GQ76" s="23"/>
      <c r="GR76" s="23"/>
      <c r="GS76" s="23"/>
      <c r="GT76" s="23"/>
      <c r="GU76" s="23"/>
      <c r="GV76" s="23"/>
      <c r="GW76" s="23"/>
      <c r="GX76" s="23"/>
      <c r="GY76" s="23"/>
      <c r="GZ76" s="23"/>
      <c r="HA76" s="23"/>
      <c r="HB76" s="23"/>
      <c r="HC76" s="23"/>
      <c r="HD76" s="23"/>
    </row>
    <row r="77" spans="1:214" hidden="1" outlineLevel="1" x14ac:dyDescent="0.25">
      <c r="A77" s="117" t="s">
        <v>168</v>
      </c>
      <c r="G77" s="22"/>
      <c r="FO77" s="82">
        <f>SUM(FM75:FS75)</f>
        <v>0</v>
      </c>
      <c r="FU77" s="23"/>
      <c r="FV77" s="23"/>
      <c r="FW77" s="23"/>
      <c r="FX77" s="23"/>
      <c r="FY77" s="23"/>
      <c r="GA77" s="23"/>
      <c r="GB77" s="23"/>
      <c r="GC77" s="23"/>
      <c r="GD77" s="23"/>
      <c r="GE77" s="23"/>
      <c r="GF77" s="23"/>
      <c r="GM77" s="23"/>
      <c r="GN77" s="23"/>
      <c r="GO77" s="23"/>
      <c r="GP77" s="23"/>
      <c r="GQ77" s="23"/>
      <c r="GR77" s="23"/>
      <c r="GS77" s="23"/>
      <c r="GT77" s="23"/>
      <c r="GU77" s="23"/>
      <c r="GV77" s="23"/>
      <c r="GW77" s="23"/>
      <c r="GX77" s="23"/>
      <c r="GY77" s="23"/>
      <c r="GZ77" s="23"/>
      <c r="HA77" s="23"/>
      <c r="HB77" s="23"/>
      <c r="HC77" s="23"/>
      <c r="HD77" s="23"/>
    </row>
    <row r="78" spans="1:214" hidden="1" outlineLevel="1" x14ac:dyDescent="0.25">
      <c r="A78" s="14"/>
      <c r="B78" s="13"/>
      <c r="C78" s="14"/>
      <c r="E78" s="14"/>
      <c r="F78" s="14"/>
      <c r="G78" s="14"/>
      <c r="H78" s="14"/>
      <c r="I78" s="14"/>
      <c r="J78" s="14"/>
      <c r="K78" s="13"/>
      <c r="L78" s="14"/>
      <c r="M78" s="14"/>
      <c r="N78" s="14"/>
      <c r="O78" s="14"/>
      <c r="P78" s="14"/>
      <c r="Q78" s="26" t="s">
        <v>33</v>
      </c>
      <c r="R78" s="162" t="s">
        <v>34</v>
      </c>
      <c r="S78" s="162"/>
      <c r="T78" s="28" t="s">
        <v>35</v>
      </c>
      <c r="U78" s="17"/>
      <c r="V78" s="29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CC78" s="118"/>
      <c r="CD78" s="118"/>
      <c r="CE78" s="118"/>
      <c r="CF78" s="118"/>
      <c r="CG78" s="118"/>
      <c r="CH78" s="118"/>
      <c r="CI78" s="118"/>
      <c r="CJ78" s="118"/>
      <c r="CK78" s="118"/>
      <c r="CL78" s="118"/>
      <c r="CM78" s="118"/>
      <c r="CN78" s="118"/>
      <c r="CO78" s="118"/>
      <c r="CP78" s="118"/>
      <c r="CQ78" s="118"/>
      <c r="CR78" s="118"/>
      <c r="CS78" s="118"/>
      <c r="CT78" s="118"/>
      <c r="CU78" s="118"/>
      <c r="CV78" s="118"/>
      <c r="CW78" s="118"/>
      <c r="CX78" s="118"/>
      <c r="CY78" s="118"/>
      <c r="CZ78" s="118"/>
      <c r="DA78" s="118"/>
      <c r="DB78" s="118"/>
      <c r="DC78" s="118"/>
      <c r="DD78" s="118"/>
      <c r="DE78" s="118"/>
      <c r="DF78" s="118"/>
      <c r="DG78" s="118"/>
      <c r="DH78" s="118"/>
      <c r="DI78" s="118"/>
      <c r="DJ78" s="118"/>
      <c r="DK78" s="118"/>
      <c r="DL78" s="118"/>
      <c r="DM78" s="118"/>
      <c r="DN78" s="118"/>
      <c r="DO78" s="118"/>
      <c r="DP78" s="118"/>
      <c r="DQ78" s="118"/>
      <c r="DR78" s="118"/>
      <c r="DS78" s="118"/>
      <c r="DT78" s="118"/>
      <c r="DU78" s="118"/>
      <c r="EI78" s="118"/>
      <c r="EJ78" s="118"/>
      <c r="EK78" s="118"/>
      <c r="EL78" s="118"/>
      <c r="ES78" s="118"/>
      <c r="ET78" s="118"/>
      <c r="FF78" s="118"/>
      <c r="FG78" s="118"/>
      <c r="FT78" s="118"/>
      <c r="FU78" s="25"/>
      <c r="FV78" s="25"/>
      <c r="FW78" s="25"/>
      <c r="FX78" s="25"/>
      <c r="FY78" s="25"/>
      <c r="FZ78" s="118"/>
      <c r="GA78" s="25"/>
      <c r="GB78" s="23"/>
      <c r="GC78" s="25"/>
      <c r="GD78" s="23"/>
      <c r="GE78" s="25"/>
      <c r="GF78" s="23"/>
      <c r="GM78" s="25"/>
      <c r="GN78" s="25"/>
      <c r="GO78" s="25"/>
      <c r="GP78" s="25"/>
      <c r="GQ78" s="25"/>
      <c r="GR78" s="25"/>
      <c r="GS78" s="25"/>
      <c r="GT78" s="25"/>
      <c r="GU78" s="25"/>
      <c r="GV78" s="25"/>
      <c r="GW78" s="25"/>
      <c r="GX78" s="25"/>
      <c r="GY78" s="25"/>
      <c r="GZ78" s="25"/>
      <c r="HA78" s="25"/>
      <c r="HB78" s="25"/>
      <c r="HC78" s="25"/>
      <c r="HD78" s="25"/>
    </row>
    <row r="79" spans="1:214" hidden="1" outlineLevel="1" x14ac:dyDescent="0.25">
      <c r="A79" s="43" t="s">
        <v>70</v>
      </c>
      <c r="B79" s="44" t="s">
        <v>71</v>
      </c>
      <c r="C79" s="43" t="s">
        <v>72</v>
      </c>
      <c r="D79" s="43"/>
      <c r="E79" s="43" t="s">
        <v>74</v>
      </c>
      <c r="F79" s="43" t="s">
        <v>169</v>
      </c>
      <c r="G79" s="43" t="s">
        <v>75</v>
      </c>
      <c r="H79" s="43" t="s">
        <v>76</v>
      </c>
      <c r="I79" s="43" t="s">
        <v>77</v>
      </c>
      <c r="J79" s="43" t="s">
        <v>78</v>
      </c>
      <c r="K79" s="44" t="s">
        <v>170</v>
      </c>
      <c r="L79" s="43" t="s">
        <v>79</v>
      </c>
      <c r="M79" s="43" t="s">
        <v>141</v>
      </c>
      <c r="N79" s="43"/>
      <c r="O79" s="43"/>
      <c r="P79" s="43"/>
      <c r="Q79" s="43" t="s">
        <v>83</v>
      </c>
      <c r="R79" s="26" t="s">
        <v>262</v>
      </c>
      <c r="S79" s="26" t="s">
        <v>84</v>
      </c>
      <c r="T79" s="44"/>
      <c r="U79" s="119"/>
      <c r="V79" s="120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CC79" s="118"/>
      <c r="CD79" s="118"/>
      <c r="CE79" s="118"/>
      <c r="CF79" s="118"/>
      <c r="CG79" s="118"/>
      <c r="CH79" s="118"/>
      <c r="CI79" s="118"/>
      <c r="CJ79" s="118"/>
      <c r="CK79" s="118"/>
      <c r="CL79" s="118"/>
      <c r="CM79" s="118"/>
      <c r="CN79" s="118"/>
      <c r="CO79" s="118"/>
      <c r="CP79" s="118"/>
      <c r="CQ79" s="118"/>
      <c r="CR79" s="118"/>
      <c r="CS79" s="118"/>
      <c r="CT79" s="118"/>
      <c r="CU79" s="118"/>
      <c r="CV79" s="118"/>
      <c r="CW79" s="118"/>
      <c r="CX79" s="118"/>
      <c r="CY79" s="118"/>
      <c r="CZ79" s="118"/>
      <c r="DA79" s="118"/>
      <c r="DB79" s="118"/>
      <c r="DC79" s="118"/>
      <c r="DD79" s="118"/>
      <c r="DE79" s="118"/>
      <c r="DF79" s="118"/>
      <c r="DG79" s="118"/>
      <c r="DH79" s="118"/>
      <c r="DI79" s="118"/>
      <c r="DJ79" s="118"/>
      <c r="DK79" s="118"/>
      <c r="DL79" s="118"/>
      <c r="DM79" s="118"/>
      <c r="DN79" s="118"/>
      <c r="DO79" s="118"/>
      <c r="DP79" s="118"/>
      <c r="DQ79" s="118"/>
      <c r="DR79" s="118"/>
      <c r="DS79" s="118"/>
      <c r="DT79" s="118"/>
      <c r="DU79" s="118"/>
      <c r="EI79" s="118"/>
      <c r="EJ79" s="118"/>
      <c r="EK79" s="118"/>
      <c r="EL79" s="118"/>
      <c r="ES79" s="118"/>
      <c r="ET79" s="118"/>
      <c r="FF79" s="118"/>
      <c r="FG79" s="118"/>
      <c r="FT79" s="118"/>
      <c r="FU79" s="23"/>
      <c r="FV79" s="23"/>
      <c r="FW79" s="23"/>
      <c r="FX79" s="23"/>
      <c r="FY79" s="23"/>
      <c r="FZ79" s="118"/>
      <c r="GA79" s="23"/>
      <c r="GB79" s="23"/>
      <c r="GC79" s="23"/>
      <c r="GD79" s="23"/>
      <c r="GE79" s="23"/>
      <c r="GF79" s="23"/>
      <c r="GM79" s="23"/>
      <c r="GN79" s="23"/>
      <c r="GO79" s="23"/>
      <c r="GP79" s="23"/>
      <c r="GQ79" s="23"/>
      <c r="GR79" s="23"/>
      <c r="GS79" s="23"/>
      <c r="GT79" s="23"/>
      <c r="GU79" s="23"/>
      <c r="GV79" s="23"/>
      <c r="GW79" s="23"/>
      <c r="GX79" s="23"/>
      <c r="GY79" s="23"/>
      <c r="GZ79" s="23"/>
      <c r="HA79" s="23"/>
      <c r="HB79" s="23"/>
      <c r="HC79" s="23"/>
      <c r="HD79" s="23"/>
    </row>
    <row r="80" spans="1:214" hidden="1" outlineLevel="1" x14ac:dyDescent="0.25">
      <c r="A80" s="1" t="s">
        <v>90</v>
      </c>
      <c r="B80" s="58" t="s">
        <v>91</v>
      </c>
      <c r="E80" s="1">
        <v>1</v>
      </c>
      <c r="F80" s="1" t="s">
        <v>171</v>
      </c>
      <c r="G80" s="1" t="s">
        <v>114</v>
      </c>
      <c r="H80" s="84">
        <v>36301</v>
      </c>
      <c r="I80" s="1" t="s">
        <v>172</v>
      </c>
      <c r="J80" s="1" t="s">
        <v>94</v>
      </c>
      <c r="K80" s="58" t="s">
        <v>173</v>
      </c>
      <c r="L80" s="1" t="s">
        <v>95</v>
      </c>
      <c r="M80" s="121" t="s">
        <v>174</v>
      </c>
      <c r="N80" s="1" t="str">
        <f>CONCATENATE(B80,J80)</f>
        <v>30CSR</v>
      </c>
      <c r="Q80" s="22">
        <v>13800</v>
      </c>
      <c r="S80" s="22">
        <f>+Q80</f>
        <v>13800</v>
      </c>
      <c r="T80" s="63">
        <v>37147</v>
      </c>
      <c r="V80" s="64">
        <v>0</v>
      </c>
      <c r="W80" s="63">
        <f t="shared" ref="W80:AX80" si="124">V80</f>
        <v>0</v>
      </c>
      <c r="X80" s="63">
        <f t="shared" si="124"/>
        <v>0</v>
      </c>
      <c r="Y80" s="63">
        <f t="shared" si="124"/>
        <v>0</v>
      </c>
      <c r="Z80" s="63">
        <f t="shared" si="124"/>
        <v>0</v>
      </c>
      <c r="AA80" s="63">
        <f t="shared" si="124"/>
        <v>0</v>
      </c>
      <c r="AB80" s="63">
        <f t="shared" si="124"/>
        <v>0</v>
      </c>
      <c r="AC80" s="63">
        <f t="shared" si="124"/>
        <v>0</v>
      </c>
      <c r="AD80" s="63">
        <f t="shared" si="124"/>
        <v>0</v>
      </c>
      <c r="AE80" s="63">
        <f t="shared" si="124"/>
        <v>0</v>
      </c>
      <c r="AF80" s="63">
        <f t="shared" si="124"/>
        <v>0</v>
      </c>
      <c r="AG80" s="63">
        <f t="shared" si="124"/>
        <v>0</v>
      </c>
      <c r="AH80" s="63">
        <f t="shared" si="124"/>
        <v>0</v>
      </c>
      <c r="AI80" s="63">
        <f t="shared" si="124"/>
        <v>0</v>
      </c>
      <c r="AJ80" s="63">
        <f t="shared" si="124"/>
        <v>0</v>
      </c>
      <c r="AK80" s="63">
        <f t="shared" si="124"/>
        <v>0</v>
      </c>
      <c r="AL80" s="63">
        <f t="shared" si="124"/>
        <v>0</v>
      </c>
      <c r="AM80" s="63">
        <f t="shared" si="124"/>
        <v>0</v>
      </c>
      <c r="AN80" s="63">
        <f t="shared" si="124"/>
        <v>0</v>
      </c>
      <c r="AO80" s="63">
        <f t="shared" si="124"/>
        <v>0</v>
      </c>
      <c r="AP80" s="63">
        <f t="shared" si="124"/>
        <v>0</v>
      </c>
      <c r="AQ80" s="63">
        <f t="shared" si="124"/>
        <v>0</v>
      </c>
      <c r="AR80" s="63">
        <f t="shared" si="124"/>
        <v>0</v>
      </c>
      <c r="AS80" s="63">
        <f t="shared" si="124"/>
        <v>0</v>
      </c>
      <c r="AT80" s="63">
        <f t="shared" si="124"/>
        <v>0</v>
      </c>
      <c r="AU80" s="63">
        <f t="shared" si="124"/>
        <v>0</v>
      </c>
      <c r="AV80" s="63">
        <f t="shared" si="124"/>
        <v>0</v>
      </c>
      <c r="AW80" s="63">
        <f t="shared" si="124"/>
        <v>0</v>
      </c>
      <c r="AX80" s="63">
        <f t="shared" si="124"/>
        <v>0</v>
      </c>
      <c r="AY80" s="63">
        <f t="shared" ref="AY80:AY85" si="125">AX80</f>
        <v>0</v>
      </c>
      <c r="BB80" s="63">
        <f t="shared" ref="BB80:BB85" si="126">SUM(V80:AZ80)</f>
        <v>0</v>
      </c>
      <c r="BC80" s="63">
        <f t="shared" ref="BC80:BC85" si="127">+BB80/31</f>
        <v>0</v>
      </c>
      <c r="BD80" s="63">
        <f t="shared" ref="BD80:BD85" si="128">MAX(V80:AX80)</f>
        <v>0</v>
      </c>
      <c r="FU80" s="23"/>
      <c r="FV80" s="23"/>
      <c r="FW80" s="23"/>
      <c r="FX80" s="23"/>
      <c r="FY80" s="23"/>
      <c r="GA80" s="23"/>
      <c r="GB80" s="23"/>
      <c r="GC80" s="23"/>
      <c r="GD80" s="23"/>
      <c r="GE80" s="23"/>
      <c r="GF80" s="23"/>
      <c r="GM80" s="23"/>
      <c r="GN80" s="23"/>
      <c r="GO80" s="23"/>
      <c r="GP80" s="23"/>
      <c r="GQ80" s="23"/>
      <c r="GR80" s="23"/>
      <c r="GS80" s="23"/>
      <c r="GT80" s="23"/>
      <c r="GU80" s="23"/>
      <c r="GV80" s="23"/>
      <c r="GW80" s="23"/>
      <c r="GX80" s="23"/>
      <c r="GY80" s="23"/>
      <c r="GZ80" s="23"/>
      <c r="HA80" s="23"/>
      <c r="HB80" s="23"/>
      <c r="HC80" s="23"/>
      <c r="HD80" s="23"/>
      <c r="HE80" s="22">
        <f>Q80-SUM(BG80:BR80)</f>
        <v>13800</v>
      </c>
      <c r="HF80" s="22"/>
    </row>
    <row r="81" spans="1:214" hidden="1" outlineLevel="1" x14ac:dyDescent="0.25">
      <c r="A81" s="1" t="s">
        <v>116</v>
      </c>
      <c r="B81" s="58">
        <v>27</v>
      </c>
      <c r="D81" s="14">
        <v>19</v>
      </c>
      <c r="E81" s="1">
        <v>3</v>
      </c>
      <c r="F81" s="1" t="s">
        <v>175</v>
      </c>
      <c r="G81" s="1" t="s">
        <v>117</v>
      </c>
      <c r="H81" s="84">
        <v>36304</v>
      </c>
      <c r="I81" s="1" t="s">
        <v>172</v>
      </c>
      <c r="J81" s="1" t="s">
        <v>94</v>
      </c>
      <c r="K81" s="58" t="s">
        <v>176</v>
      </c>
      <c r="L81" s="1" t="s">
        <v>99</v>
      </c>
      <c r="N81" s="1" t="str">
        <f>CONCATENATE(B81,J81)</f>
        <v>27R</v>
      </c>
      <c r="Q81" s="22">
        <f>+BC81</f>
        <v>0</v>
      </c>
      <c r="S81" s="22">
        <f>+Q81</f>
        <v>0</v>
      </c>
      <c r="T81" s="63" t="s">
        <v>177</v>
      </c>
      <c r="V81" s="64">
        <v>0</v>
      </c>
      <c r="W81" s="63">
        <f t="shared" ref="W81:AX81" si="129">V81</f>
        <v>0</v>
      </c>
      <c r="X81" s="63">
        <f t="shared" si="129"/>
        <v>0</v>
      </c>
      <c r="Y81" s="63">
        <f t="shared" si="129"/>
        <v>0</v>
      </c>
      <c r="Z81" s="63">
        <f t="shared" si="129"/>
        <v>0</v>
      </c>
      <c r="AA81" s="63">
        <f t="shared" si="129"/>
        <v>0</v>
      </c>
      <c r="AB81" s="63">
        <f t="shared" si="129"/>
        <v>0</v>
      </c>
      <c r="AC81" s="63">
        <f t="shared" si="129"/>
        <v>0</v>
      </c>
      <c r="AD81" s="63">
        <f t="shared" si="129"/>
        <v>0</v>
      </c>
      <c r="AE81" s="63">
        <f t="shared" si="129"/>
        <v>0</v>
      </c>
      <c r="AF81" s="63">
        <f t="shared" si="129"/>
        <v>0</v>
      </c>
      <c r="AG81" s="63">
        <f t="shared" si="129"/>
        <v>0</v>
      </c>
      <c r="AH81" s="63">
        <f t="shared" si="129"/>
        <v>0</v>
      </c>
      <c r="AI81" s="63">
        <f t="shared" si="129"/>
        <v>0</v>
      </c>
      <c r="AJ81" s="63">
        <f t="shared" si="129"/>
        <v>0</v>
      </c>
      <c r="AK81" s="63">
        <f t="shared" si="129"/>
        <v>0</v>
      </c>
      <c r="AL81" s="63">
        <f t="shared" si="129"/>
        <v>0</v>
      </c>
      <c r="AM81" s="63">
        <f t="shared" si="129"/>
        <v>0</v>
      </c>
      <c r="AN81" s="63">
        <f t="shared" si="129"/>
        <v>0</v>
      </c>
      <c r="AO81" s="63">
        <f t="shared" si="129"/>
        <v>0</v>
      </c>
      <c r="AP81" s="63">
        <f t="shared" si="129"/>
        <v>0</v>
      </c>
      <c r="AQ81" s="63">
        <f t="shared" si="129"/>
        <v>0</v>
      </c>
      <c r="AR81" s="63">
        <f t="shared" si="129"/>
        <v>0</v>
      </c>
      <c r="AS81" s="63">
        <f t="shared" si="129"/>
        <v>0</v>
      </c>
      <c r="AT81" s="63">
        <f t="shared" si="129"/>
        <v>0</v>
      </c>
      <c r="AU81" s="63">
        <f t="shared" si="129"/>
        <v>0</v>
      </c>
      <c r="AV81" s="63">
        <f t="shared" si="129"/>
        <v>0</v>
      </c>
      <c r="AW81" s="63">
        <f t="shared" si="129"/>
        <v>0</v>
      </c>
      <c r="AX81" s="63">
        <f t="shared" si="129"/>
        <v>0</v>
      </c>
      <c r="AY81" s="63">
        <f t="shared" si="125"/>
        <v>0</v>
      </c>
      <c r="BB81" s="63">
        <f t="shared" si="126"/>
        <v>0</v>
      </c>
      <c r="BC81" s="63">
        <f t="shared" si="127"/>
        <v>0</v>
      </c>
      <c r="BD81" s="63">
        <f t="shared" si="128"/>
        <v>0</v>
      </c>
      <c r="BP81" s="118"/>
      <c r="CC81" s="50"/>
      <c r="CD81" s="50"/>
      <c r="CE81" s="50"/>
      <c r="CF81" s="50"/>
      <c r="CG81" s="50"/>
      <c r="CH81" s="50"/>
      <c r="CI81" s="50"/>
      <c r="CJ81" s="50"/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0"/>
      <c r="DA81" s="50"/>
      <c r="DB81" s="50"/>
      <c r="DC81" s="50"/>
      <c r="DD81" s="50"/>
      <c r="DE81" s="50"/>
      <c r="DF81" s="50"/>
      <c r="DG81" s="50"/>
      <c r="DH81" s="50"/>
      <c r="DI81" s="50"/>
      <c r="DJ81" s="50"/>
      <c r="DK81" s="50"/>
      <c r="DL81" s="50"/>
      <c r="DM81" s="50"/>
      <c r="DN81" s="50"/>
      <c r="DO81" s="50"/>
      <c r="DP81" s="50"/>
      <c r="DQ81" s="50"/>
      <c r="DR81" s="50"/>
      <c r="DS81" s="50"/>
      <c r="DT81" s="50"/>
      <c r="DU81" s="50"/>
      <c r="EI81" s="50"/>
      <c r="EJ81" s="50"/>
      <c r="EK81" s="50"/>
      <c r="EL81" s="50"/>
      <c r="ES81" s="50"/>
      <c r="ET81" s="50"/>
      <c r="FF81" s="50"/>
      <c r="FG81" s="50"/>
      <c r="FT81" s="50"/>
      <c r="FU81" s="23"/>
      <c r="FV81" s="23"/>
      <c r="FW81" s="23"/>
      <c r="FX81" s="23"/>
      <c r="FY81" s="23"/>
      <c r="FZ81" s="50"/>
      <c r="GA81" s="23"/>
      <c r="GB81" s="23"/>
      <c r="GC81" s="23"/>
      <c r="GD81" s="23"/>
      <c r="GE81" s="23"/>
      <c r="GF81" s="23"/>
      <c r="GM81" s="23"/>
      <c r="GN81" s="23"/>
      <c r="GO81" s="23"/>
      <c r="GP81" s="23"/>
      <c r="GQ81" s="23"/>
      <c r="GR81" s="23"/>
      <c r="GS81" s="23"/>
      <c r="GT81" s="23"/>
      <c r="GU81" s="23"/>
      <c r="GV81" s="23"/>
      <c r="GW81" s="23"/>
      <c r="GX81" s="23"/>
      <c r="GY81" s="23"/>
      <c r="GZ81" s="23"/>
      <c r="HA81" s="23"/>
      <c r="HB81" s="23"/>
      <c r="HC81" s="23"/>
      <c r="HD81" s="23"/>
      <c r="HE81" s="22">
        <f>V81-SUM(BG81:BR81)</f>
        <v>0</v>
      </c>
      <c r="HF81" s="22"/>
    </row>
    <row r="82" spans="1:214" s="118" customFormat="1" hidden="1" outlineLevel="1" x14ac:dyDescent="0.25">
      <c r="A82" s="118" t="s">
        <v>121</v>
      </c>
      <c r="B82" s="122" t="s">
        <v>122</v>
      </c>
      <c r="D82" s="123"/>
      <c r="E82" s="118">
        <v>4</v>
      </c>
      <c r="F82" s="118" t="s">
        <v>178</v>
      </c>
      <c r="G82" s="118" t="s">
        <v>114</v>
      </c>
      <c r="H82" s="84">
        <v>36301</v>
      </c>
      <c r="K82" s="122" t="s">
        <v>179</v>
      </c>
      <c r="L82" s="118" t="s">
        <v>95</v>
      </c>
      <c r="M82" s="118" t="s">
        <v>180</v>
      </c>
      <c r="Q82" s="124">
        <v>306</v>
      </c>
      <c r="R82" s="124"/>
      <c r="S82" s="124">
        <v>306</v>
      </c>
      <c r="T82" s="80" t="s">
        <v>181</v>
      </c>
      <c r="U82" s="80"/>
      <c r="V82" s="125">
        <v>0</v>
      </c>
      <c r="W82" s="63">
        <f t="shared" ref="W82:AX82" si="130">V82</f>
        <v>0</v>
      </c>
      <c r="X82" s="63">
        <f t="shared" si="130"/>
        <v>0</v>
      </c>
      <c r="Y82" s="63">
        <f t="shared" si="130"/>
        <v>0</v>
      </c>
      <c r="Z82" s="63">
        <f t="shared" si="130"/>
        <v>0</v>
      </c>
      <c r="AA82" s="63">
        <f t="shared" si="130"/>
        <v>0</v>
      </c>
      <c r="AB82" s="63">
        <f t="shared" si="130"/>
        <v>0</v>
      </c>
      <c r="AC82" s="63">
        <f t="shared" si="130"/>
        <v>0</v>
      </c>
      <c r="AD82" s="63">
        <f t="shared" si="130"/>
        <v>0</v>
      </c>
      <c r="AE82" s="63">
        <f t="shared" si="130"/>
        <v>0</v>
      </c>
      <c r="AF82" s="63">
        <f t="shared" si="130"/>
        <v>0</v>
      </c>
      <c r="AG82" s="63">
        <f t="shared" si="130"/>
        <v>0</v>
      </c>
      <c r="AH82" s="63">
        <f t="shared" si="130"/>
        <v>0</v>
      </c>
      <c r="AI82" s="63">
        <f t="shared" si="130"/>
        <v>0</v>
      </c>
      <c r="AJ82" s="63">
        <f t="shared" si="130"/>
        <v>0</v>
      </c>
      <c r="AK82" s="63">
        <f t="shared" si="130"/>
        <v>0</v>
      </c>
      <c r="AL82" s="63">
        <f t="shared" si="130"/>
        <v>0</v>
      </c>
      <c r="AM82" s="63">
        <f t="shared" si="130"/>
        <v>0</v>
      </c>
      <c r="AN82" s="63">
        <f t="shared" si="130"/>
        <v>0</v>
      </c>
      <c r="AO82" s="63">
        <f t="shared" si="130"/>
        <v>0</v>
      </c>
      <c r="AP82" s="63">
        <f t="shared" si="130"/>
        <v>0</v>
      </c>
      <c r="AQ82" s="63">
        <f t="shared" si="130"/>
        <v>0</v>
      </c>
      <c r="AR82" s="63">
        <f t="shared" si="130"/>
        <v>0</v>
      </c>
      <c r="AS82" s="63">
        <f t="shared" si="130"/>
        <v>0</v>
      </c>
      <c r="AT82" s="63">
        <f t="shared" si="130"/>
        <v>0</v>
      </c>
      <c r="AU82" s="63">
        <f t="shared" si="130"/>
        <v>0</v>
      </c>
      <c r="AV82" s="63">
        <f t="shared" si="130"/>
        <v>0</v>
      </c>
      <c r="AW82" s="63">
        <f t="shared" si="130"/>
        <v>0</v>
      </c>
      <c r="AX82" s="63">
        <f t="shared" si="130"/>
        <v>0</v>
      </c>
      <c r="AY82" s="63">
        <f t="shared" si="125"/>
        <v>0</v>
      </c>
      <c r="AZ82" s="63"/>
      <c r="BA82" s="80"/>
      <c r="BB82" s="63">
        <f t="shared" si="126"/>
        <v>0</v>
      </c>
      <c r="BC82" s="63">
        <f t="shared" si="127"/>
        <v>0</v>
      </c>
      <c r="BD82" s="63">
        <f t="shared" si="128"/>
        <v>0</v>
      </c>
      <c r="BE82" s="80"/>
      <c r="BF82" s="124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EI82" s="1"/>
      <c r="EJ82" s="1"/>
      <c r="EK82" s="1"/>
      <c r="EL82" s="1"/>
      <c r="ES82" s="1"/>
      <c r="ET82" s="1"/>
      <c r="EU82" s="1"/>
      <c r="EV82" s="65"/>
      <c r="EW82" s="1"/>
      <c r="EX82" s="1"/>
      <c r="EY82" s="1"/>
      <c r="EZ82" s="1"/>
      <c r="FA82" s="1"/>
      <c r="FB82" s="65"/>
      <c r="FC82" s="1"/>
      <c r="FD82" s="1"/>
      <c r="FE82" s="1"/>
      <c r="FF82" s="1"/>
      <c r="FG82" s="1"/>
      <c r="FH82" s="1"/>
      <c r="FT82" s="1"/>
      <c r="FU82" s="23"/>
      <c r="FV82" s="23"/>
      <c r="FW82" s="23"/>
      <c r="FX82" s="23"/>
      <c r="FY82" s="23"/>
      <c r="FZ82" s="1"/>
      <c r="GA82" s="23"/>
      <c r="GB82" s="23"/>
      <c r="GC82" s="23"/>
      <c r="GD82" s="23"/>
      <c r="GE82" s="23"/>
      <c r="GF82" s="23"/>
      <c r="GG82" s="1"/>
      <c r="GH82" s="1"/>
      <c r="GI82" s="1"/>
      <c r="GJ82" s="1"/>
      <c r="GK82" s="1"/>
      <c r="GL82" s="1"/>
      <c r="GM82" s="23"/>
      <c r="GN82" s="23"/>
      <c r="GO82" s="23"/>
      <c r="GP82" s="23"/>
      <c r="GQ82" s="23"/>
      <c r="GR82" s="23"/>
      <c r="GS82" s="23"/>
      <c r="GT82" s="23"/>
      <c r="GU82" s="23"/>
      <c r="GV82" s="23"/>
      <c r="GW82" s="23"/>
      <c r="GX82" s="23"/>
      <c r="GY82" s="23"/>
      <c r="GZ82" s="23"/>
      <c r="HA82" s="23"/>
      <c r="HB82" s="23"/>
      <c r="HC82" s="23"/>
      <c r="HD82" s="23"/>
      <c r="HE82" s="124"/>
      <c r="HF82" s="124"/>
    </row>
    <row r="83" spans="1:214" s="118" customFormat="1" hidden="1" outlineLevel="1" x14ac:dyDescent="0.25">
      <c r="A83" s="118" t="s">
        <v>121</v>
      </c>
      <c r="B83" s="122" t="s">
        <v>122</v>
      </c>
      <c r="D83" s="123"/>
      <c r="E83" s="118">
        <v>4</v>
      </c>
      <c r="F83" s="118" t="s">
        <v>178</v>
      </c>
      <c r="G83" s="118" t="s">
        <v>114</v>
      </c>
      <c r="H83" s="84">
        <v>36301</v>
      </c>
      <c r="K83" s="122" t="s">
        <v>182</v>
      </c>
      <c r="L83" s="118" t="s">
        <v>95</v>
      </c>
      <c r="M83" s="118" t="s">
        <v>183</v>
      </c>
      <c r="Q83" s="124">
        <v>1060</v>
      </c>
      <c r="R83" s="124"/>
      <c r="S83" s="124">
        <v>1060</v>
      </c>
      <c r="T83" s="80" t="s">
        <v>181</v>
      </c>
      <c r="U83" s="80"/>
      <c r="V83" s="125">
        <v>0</v>
      </c>
      <c r="W83" s="63">
        <f t="shared" ref="W83:AX83" si="131">V83</f>
        <v>0</v>
      </c>
      <c r="X83" s="63">
        <f t="shared" si="131"/>
        <v>0</v>
      </c>
      <c r="Y83" s="63">
        <f t="shared" si="131"/>
        <v>0</v>
      </c>
      <c r="Z83" s="63">
        <f t="shared" si="131"/>
        <v>0</v>
      </c>
      <c r="AA83" s="63">
        <f t="shared" si="131"/>
        <v>0</v>
      </c>
      <c r="AB83" s="63">
        <f t="shared" si="131"/>
        <v>0</v>
      </c>
      <c r="AC83" s="63">
        <f t="shared" si="131"/>
        <v>0</v>
      </c>
      <c r="AD83" s="63">
        <f t="shared" si="131"/>
        <v>0</v>
      </c>
      <c r="AE83" s="63">
        <f t="shared" si="131"/>
        <v>0</v>
      </c>
      <c r="AF83" s="63">
        <f t="shared" si="131"/>
        <v>0</v>
      </c>
      <c r="AG83" s="63">
        <f t="shared" si="131"/>
        <v>0</v>
      </c>
      <c r="AH83" s="63">
        <f t="shared" si="131"/>
        <v>0</v>
      </c>
      <c r="AI83" s="63">
        <f t="shared" si="131"/>
        <v>0</v>
      </c>
      <c r="AJ83" s="63">
        <f t="shared" si="131"/>
        <v>0</v>
      </c>
      <c r="AK83" s="63">
        <f t="shared" si="131"/>
        <v>0</v>
      </c>
      <c r="AL83" s="63">
        <f t="shared" si="131"/>
        <v>0</v>
      </c>
      <c r="AM83" s="63">
        <f t="shared" si="131"/>
        <v>0</v>
      </c>
      <c r="AN83" s="63">
        <f t="shared" si="131"/>
        <v>0</v>
      </c>
      <c r="AO83" s="63">
        <f t="shared" si="131"/>
        <v>0</v>
      </c>
      <c r="AP83" s="63">
        <f t="shared" si="131"/>
        <v>0</v>
      </c>
      <c r="AQ83" s="63">
        <f t="shared" si="131"/>
        <v>0</v>
      </c>
      <c r="AR83" s="63">
        <f t="shared" si="131"/>
        <v>0</v>
      </c>
      <c r="AS83" s="63">
        <f t="shared" si="131"/>
        <v>0</v>
      </c>
      <c r="AT83" s="63">
        <f t="shared" si="131"/>
        <v>0</v>
      </c>
      <c r="AU83" s="63">
        <f t="shared" si="131"/>
        <v>0</v>
      </c>
      <c r="AV83" s="63">
        <f t="shared" si="131"/>
        <v>0</v>
      </c>
      <c r="AW83" s="63">
        <f t="shared" si="131"/>
        <v>0</v>
      </c>
      <c r="AX83" s="63">
        <f t="shared" si="131"/>
        <v>0</v>
      </c>
      <c r="AY83" s="63">
        <f t="shared" si="125"/>
        <v>0</v>
      </c>
      <c r="AZ83" s="63"/>
      <c r="BA83" s="80"/>
      <c r="BB83" s="63">
        <f t="shared" si="126"/>
        <v>0</v>
      </c>
      <c r="BC83" s="63">
        <f t="shared" si="127"/>
        <v>0</v>
      </c>
      <c r="BD83" s="63">
        <f t="shared" si="128"/>
        <v>0</v>
      </c>
      <c r="BE83" s="80"/>
      <c r="BF83" s="124"/>
      <c r="BP83" s="1"/>
      <c r="CC83" s="50"/>
      <c r="CD83" s="50"/>
      <c r="CE83" s="50"/>
      <c r="CF83" s="50"/>
      <c r="CG83" s="50"/>
      <c r="CH83" s="50"/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  <c r="DE83" s="50"/>
      <c r="DF83" s="50"/>
      <c r="DG83" s="50"/>
      <c r="DH83" s="50"/>
      <c r="DI83" s="50"/>
      <c r="DJ83" s="50"/>
      <c r="DK83" s="50"/>
      <c r="DL83" s="50"/>
      <c r="DM83" s="50"/>
      <c r="DN83" s="50"/>
      <c r="DO83" s="50"/>
      <c r="DP83" s="50"/>
      <c r="DQ83" s="50"/>
      <c r="DR83" s="50"/>
      <c r="DS83" s="50"/>
      <c r="DT83" s="50"/>
      <c r="DU83" s="50"/>
      <c r="EI83" s="50"/>
      <c r="EJ83" s="50"/>
      <c r="EK83" s="50"/>
      <c r="EL83" s="50"/>
      <c r="ES83" s="50"/>
      <c r="ET83" s="50"/>
      <c r="EU83" s="1"/>
      <c r="EV83" s="65"/>
      <c r="EW83" s="1"/>
      <c r="EX83" s="1"/>
      <c r="EY83" s="1"/>
      <c r="EZ83" s="1"/>
      <c r="FA83" s="1"/>
      <c r="FB83" s="65"/>
      <c r="FC83" s="1"/>
      <c r="FD83" s="1"/>
      <c r="FE83" s="1"/>
      <c r="FF83" s="50"/>
      <c r="FG83" s="50"/>
      <c r="FH83" s="1"/>
      <c r="FT83" s="50"/>
      <c r="FU83" s="23"/>
      <c r="FV83" s="23"/>
      <c r="FW83" s="23"/>
      <c r="FX83" s="23"/>
      <c r="FY83" s="23"/>
      <c r="FZ83" s="50"/>
      <c r="GA83" s="23"/>
      <c r="GB83" s="23"/>
      <c r="GC83" s="23"/>
      <c r="GD83" s="23"/>
      <c r="GE83" s="23"/>
      <c r="GF83" s="23"/>
      <c r="GG83" s="1"/>
      <c r="GH83" s="1"/>
      <c r="GI83" s="1"/>
      <c r="GJ83" s="1"/>
      <c r="GK83" s="1"/>
      <c r="GL83" s="1"/>
      <c r="GM83" s="23"/>
      <c r="GN83" s="23"/>
      <c r="GO83" s="23"/>
      <c r="GP83" s="23"/>
      <c r="GQ83" s="23"/>
      <c r="GR83" s="23"/>
      <c r="GS83" s="23"/>
      <c r="GT83" s="23"/>
      <c r="GU83" s="23"/>
      <c r="GV83" s="23"/>
      <c r="GW83" s="23"/>
      <c r="GX83" s="23"/>
      <c r="GY83" s="23"/>
      <c r="GZ83" s="23"/>
      <c r="HA83" s="23"/>
      <c r="HB83" s="23"/>
      <c r="HC83" s="23"/>
      <c r="HD83" s="23"/>
      <c r="HE83" s="124"/>
      <c r="HF83" s="124"/>
    </row>
    <row r="84" spans="1:214" hidden="1" outlineLevel="1" x14ac:dyDescent="0.25">
      <c r="A84" s="1" t="s">
        <v>121</v>
      </c>
      <c r="B84" s="58" t="s">
        <v>122</v>
      </c>
      <c r="E84" s="1">
        <v>4</v>
      </c>
      <c r="F84" s="1" t="s">
        <v>184</v>
      </c>
      <c r="G84" s="118" t="s">
        <v>114</v>
      </c>
      <c r="H84" s="84">
        <v>36301</v>
      </c>
      <c r="I84" s="1" t="s">
        <v>172</v>
      </c>
      <c r="J84" s="1" t="s">
        <v>94</v>
      </c>
      <c r="K84" s="58" t="s">
        <v>185</v>
      </c>
      <c r="L84" s="1" t="s">
        <v>95</v>
      </c>
      <c r="M84" s="121" t="s">
        <v>186</v>
      </c>
      <c r="N84" s="1" t="str">
        <f>CONCATENATE(B84,J84)</f>
        <v>25ER</v>
      </c>
      <c r="Q84" s="22">
        <v>3785</v>
      </c>
      <c r="S84" s="22">
        <f>+Q84</f>
        <v>3785</v>
      </c>
      <c r="T84" s="63">
        <v>37147</v>
      </c>
      <c r="V84" s="64">
        <v>0</v>
      </c>
      <c r="W84" s="63">
        <f t="shared" ref="W84:AX84" si="132">V84</f>
        <v>0</v>
      </c>
      <c r="X84" s="63">
        <f t="shared" si="132"/>
        <v>0</v>
      </c>
      <c r="Y84" s="63">
        <f t="shared" si="132"/>
        <v>0</v>
      </c>
      <c r="Z84" s="63">
        <f t="shared" si="132"/>
        <v>0</v>
      </c>
      <c r="AA84" s="63">
        <f t="shared" si="132"/>
        <v>0</v>
      </c>
      <c r="AB84" s="63">
        <f t="shared" si="132"/>
        <v>0</v>
      </c>
      <c r="AC84" s="63">
        <f t="shared" si="132"/>
        <v>0</v>
      </c>
      <c r="AD84" s="63">
        <f t="shared" si="132"/>
        <v>0</v>
      </c>
      <c r="AE84" s="63">
        <f t="shared" si="132"/>
        <v>0</v>
      </c>
      <c r="AF84" s="63">
        <f t="shared" si="132"/>
        <v>0</v>
      </c>
      <c r="AG84" s="63">
        <f t="shared" si="132"/>
        <v>0</v>
      </c>
      <c r="AH84" s="63">
        <f t="shared" si="132"/>
        <v>0</v>
      </c>
      <c r="AI84" s="63">
        <f t="shared" si="132"/>
        <v>0</v>
      </c>
      <c r="AJ84" s="63">
        <f t="shared" si="132"/>
        <v>0</v>
      </c>
      <c r="AK84" s="63">
        <f t="shared" si="132"/>
        <v>0</v>
      </c>
      <c r="AL84" s="63">
        <f t="shared" si="132"/>
        <v>0</v>
      </c>
      <c r="AM84" s="63">
        <f t="shared" si="132"/>
        <v>0</v>
      </c>
      <c r="AN84" s="63">
        <f t="shared" si="132"/>
        <v>0</v>
      </c>
      <c r="AO84" s="63">
        <f t="shared" si="132"/>
        <v>0</v>
      </c>
      <c r="AP84" s="63">
        <f t="shared" si="132"/>
        <v>0</v>
      </c>
      <c r="AQ84" s="63">
        <f t="shared" si="132"/>
        <v>0</v>
      </c>
      <c r="AR84" s="63">
        <f t="shared" si="132"/>
        <v>0</v>
      </c>
      <c r="AS84" s="63">
        <f t="shared" si="132"/>
        <v>0</v>
      </c>
      <c r="AT84" s="63">
        <f t="shared" si="132"/>
        <v>0</v>
      </c>
      <c r="AU84" s="63">
        <f t="shared" si="132"/>
        <v>0</v>
      </c>
      <c r="AV84" s="63">
        <f t="shared" si="132"/>
        <v>0</v>
      </c>
      <c r="AW84" s="63">
        <f t="shared" si="132"/>
        <v>0</v>
      </c>
      <c r="AX84" s="63">
        <f t="shared" si="132"/>
        <v>0</v>
      </c>
      <c r="AY84" s="63">
        <f t="shared" si="125"/>
        <v>0</v>
      </c>
      <c r="BB84" s="63">
        <f t="shared" si="126"/>
        <v>0</v>
      </c>
      <c r="BC84" s="63">
        <f t="shared" si="127"/>
        <v>0</v>
      </c>
      <c r="BD84" s="63">
        <f t="shared" si="128"/>
        <v>0</v>
      </c>
      <c r="BP84" s="118"/>
      <c r="CC84" s="50"/>
      <c r="CD84" s="50"/>
      <c r="CE84" s="50"/>
      <c r="CF84" s="50"/>
      <c r="CG84" s="50"/>
      <c r="CH84" s="50"/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  <c r="DE84" s="50"/>
      <c r="DF84" s="50"/>
      <c r="DG84" s="50"/>
      <c r="DH84" s="50"/>
      <c r="DI84" s="50"/>
      <c r="DJ84" s="50"/>
      <c r="DK84" s="50"/>
      <c r="DL84" s="50"/>
      <c r="DM84" s="50"/>
      <c r="DN84" s="50"/>
      <c r="DO84" s="50"/>
      <c r="DP84" s="50"/>
      <c r="DQ84" s="50"/>
      <c r="DR84" s="50"/>
      <c r="DS84" s="50"/>
      <c r="DT84" s="50"/>
      <c r="DU84" s="50"/>
      <c r="EI84" s="50"/>
      <c r="EJ84" s="50"/>
      <c r="EK84" s="50"/>
      <c r="EL84" s="50"/>
      <c r="ES84" s="50"/>
      <c r="ET84" s="50"/>
      <c r="FF84" s="50"/>
      <c r="FG84" s="50"/>
      <c r="FT84" s="50"/>
      <c r="FU84" s="23"/>
      <c r="FV84" s="23"/>
      <c r="FW84" s="23"/>
      <c r="FX84" s="23"/>
      <c r="FY84" s="23"/>
      <c r="FZ84" s="50"/>
      <c r="GA84" s="23"/>
      <c r="GB84" s="23"/>
      <c r="GC84" s="23"/>
      <c r="GD84" s="23"/>
      <c r="GE84" s="23"/>
      <c r="GF84" s="23"/>
      <c r="GM84" s="23"/>
      <c r="GN84" s="23"/>
      <c r="GO84" s="23"/>
      <c r="GP84" s="23"/>
      <c r="GQ84" s="23"/>
      <c r="GR84" s="23"/>
      <c r="GS84" s="23"/>
      <c r="GT84" s="23"/>
      <c r="GU84" s="23"/>
      <c r="GV84" s="23"/>
      <c r="GW84" s="23"/>
      <c r="GX84" s="23"/>
      <c r="GY84" s="23"/>
      <c r="GZ84" s="23"/>
      <c r="HA84" s="23"/>
      <c r="HB84" s="23"/>
      <c r="HC84" s="23"/>
      <c r="HD84" s="23"/>
      <c r="HE84" s="22">
        <f>Q84-SUM(BG84:BR84)</f>
        <v>3785</v>
      </c>
      <c r="HF84" s="22"/>
    </row>
    <row r="85" spans="1:214" s="50" customFormat="1" hidden="1" outlineLevel="1" x14ac:dyDescent="0.25">
      <c r="A85" s="50" t="s">
        <v>140</v>
      </c>
      <c r="B85" s="51">
        <v>23</v>
      </c>
      <c r="D85" s="33">
        <v>4</v>
      </c>
      <c r="E85" s="50">
        <v>7</v>
      </c>
      <c r="F85" s="50" t="s">
        <v>187</v>
      </c>
      <c r="G85" s="50" t="s">
        <v>108</v>
      </c>
      <c r="H85" s="52">
        <v>36301</v>
      </c>
      <c r="K85" s="51" t="s">
        <v>188</v>
      </c>
      <c r="M85" s="127" t="s">
        <v>189</v>
      </c>
      <c r="Q85" s="53">
        <v>500</v>
      </c>
      <c r="R85" s="53"/>
      <c r="S85" s="53">
        <v>500</v>
      </c>
      <c r="T85" s="54">
        <v>37147</v>
      </c>
      <c r="U85" s="54"/>
      <c r="V85" s="57">
        <v>0</v>
      </c>
      <c r="W85" s="54">
        <f t="shared" ref="W85:AX85" si="133">V85</f>
        <v>0</v>
      </c>
      <c r="X85" s="54">
        <f t="shared" si="133"/>
        <v>0</v>
      </c>
      <c r="Y85" s="54">
        <f t="shared" si="133"/>
        <v>0</v>
      </c>
      <c r="Z85" s="54">
        <f t="shared" si="133"/>
        <v>0</v>
      </c>
      <c r="AA85" s="54">
        <f t="shared" si="133"/>
        <v>0</v>
      </c>
      <c r="AB85" s="54">
        <f t="shared" si="133"/>
        <v>0</v>
      </c>
      <c r="AC85" s="54">
        <f t="shared" si="133"/>
        <v>0</v>
      </c>
      <c r="AD85" s="54">
        <f t="shared" si="133"/>
        <v>0</v>
      </c>
      <c r="AE85" s="54">
        <f t="shared" si="133"/>
        <v>0</v>
      </c>
      <c r="AF85" s="54">
        <f t="shared" si="133"/>
        <v>0</v>
      </c>
      <c r="AG85" s="54">
        <f t="shared" si="133"/>
        <v>0</v>
      </c>
      <c r="AH85" s="54">
        <f t="shared" si="133"/>
        <v>0</v>
      </c>
      <c r="AI85" s="54">
        <f t="shared" si="133"/>
        <v>0</v>
      </c>
      <c r="AJ85" s="54">
        <f t="shared" si="133"/>
        <v>0</v>
      </c>
      <c r="AK85" s="54">
        <f t="shared" si="133"/>
        <v>0</v>
      </c>
      <c r="AL85" s="54">
        <f t="shared" si="133"/>
        <v>0</v>
      </c>
      <c r="AM85" s="54">
        <f t="shared" si="133"/>
        <v>0</v>
      </c>
      <c r="AN85" s="54">
        <f t="shared" si="133"/>
        <v>0</v>
      </c>
      <c r="AO85" s="54">
        <f t="shared" si="133"/>
        <v>0</v>
      </c>
      <c r="AP85" s="54">
        <f t="shared" si="133"/>
        <v>0</v>
      </c>
      <c r="AQ85" s="54">
        <f t="shared" si="133"/>
        <v>0</v>
      </c>
      <c r="AR85" s="54">
        <f t="shared" si="133"/>
        <v>0</v>
      </c>
      <c r="AS85" s="54">
        <f t="shared" si="133"/>
        <v>0</v>
      </c>
      <c r="AT85" s="54">
        <f t="shared" si="133"/>
        <v>0</v>
      </c>
      <c r="AU85" s="54">
        <f t="shared" si="133"/>
        <v>0</v>
      </c>
      <c r="AV85" s="54">
        <f t="shared" si="133"/>
        <v>0</v>
      </c>
      <c r="AW85" s="54">
        <f t="shared" si="133"/>
        <v>0</v>
      </c>
      <c r="AX85" s="54">
        <f t="shared" si="133"/>
        <v>0</v>
      </c>
      <c r="AY85" s="54">
        <f t="shared" si="125"/>
        <v>0</v>
      </c>
      <c r="AZ85" s="54"/>
      <c r="BA85" s="54"/>
      <c r="BB85" s="54">
        <f t="shared" si="126"/>
        <v>0</v>
      </c>
      <c r="BC85" s="54">
        <f t="shared" si="127"/>
        <v>0</v>
      </c>
      <c r="BD85" s="54">
        <f t="shared" si="128"/>
        <v>0</v>
      </c>
      <c r="BE85" s="54"/>
      <c r="BF85" s="53"/>
      <c r="EU85" s="1"/>
      <c r="EV85" s="65"/>
      <c r="EW85" s="1"/>
      <c r="EX85" s="1"/>
      <c r="EY85" s="1"/>
      <c r="EZ85" s="1"/>
      <c r="FA85" s="1"/>
      <c r="FB85" s="65"/>
      <c r="FC85" s="1"/>
      <c r="FD85" s="1"/>
      <c r="FE85" s="1"/>
      <c r="FH85" s="1"/>
      <c r="FU85" s="23"/>
      <c r="FV85" s="23"/>
      <c r="FW85" s="23"/>
      <c r="FX85" s="23"/>
      <c r="FY85" s="23"/>
      <c r="GA85" s="23"/>
      <c r="GB85" s="108"/>
      <c r="GC85" s="23"/>
      <c r="GD85" s="108"/>
      <c r="GE85" s="23"/>
      <c r="GF85" s="108"/>
      <c r="GG85" s="1"/>
      <c r="GH85" s="1"/>
      <c r="GI85" s="1"/>
      <c r="GJ85" s="1"/>
      <c r="GK85" s="1"/>
      <c r="GL85" s="1"/>
      <c r="GM85" s="23"/>
      <c r="GN85" s="23"/>
      <c r="GO85" s="23"/>
      <c r="GP85" s="23"/>
      <c r="GQ85" s="23"/>
      <c r="GR85" s="23"/>
      <c r="GS85" s="23"/>
      <c r="GT85" s="23"/>
      <c r="GU85" s="23"/>
      <c r="GV85" s="23"/>
      <c r="GW85" s="23"/>
      <c r="GX85" s="23"/>
      <c r="GY85" s="23"/>
      <c r="GZ85" s="23"/>
      <c r="HA85" s="23"/>
      <c r="HB85" s="23"/>
      <c r="HC85" s="23"/>
      <c r="HD85" s="23"/>
      <c r="HE85" s="53"/>
      <c r="HF85" s="53"/>
    </row>
    <row r="86" spans="1:214" hidden="1" outlineLevel="1" x14ac:dyDescent="0.25">
      <c r="CC86" s="50"/>
      <c r="CD86" s="50"/>
      <c r="CE86" s="50"/>
      <c r="CF86" s="50"/>
      <c r="CG86" s="50"/>
      <c r="CH86" s="50"/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  <c r="DE86" s="50"/>
      <c r="DF86" s="50"/>
      <c r="DG86" s="50"/>
      <c r="DH86" s="50"/>
      <c r="DI86" s="50"/>
      <c r="DJ86" s="50"/>
      <c r="DK86" s="50"/>
      <c r="DL86" s="50"/>
      <c r="DM86" s="50"/>
      <c r="DN86" s="50"/>
      <c r="DO86" s="50"/>
      <c r="DP86" s="50"/>
      <c r="DQ86" s="50"/>
      <c r="DR86" s="50"/>
      <c r="DS86" s="50"/>
      <c r="DT86" s="50"/>
      <c r="DU86" s="50"/>
      <c r="EI86" s="50"/>
      <c r="EJ86" s="50"/>
      <c r="EK86" s="50"/>
      <c r="EL86" s="50"/>
      <c r="ES86" s="50"/>
      <c r="ET86" s="50"/>
      <c r="FF86" s="50"/>
      <c r="FG86" s="50"/>
      <c r="FT86" s="50"/>
      <c r="FU86" s="25"/>
      <c r="FV86" s="25"/>
      <c r="FW86" s="25"/>
      <c r="FX86" s="25"/>
      <c r="FY86" s="25"/>
      <c r="FZ86" s="50"/>
      <c r="GA86" s="25"/>
      <c r="GC86" s="25"/>
      <c r="GE86" s="25"/>
      <c r="GM86" s="25"/>
      <c r="GN86" s="25"/>
      <c r="GO86" s="25"/>
      <c r="GP86" s="25"/>
      <c r="GQ86" s="25"/>
      <c r="GR86" s="25"/>
      <c r="GS86" s="25"/>
      <c r="GT86" s="25"/>
      <c r="GU86" s="25"/>
      <c r="GV86" s="25"/>
      <c r="GW86" s="25"/>
      <c r="GX86" s="25"/>
      <c r="GY86" s="25"/>
      <c r="GZ86" s="25"/>
      <c r="HA86" s="25"/>
      <c r="HB86" s="25"/>
      <c r="HC86" s="25"/>
      <c r="HD86" s="25"/>
    </row>
    <row r="87" spans="1:214" hidden="1" outlineLevel="1" x14ac:dyDescent="0.25">
      <c r="A87" s="1" t="s">
        <v>140</v>
      </c>
      <c r="B87" s="58">
        <v>23</v>
      </c>
      <c r="E87" s="1">
        <v>7</v>
      </c>
      <c r="F87" s="1" t="s">
        <v>190</v>
      </c>
      <c r="G87" s="1" t="s">
        <v>191</v>
      </c>
      <c r="H87" s="84">
        <v>36306</v>
      </c>
      <c r="I87" s="1" t="s">
        <v>172</v>
      </c>
      <c r="J87" s="1" t="s">
        <v>94</v>
      </c>
      <c r="K87" s="58" t="s">
        <v>192</v>
      </c>
      <c r="L87" s="1" t="s">
        <v>95</v>
      </c>
      <c r="Q87" s="22">
        <v>2482</v>
      </c>
      <c r="S87" s="22">
        <f>+Q87</f>
        <v>2482</v>
      </c>
      <c r="T87" s="63" t="s">
        <v>193</v>
      </c>
      <c r="BD87" s="63">
        <f>MAX(V87:AZ87)</f>
        <v>0</v>
      </c>
      <c r="CC87" s="50"/>
      <c r="CD87" s="50"/>
      <c r="CE87" s="50"/>
      <c r="CF87" s="50"/>
      <c r="CG87" s="50"/>
      <c r="CH87" s="50"/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  <c r="DF87" s="50"/>
      <c r="DG87" s="50"/>
      <c r="DH87" s="50"/>
      <c r="DI87" s="50"/>
      <c r="DJ87" s="50"/>
      <c r="DK87" s="50"/>
      <c r="DL87" s="50"/>
      <c r="DM87" s="50"/>
      <c r="DN87" s="50"/>
      <c r="DO87" s="50"/>
      <c r="DP87" s="50"/>
      <c r="DQ87" s="50"/>
      <c r="DR87" s="50"/>
      <c r="DS87" s="50"/>
      <c r="DT87" s="50"/>
      <c r="DU87" s="50"/>
      <c r="EI87" s="50"/>
      <c r="EJ87" s="50"/>
      <c r="EK87" s="50"/>
      <c r="EL87" s="50"/>
      <c r="ES87" s="50"/>
      <c r="ET87" s="50"/>
      <c r="FF87" s="50"/>
      <c r="FG87" s="50"/>
      <c r="FT87" s="50"/>
      <c r="FU87" s="23"/>
      <c r="FV87" s="23"/>
      <c r="FW87" s="23"/>
      <c r="FX87" s="23"/>
      <c r="FY87" s="23"/>
      <c r="FZ87" s="50"/>
      <c r="GA87" s="23"/>
      <c r="GC87" s="23"/>
      <c r="GE87" s="23"/>
      <c r="GM87" s="23"/>
      <c r="GN87" s="23"/>
      <c r="GO87" s="23"/>
      <c r="GP87" s="23"/>
      <c r="GQ87" s="23"/>
      <c r="GR87" s="23"/>
      <c r="GS87" s="23"/>
      <c r="GT87" s="23"/>
      <c r="GU87" s="23"/>
      <c r="GV87" s="23"/>
      <c r="GW87" s="23"/>
      <c r="GX87" s="23"/>
      <c r="GY87" s="23"/>
      <c r="GZ87" s="23"/>
      <c r="HA87" s="23"/>
      <c r="HB87" s="23"/>
      <c r="HC87" s="23"/>
      <c r="HD87" s="23"/>
    </row>
    <row r="88" spans="1:214" hidden="1" outlineLevel="1" x14ac:dyDescent="0.25">
      <c r="A88" s="1" t="s">
        <v>140</v>
      </c>
      <c r="B88" s="58">
        <v>23</v>
      </c>
      <c r="E88" s="1">
        <v>7</v>
      </c>
      <c r="F88" s="1" t="s">
        <v>190</v>
      </c>
      <c r="G88" s="1" t="s">
        <v>191</v>
      </c>
      <c r="H88" s="84">
        <v>36306</v>
      </c>
      <c r="I88" s="1" t="s">
        <v>172</v>
      </c>
      <c r="J88" s="1" t="s">
        <v>94</v>
      </c>
      <c r="K88" s="58" t="s">
        <v>194</v>
      </c>
      <c r="L88" s="1" t="s">
        <v>95</v>
      </c>
      <c r="Q88" s="22">
        <v>768</v>
      </c>
      <c r="S88" s="22">
        <f>+Q88</f>
        <v>768</v>
      </c>
      <c r="T88" s="63" t="s">
        <v>195</v>
      </c>
      <c r="BD88" s="63">
        <f>MAX(V88:AZ88)</f>
        <v>0</v>
      </c>
      <c r="FU88" s="23"/>
      <c r="FV88" s="23"/>
      <c r="FW88" s="23"/>
      <c r="FX88" s="23"/>
      <c r="FY88" s="23"/>
      <c r="GA88" s="23"/>
      <c r="GB88" s="14"/>
      <c r="GC88" s="23"/>
      <c r="GD88" s="14"/>
      <c r="GE88" s="23"/>
      <c r="GF88" s="14"/>
      <c r="GM88" s="23"/>
      <c r="GN88" s="23"/>
      <c r="GO88" s="23"/>
      <c r="GP88" s="23"/>
      <c r="GQ88" s="23"/>
      <c r="GR88" s="23"/>
      <c r="GS88" s="23"/>
      <c r="GT88" s="23"/>
      <c r="GU88" s="23"/>
      <c r="GV88" s="23"/>
      <c r="GW88" s="23"/>
      <c r="GX88" s="23"/>
      <c r="GY88" s="23"/>
      <c r="GZ88" s="23"/>
      <c r="HA88" s="23"/>
      <c r="HB88" s="23"/>
      <c r="HC88" s="23"/>
      <c r="HD88" s="23"/>
    </row>
    <row r="89" spans="1:214" hidden="1" outlineLevel="1" x14ac:dyDescent="0.25">
      <c r="A89" s="1" t="s">
        <v>196</v>
      </c>
      <c r="B89" s="58">
        <v>33</v>
      </c>
      <c r="E89" s="1">
        <v>7</v>
      </c>
      <c r="F89" s="1" t="s">
        <v>190</v>
      </c>
      <c r="G89" s="1" t="s">
        <v>191</v>
      </c>
      <c r="H89" s="84">
        <v>36306</v>
      </c>
      <c r="I89" s="1" t="s">
        <v>172</v>
      </c>
      <c r="J89" s="1" t="s">
        <v>94</v>
      </c>
      <c r="K89" s="58" t="s">
        <v>197</v>
      </c>
      <c r="L89" s="1" t="s">
        <v>95</v>
      </c>
      <c r="Q89" s="22">
        <v>636</v>
      </c>
      <c r="S89" s="22">
        <f>+Q89</f>
        <v>636</v>
      </c>
      <c r="T89" s="63" t="s">
        <v>195</v>
      </c>
      <c r="BD89" s="63">
        <f>MAX(V89:AZ89)</f>
        <v>0</v>
      </c>
      <c r="FU89" s="108"/>
      <c r="FV89" s="108"/>
      <c r="FW89" s="108"/>
      <c r="FX89" s="108"/>
      <c r="FY89" s="108"/>
      <c r="GA89" s="108"/>
      <c r="GC89" s="108"/>
      <c r="GE89" s="108"/>
      <c r="GM89" s="108"/>
      <c r="GN89" s="108"/>
      <c r="GO89" s="108"/>
      <c r="GP89" s="108"/>
      <c r="GQ89" s="108"/>
      <c r="GR89" s="108"/>
      <c r="GS89" s="108"/>
      <c r="GT89" s="108"/>
      <c r="GU89" s="108"/>
      <c r="GV89" s="108"/>
      <c r="GW89" s="108"/>
      <c r="GX89" s="108"/>
      <c r="GY89" s="108"/>
      <c r="GZ89" s="108"/>
      <c r="HA89" s="108"/>
      <c r="HB89" s="108"/>
      <c r="HC89" s="108"/>
      <c r="HD89" s="108"/>
    </row>
    <row r="90" spans="1:214" hidden="1" outlineLevel="1" x14ac:dyDescent="0.25">
      <c r="A90" s="1" t="s">
        <v>144</v>
      </c>
      <c r="B90" s="58">
        <v>80</v>
      </c>
      <c r="E90" s="1">
        <v>7</v>
      </c>
      <c r="F90" s="1" t="s">
        <v>190</v>
      </c>
      <c r="G90" s="1" t="s">
        <v>191</v>
      </c>
      <c r="H90" s="84">
        <v>36306</v>
      </c>
      <c r="I90" s="1" t="s">
        <v>172</v>
      </c>
      <c r="J90" s="1" t="s">
        <v>94</v>
      </c>
      <c r="K90" s="58" t="s">
        <v>198</v>
      </c>
      <c r="L90" s="1" t="s">
        <v>95</v>
      </c>
      <c r="Q90" s="22">
        <v>1077</v>
      </c>
      <c r="S90" s="22">
        <f>+Q90</f>
        <v>1077</v>
      </c>
      <c r="T90" s="63" t="s">
        <v>195</v>
      </c>
      <c r="BD90" s="63">
        <f>MAX(V90:AZ90)</f>
        <v>0</v>
      </c>
      <c r="GM90" s="1">
        <v>191</v>
      </c>
      <c r="GR90" s="1" t="s">
        <v>251</v>
      </c>
      <c r="GT90" s="1" t="s">
        <v>251</v>
      </c>
    </row>
    <row r="91" spans="1:214" hidden="1" outlineLevel="1" x14ac:dyDescent="0.25">
      <c r="A91" s="1" t="s">
        <v>140</v>
      </c>
      <c r="B91" s="58">
        <v>23</v>
      </c>
      <c r="E91" s="1">
        <v>7</v>
      </c>
      <c r="F91" s="1" t="s">
        <v>190</v>
      </c>
      <c r="G91" s="1" t="s">
        <v>191</v>
      </c>
      <c r="H91" s="84">
        <v>36306</v>
      </c>
      <c r="I91" s="1" t="s">
        <v>172</v>
      </c>
      <c r="J91" s="1" t="s">
        <v>94</v>
      </c>
      <c r="K91" s="58" t="s">
        <v>199</v>
      </c>
      <c r="L91" s="1" t="s">
        <v>95</v>
      </c>
      <c r="Q91" s="22">
        <v>0</v>
      </c>
      <c r="S91" s="22">
        <f>+Q91</f>
        <v>0</v>
      </c>
      <c r="T91" s="63" t="s">
        <v>195</v>
      </c>
      <c r="BD91" s="63">
        <f>MAX(V91:AZ91)</f>
        <v>0</v>
      </c>
    </row>
    <row r="92" spans="1:214" hidden="1" outlineLevel="1" x14ac:dyDescent="0.25">
      <c r="H92" s="128"/>
      <c r="BP92" s="118"/>
      <c r="FU92" s="14">
        <f>FU3-SUM(FU8:FU90)</f>
        <v>0</v>
      </c>
      <c r="FV92" s="14"/>
      <c r="FW92" s="14">
        <f>FW3-SUM(FW8:FW90)</f>
        <v>0</v>
      </c>
      <c r="FX92" s="14"/>
      <c r="FY92" s="14">
        <f>FY3-SUM(FY8:FY90)</f>
        <v>0</v>
      </c>
      <c r="GA92" s="14">
        <f>GA3-SUM(GA8:GA90)</f>
        <v>0</v>
      </c>
      <c r="GC92" s="14">
        <f>GC3-SUM(GC8:GC90)</f>
        <v>0</v>
      </c>
      <c r="GE92" s="14">
        <f>GE3-SUM(GE8:GE90)</f>
        <v>0</v>
      </c>
      <c r="GM92" s="14">
        <f>GM3-SUM(GM8:GM90)</f>
        <v>-191</v>
      </c>
      <c r="GN92" s="14"/>
      <c r="GO92" s="14">
        <f>GO3-SUM(GO8:GO90)</f>
        <v>0</v>
      </c>
      <c r="GP92" s="14"/>
      <c r="GQ92" s="14">
        <f>GQ3-SUM(GQ8:GQ90)</f>
        <v>0</v>
      </c>
      <c r="GR92" s="14"/>
      <c r="GS92" s="14">
        <f>GS3-SUM(GS8:GS90)</f>
        <v>0</v>
      </c>
      <c r="GT92" s="14"/>
      <c r="GU92" s="14">
        <f>GU3-SUM(GU8:GU90)</f>
        <v>0</v>
      </c>
      <c r="GV92" s="14"/>
      <c r="GW92" s="14">
        <f>GW3-SUM(GW8:GW90)</f>
        <v>0</v>
      </c>
      <c r="GX92" s="14"/>
      <c r="GY92" s="14">
        <f>GY3-SUM(GY8:GY90)</f>
        <v>0</v>
      </c>
      <c r="GZ92" s="14"/>
      <c r="HA92" s="14">
        <f>HA3-SUM(HA8:HA90)</f>
        <v>0</v>
      </c>
      <c r="HB92" s="14"/>
      <c r="HC92" s="14">
        <f>HC3-SUM(HC8:HC90)</f>
        <v>0</v>
      </c>
      <c r="HD92" s="14"/>
    </row>
    <row r="93" spans="1:214" s="50" customFormat="1" hidden="1" outlineLevel="1" x14ac:dyDescent="0.25">
      <c r="A93" s="50" t="s">
        <v>107</v>
      </c>
      <c r="B93" s="51">
        <v>22</v>
      </c>
      <c r="D93" s="33"/>
      <c r="E93" s="50">
        <v>3</v>
      </c>
      <c r="F93" s="50" t="s">
        <v>200</v>
      </c>
      <c r="G93" s="50" t="s">
        <v>108</v>
      </c>
      <c r="H93" s="52">
        <v>36306</v>
      </c>
      <c r="I93" s="50" t="s">
        <v>93</v>
      </c>
      <c r="J93" s="50" t="s">
        <v>94</v>
      </c>
      <c r="K93" s="51">
        <v>38011</v>
      </c>
      <c r="L93" s="50" t="s">
        <v>95</v>
      </c>
      <c r="N93" s="50" t="s">
        <v>201</v>
      </c>
      <c r="Q93" s="53">
        <v>8527</v>
      </c>
      <c r="R93" s="53"/>
      <c r="S93" s="53">
        <f>+Q93</f>
        <v>8527</v>
      </c>
      <c r="T93" s="54" t="s">
        <v>202</v>
      </c>
      <c r="U93" s="54"/>
      <c r="V93" s="129"/>
      <c r="W93" s="54">
        <f t="shared" ref="W93:AX93" si="134">V93</f>
        <v>0</v>
      </c>
      <c r="X93" s="54">
        <f t="shared" si="134"/>
        <v>0</v>
      </c>
      <c r="Y93" s="54">
        <f t="shared" si="134"/>
        <v>0</v>
      </c>
      <c r="Z93" s="54">
        <f t="shared" si="134"/>
        <v>0</v>
      </c>
      <c r="AA93" s="54">
        <f t="shared" si="134"/>
        <v>0</v>
      </c>
      <c r="AB93" s="54">
        <f t="shared" si="134"/>
        <v>0</v>
      </c>
      <c r="AC93" s="54">
        <f t="shared" si="134"/>
        <v>0</v>
      </c>
      <c r="AD93" s="54">
        <f t="shared" si="134"/>
        <v>0</v>
      </c>
      <c r="AE93" s="54">
        <f t="shared" si="134"/>
        <v>0</v>
      </c>
      <c r="AF93" s="54">
        <f t="shared" si="134"/>
        <v>0</v>
      </c>
      <c r="AG93" s="54">
        <f t="shared" si="134"/>
        <v>0</v>
      </c>
      <c r="AH93" s="54">
        <f t="shared" si="134"/>
        <v>0</v>
      </c>
      <c r="AI93" s="54">
        <f t="shared" si="134"/>
        <v>0</v>
      </c>
      <c r="AJ93" s="54">
        <f t="shared" si="134"/>
        <v>0</v>
      </c>
      <c r="AK93" s="54">
        <f t="shared" si="134"/>
        <v>0</v>
      </c>
      <c r="AL93" s="54">
        <f t="shared" si="134"/>
        <v>0</v>
      </c>
      <c r="AM93" s="54">
        <f t="shared" si="134"/>
        <v>0</v>
      </c>
      <c r="AN93" s="54">
        <f t="shared" si="134"/>
        <v>0</v>
      </c>
      <c r="AO93" s="54">
        <f t="shared" si="134"/>
        <v>0</v>
      </c>
      <c r="AP93" s="54">
        <f t="shared" si="134"/>
        <v>0</v>
      </c>
      <c r="AQ93" s="54">
        <f t="shared" si="134"/>
        <v>0</v>
      </c>
      <c r="AR93" s="54">
        <f t="shared" si="134"/>
        <v>0</v>
      </c>
      <c r="AS93" s="54">
        <f t="shared" si="134"/>
        <v>0</v>
      </c>
      <c r="AT93" s="54">
        <f t="shared" si="134"/>
        <v>0</v>
      </c>
      <c r="AU93" s="54">
        <f t="shared" si="134"/>
        <v>0</v>
      </c>
      <c r="AV93" s="54">
        <f t="shared" si="134"/>
        <v>0</v>
      </c>
      <c r="AW93" s="54">
        <f t="shared" si="134"/>
        <v>0</v>
      </c>
      <c r="AX93" s="54">
        <f t="shared" si="134"/>
        <v>0</v>
      </c>
      <c r="AY93" s="54">
        <f>AX93</f>
        <v>0</v>
      </c>
      <c r="AZ93" s="54"/>
      <c r="BA93" s="54"/>
      <c r="BB93" s="54">
        <f>SUM(V93:AZ93)</f>
        <v>0</v>
      </c>
      <c r="BC93" s="55">
        <f>+BB93/31</f>
        <v>0</v>
      </c>
      <c r="BD93" s="55">
        <f>MAX(V93:AZ93)</f>
        <v>0</v>
      </c>
      <c r="BE93" s="54"/>
      <c r="BF93" s="53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EI93" s="1"/>
      <c r="EJ93" s="1"/>
      <c r="EK93" s="1"/>
      <c r="EL93" s="1"/>
      <c r="ES93" s="1"/>
      <c r="ET93" s="1"/>
      <c r="EU93" s="1"/>
      <c r="EV93" s="65"/>
      <c r="EW93" s="1"/>
      <c r="EX93" s="1"/>
      <c r="EY93" s="1"/>
      <c r="EZ93" s="1"/>
      <c r="FA93" s="1"/>
      <c r="FB93" s="65"/>
      <c r="FC93" s="1"/>
      <c r="FD93" s="1"/>
      <c r="FE93" s="1"/>
      <c r="FF93" s="1"/>
      <c r="FG93" s="1"/>
      <c r="FH93" s="1"/>
      <c r="FT93" s="1"/>
      <c r="FU93" s="1">
        <f>+FU3-FU92</f>
        <v>2048</v>
      </c>
      <c r="FV93" s="1"/>
      <c r="FW93" s="1">
        <f>+FW3-FW92</f>
        <v>2048</v>
      </c>
      <c r="FX93" s="1"/>
      <c r="FY93" s="1">
        <f>+FY3-FY92</f>
        <v>2048</v>
      </c>
      <c r="FZ93" s="1"/>
      <c r="GA93" s="1">
        <f>+GA3-GA92</f>
        <v>1</v>
      </c>
      <c r="GB93" s="1"/>
      <c r="GC93" s="1">
        <f>+GC3-GC92</f>
        <v>1</v>
      </c>
      <c r="GD93" s="1"/>
      <c r="GE93" s="1">
        <f>+GE3-GE92</f>
        <v>11</v>
      </c>
      <c r="GF93" s="1"/>
      <c r="GG93" s="1"/>
      <c r="GH93" s="1"/>
      <c r="GI93" s="1"/>
      <c r="GJ93" s="1"/>
      <c r="GK93" s="1"/>
      <c r="GL93" s="1"/>
      <c r="GM93" s="1">
        <f>+GM3-GM92</f>
        <v>4209</v>
      </c>
      <c r="GN93" s="1"/>
      <c r="GO93" s="1">
        <f>+GO3-GO92</f>
        <v>38</v>
      </c>
      <c r="GP93" s="1"/>
      <c r="GQ93" s="1">
        <f>+GQ3-GQ92</f>
        <v>8905</v>
      </c>
      <c r="GR93" s="1"/>
      <c r="GS93" s="1">
        <f>+GS3-GS92</f>
        <v>113</v>
      </c>
      <c r="GT93" s="1"/>
      <c r="GU93" s="1">
        <f>+GU3-GU92</f>
        <v>128</v>
      </c>
      <c r="GV93" s="1"/>
      <c r="GW93" s="1">
        <f>+GW3-GW92</f>
        <v>36</v>
      </c>
      <c r="GX93" s="1"/>
      <c r="GY93" s="1">
        <f>+GY3-GY92</f>
        <v>13</v>
      </c>
      <c r="GZ93" s="1"/>
      <c r="HA93" s="1">
        <f>+HA3-HA92</f>
        <v>63</v>
      </c>
      <c r="HB93" s="1"/>
      <c r="HC93" s="1">
        <f>+HC3-HC92</f>
        <v>14</v>
      </c>
      <c r="HD93" s="1"/>
      <c r="HE93" s="53">
        <f>Q93-SUM(BG93:BR93)</f>
        <v>8527</v>
      </c>
      <c r="HF93" s="53"/>
    </row>
    <row r="94" spans="1:214" s="50" customFormat="1" hidden="1" outlineLevel="1" x14ac:dyDescent="0.25">
      <c r="A94" s="50" t="s">
        <v>107</v>
      </c>
      <c r="B94" s="51">
        <v>22</v>
      </c>
      <c r="D94" s="33"/>
      <c r="E94" s="50">
        <v>3</v>
      </c>
      <c r="F94" s="50" t="s">
        <v>200</v>
      </c>
      <c r="G94" s="50" t="s">
        <v>108</v>
      </c>
      <c r="H94" s="52">
        <v>36306</v>
      </c>
      <c r="I94" s="50" t="s">
        <v>93</v>
      </c>
      <c r="J94" s="50" t="s">
        <v>94</v>
      </c>
      <c r="K94" s="51">
        <v>51875</v>
      </c>
      <c r="L94" s="50" t="s">
        <v>95</v>
      </c>
      <c r="N94" s="50" t="s">
        <v>201</v>
      </c>
      <c r="Q94" s="53">
        <v>3473</v>
      </c>
      <c r="R94" s="53"/>
      <c r="S94" s="53">
        <f>+Q94</f>
        <v>3473</v>
      </c>
      <c r="T94" s="54" t="s">
        <v>202</v>
      </c>
      <c r="U94" s="54"/>
      <c r="V94" s="129"/>
      <c r="W94" s="54">
        <f t="shared" ref="W94:AW94" si="135">V94</f>
        <v>0</v>
      </c>
      <c r="X94" s="54">
        <f t="shared" si="135"/>
        <v>0</v>
      </c>
      <c r="Y94" s="54">
        <f t="shared" si="135"/>
        <v>0</v>
      </c>
      <c r="Z94" s="54">
        <f t="shared" si="135"/>
        <v>0</v>
      </c>
      <c r="AA94" s="54">
        <f t="shared" si="135"/>
        <v>0</v>
      </c>
      <c r="AB94" s="54">
        <f t="shared" si="135"/>
        <v>0</v>
      </c>
      <c r="AC94" s="54">
        <f t="shared" si="135"/>
        <v>0</v>
      </c>
      <c r="AD94" s="54">
        <f t="shared" si="135"/>
        <v>0</v>
      </c>
      <c r="AE94" s="54">
        <f t="shared" si="135"/>
        <v>0</v>
      </c>
      <c r="AF94" s="54">
        <f t="shared" si="135"/>
        <v>0</v>
      </c>
      <c r="AG94" s="54">
        <f t="shared" si="135"/>
        <v>0</v>
      </c>
      <c r="AH94" s="54">
        <f t="shared" si="135"/>
        <v>0</v>
      </c>
      <c r="AI94" s="54">
        <f t="shared" si="135"/>
        <v>0</v>
      </c>
      <c r="AJ94" s="54">
        <f t="shared" si="135"/>
        <v>0</v>
      </c>
      <c r="AK94" s="54">
        <f t="shared" si="135"/>
        <v>0</v>
      </c>
      <c r="AL94" s="54">
        <f t="shared" si="135"/>
        <v>0</v>
      </c>
      <c r="AM94" s="54">
        <f t="shared" si="135"/>
        <v>0</v>
      </c>
      <c r="AN94" s="54">
        <f t="shared" si="135"/>
        <v>0</v>
      </c>
      <c r="AO94" s="54">
        <f t="shared" si="135"/>
        <v>0</v>
      </c>
      <c r="AP94" s="54">
        <f t="shared" si="135"/>
        <v>0</v>
      </c>
      <c r="AQ94" s="54">
        <f t="shared" si="135"/>
        <v>0</v>
      </c>
      <c r="AR94" s="54">
        <f t="shared" si="135"/>
        <v>0</v>
      </c>
      <c r="AS94" s="54">
        <f t="shared" si="135"/>
        <v>0</v>
      </c>
      <c r="AT94" s="54">
        <f t="shared" si="135"/>
        <v>0</v>
      </c>
      <c r="AU94" s="54">
        <f t="shared" si="135"/>
        <v>0</v>
      </c>
      <c r="AV94" s="54">
        <f t="shared" si="135"/>
        <v>0</v>
      </c>
      <c r="AW94" s="54">
        <f t="shared" si="135"/>
        <v>0</v>
      </c>
      <c r="AX94" s="54">
        <f>AW94</f>
        <v>0</v>
      </c>
      <c r="AY94" s="54">
        <f>AX94</f>
        <v>0</v>
      </c>
      <c r="AZ94" s="54"/>
      <c r="BA94" s="54"/>
      <c r="BB94" s="54">
        <f>SUM(V94:AZ94)</f>
        <v>0</v>
      </c>
      <c r="BC94" s="55">
        <f>+BB94/31</f>
        <v>0</v>
      </c>
      <c r="BD94" s="55">
        <f>MAX(V94:AZ94)</f>
        <v>0</v>
      </c>
      <c r="BE94" s="54"/>
      <c r="BF94" s="53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EI94" s="1"/>
      <c r="EJ94" s="1"/>
      <c r="EK94" s="1"/>
      <c r="EL94" s="1"/>
      <c r="ES94" s="1"/>
      <c r="ET94" s="1"/>
      <c r="EU94" s="14"/>
      <c r="EV94" s="19"/>
      <c r="EW94" s="14"/>
      <c r="EX94" s="14"/>
      <c r="EY94" s="14"/>
      <c r="EZ94" s="14"/>
      <c r="FA94" s="14"/>
      <c r="FB94" s="19"/>
      <c r="FC94" s="14"/>
      <c r="FD94" s="14"/>
      <c r="FE94" s="14"/>
      <c r="FF94" s="1"/>
      <c r="FG94" s="1"/>
      <c r="FH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4"/>
      <c r="GH94" s="14"/>
      <c r="GI94" s="14"/>
      <c r="GJ94" s="14"/>
      <c r="GK94" s="14"/>
      <c r="GL94" s="14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53">
        <f>Q94-SUM(BG94:BR94)</f>
        <v>3473</v>
      </c>
      <c r="HF94" s="53"/>
    </row>
    <row r="95" spans="1:214" s="50" customFormat="1" hidden="1" outlineLevel="1" x14ac:dyDescent="0.25">
      <c r="A95" s="50" t="s">
        <v>107</v>
      </c>
      <c r="B95" s="51">
        <v>22</v>
      </c>
      <c r="D95" s="33"/>
      <c r="E95" s="50">
        <v>3</v>
      </c>
      <c r="F95" s="50" t="s">
        <v>200</v>
      </c>
      <c r="G95" s="50" t="s">
        <v>108</v>
      </c>
      <c r="H95" s="52">
        <v>36306</v>
      </c>
      <c r="I95" s="50" t="s">
        <v>93</v>
      </c>
      <c r="J95" s="50" t="s">
        <v>94</v>
      </c>
      <c r="K95" s="51">
        <v>60599</v>
      </c>
      <c r="L95" s="50" t="s">
        <v>95</v>
      </c>
      <c r="N95" s="50" t="s">
        <v>201</v>
      </c>
      <c r="Q95" s="53">
        <v>2081</v>
      </c>
      <c r="R95" s="53"/>
      <c r="S95" s="53">
        <f>+Q95</f>
        <v>2081</v>
      </c>
      <c r="T95" s="54" t="s">
        <v>202</v>
      </c>
      <c r="U95" s="54"/>
      <c r="V95" s="129"/>
      <c r="W95" s="54">
        <f t="shared" ref="W95:AY95" si="136">V95</f>
        <v>0</v>
      </c>
      <c r="X95" s="54">
        <f t="shared" si="136"/>
        <v>0</v>
      </c>
      <c r="Y95" s="54">
        <f t="shared" si="136"/>
        <v>0</v>
      </c>
      <c r="Z95" s="54">
        <f t="shared" si="136"/>
        <v>0</v>
      </c>
      <c r="AA95" s="54">
        <f t="shared" si="136"/>
        <v>0</v>
      </c>
      <c r="AB95" s="54">
        <f t="shared" si="136"/>
        <v>0</v>
      </c>
      <c r="AC95" s="54">
        <f t="shared" si="136"/>
        <v>0</v>
      </c>
      <c r="AD95" s="54">
        <f t="shared" si="136"/>
        <v>0</v>
      </c>
      <c r="AE95" s="54">
        <f t="shared" si="136"/>
        <v>0</v>
      </c>
      <c r="AF95" s="54">
        <f t="shared" si="136"/>
        <v>0</v>
      </c>
      <c r="AG95" s="54">
        <f t="shared" si="136"/>
        <v>0</v>
      </c>
      <c r="AH95" s="54">
        <f t="shared" si="136"/>
        <v>0</v>
      </c>
      <c r="AI95" s="54">
        <f t="shared" si="136"/>
        <v>0</v>
      </c>
      <c r="AJ95" s="54">
        <f t="shared" si="136"/>
        <v>0</v>
      </c>
      <c r="AK95" s="54">
        <f t="shared" si="136"/>
        <v>0</v>
      </c>
      <c r="AL95" s="54">
        <f t="shared" si="136"/>
        <v>0</v>
      </c>
      <c r="AM95" s="54">
        <f t="shared" si="136"/>
        <v>0</v>
      </c>
      <c r="AN95" s="54">
        <f t="shared" si="136"/>
        <v>0</v>
      </c>
      <c r="AO95" s="54">
        <f t="shared" si="136"/>
        <v>0</v>
      </c>
      <c r="AP95" s="54">
        <f t="shared" si="136"/>
        <v>0</v>
      </c>
      <c r="AQ95" s="54">
        <f t="shared" si="136"/>
        <v>0</v>
      </c>
      <c r="AR95" s="54">
        <f t="shared" si="136"/>
        <v>0</v>
      </c>
      <c r="AS95" s="54">
        <f t="shared" si="136"/>
        <v>0</v>
      </c>
      <c r="AT95" s="54">
        <f t="shared" si="136"/>
        <v>0</v>
      </c>
      <c r="AU95" s="54">
        <f t="shared" si="136"/>
        <v>0</v>
      </c>
      <c r="AV95" s="54">
        <f t="shared" si="136"/>
        <v>0</v>
      </c>
      <c r="AW95" s="54">
        <f t="shared" si="136"/>
        <v>0</v>
      </c>
      <c r="AX95" s="54">
        <f t="shared" si="136"/>
        <v>0</v>
      </c>
      <c r="AY95" s="54">
        <f t="shared" si="136"/>
        <v>0</v>
      </c>
      <c r="AZ95" s="54"/>
      <c r="BA95" s="54"/>
      <c r="BB95" s="54">
        <f>SUM(V95:AZ95)</f>
        <v>0</v>
      </c>
      <c r="BC95" s="55">
        <f>+BB95/31</f>
        <v>0</v>
      </c>
      <c r="BD95" s="55">
        <f>MAX(V95:AZ95)</f>
        <v>0</v>
      </c>
      <c r="BE95" s="54"/>
      <c r="BF95" s="53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EI95" s="1"/>
      <c r="EJ95" s="1"/>
      <c r="EK95" s="1"/>
      <c r="EL95" s="1"/>
      <c r="ES95" s="1"/>
      <c r="ET95" s="1"/>
      <c r="EU95" s="1"/>
      <c r="EV95" s="65"/>
      <c r="EW95" s="1"/>
      <c r="EX95" s="1"/>
      <c r="EY95" s="1"/>
      <c r="EZ95" s="1"/>
      <c r="FA95" s="1"/>
      <c r="FB95" s="65"/>
      <c r="FC95" s="1"/>
      <c r="FD95" s="1"/>
      <c r="FE95" s="1"/>
      <c r="FF95" s="1"/>
      <c r="FG95" s="1"/>
      <c r="FH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82">
        <f>SUM(GO93:GU93)</f>
        <v>9184</v>
      </c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53">
        <f>Q95-SUM(BG95:BR95)</f>
        <v>2081</v>
      </c>
      <c r="HF95" s="53"/>
    </row>
    <row r="96" spans="1:214" s="50" customFormat="1" hidden="1" outlineLevel="1" x14ac:dyDescent="0.25">
      <c r="A96" s="50" t="s">
        <v>107</v>
      </c>
      <c r="B96" s="51">
        <v>22</v>
      </c>
      <c r="D96" s="33"/>
      <c r="E96" s="50">
        <v>3</v>
      </c>
      <c r="F96" s="50" t="s">
        <v>200</v>
      </c>
      <c r="G96" s="50" t="s">
        <v>108</v>
      </c>
      <c r="H96" s="52">
        <v>36306</v>
      </c>
      <c r="I96" s="50" t="s">
        <v>93</v>
      </c>
      <c r="J96" s="50" t="s">
        <v>94</v>
      </c>
      <c r="K96" s="51">
        <v>63895</v>
      </c>
      <c r="L96" s="50" t="s">
        <v>95</v>
      </c>
      <c r="N96" s="50" t="s">
        <v>201</v>
      </c>
      <c r="Q96" s="53">
        <v>0</v>
      </c>
      <c r="R96" s="53"/>
      <c r="S96" s="53">
        <f>+Q96</f>
        <v>0</v>
      </c>
      <c r="T96" s="54" t="s">
        <v>202</v>
      </c>
      <c r="U96" s="54"/>
      <c r="V96" s="129"/>
      <c r="W96" s="54">
        <f t="shared" ref="W96:AW96" si="137">V96</f>
        <v>0</v>
      </c>
      <c r="X96" s="54">
        <f t="shared" si="137"/>
        <v>0</v>
      </c>
      <c r="Y96" s="54">
        <f t="shared" si="137"/>
        <v>0</v>
      </c>
      <c r="Z96" s="54">
        <f t="shared" si="137"/>
        <v>0</v>
      </c>
      <c r="AA96" s="54">
        <f t="shared" si="137"/>
        <v>0</v>
      </c>
      <c r="AB96" s="54">
        <f t="shared" si="137"/>
        <v>0</v>
      </c>
      <c r="AC96" s="54">
        <f t="shared" si="137"/>
        <v>0</v>
      </c>
      <c r="AD96" s="54">
        <f t="shared" si="137"/>
        <v>0</v>
      </c>
      <c r="AE96" s="54">
        <f t="shared" si="137"/>
        <v>0</v>
      </c>
      <c r="AF96" s="54">
        <f t="shared" si="137"/>
        <v>0</v>
      </c>
      <c r="AG96" s="54">
        <f t="shared" si="137"/>
        <v>0</v>
      </c>
      <c r="AH96" s="54">
        <f t="shared" si="137"/>
        <v>0</v>
      </c>
      <c r="AI96" s="54">
        <f t="shared" si="137"/>
        <v>0</v>
      </c>
      <c r="AJ96" s="54">
        <f t="shared" si="137"/>
        <v>0</v>
      </c>
      <c r="AK96" s="54">
        <f t="shared" si="137"/>
        <v>0</v>
      </c>
      <c r="AL96" s="54">
        <f t="shared" si="137"/>
        <v>0</v>
      </c>
      <c r="AM96" s="54">
        <f t="shared" si="137"/>
        <v>0</v>
      </c>
      <c r="AN96" s="54">
        <f t="shared" si="137"/>
        <v>0</v>
      </c>
      <c r="AO96" s="54">
        <f t="shared" si="137"/>
        <v>0</v>
      </c>
      <c r="AP96" s="54">
        <f t="shared" si="137"/>
        <v>0</v>
      </c>
      <c r="AQ96" s="54">
        <f t="shared" si="137"/>
        <v>0</v>
      </c>
      <c r="AR96" s="54">
        <f t="shared" si="137"/>
        <v>0</v>
      </c>
      <c r="AS96" s="54">
        <f t="shared" si="137"/>
        <v>0</v>
      </c>
      <c r="AT96" s="54">
        <f t="shared" si="137"/>
        <v>0</v>
      </c>
      <c r="AU96" s="54">
        <f t="shared" si="137"/>
        <v>0</v>
      </c>
      <c r="AV96" s="54">
        <f t="shared" si="137"/>
        <v>0</v>
      </c>
      <c r="AW96" s="54">
        <f t="shared" si="137"/>
        <v>0</v>
      </c>
      <c r="AX96" s="54">
        <f>AW96</f>
        <v>0</v>
      </c>
      <c r="AY96" s="54">
        <f>AX96</f>
        <v>0</v>
      </c>
      <c r="AZ96" s="54"/>
      <c r="BA96" s="54"/>
      <c r="BB96" s="54">
        <f>SUM(V96:AZ96)</f>
        <v>0</v>
      </c>
      <c r="BC96" s="55">
        <f>+BB96/31</f>
        <v>0</v>
      </c>
      <c r="BD96" s="55">
        <f>MAX(V96:AZ96)</f>
        <v>0</v>
      </c>
      <c r="BE96" s="54"/>
      <c r="BF96" s="53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EI96" s="1"/>
      <c r="EJ96" s="1"/>
      <c r="EK96" s="1"/>
      <c r="EL96" s="1"/>
      <c r="ES96" s="1"/>
      <c r="ET96" s="1"/>
      <c r="EU96" s="1"/>
      <c r="EV96" s="65"/>
      <c r="EW96" s="1"/>
      <c r="EX96" s="1"/>
      <c r="EY96" s="1"/>
      <c r="EZ96" s="1"/>
      <c r="FA96" s="1"/>
      <c r="FB96" s="65"/>
      <c r="FC96" s="1"/>
      <c r="FD96" s="1"/>
      <c r="FE96" s="1"/>
      <c r="FF96" s="1"/>
      <c r="FG96" s="1"/>
      <c r="FH96" s="1"/>
      <c r="FT96" s="1"/>
      <c r="FU96" s="118"/>
      <c r="FV96" s="1"/>
      <c r="FW96" s="118"/>
      <c r="FX96" s="1"/>
      <c r="FY96" s="118"/>
      <c r="FZ96" s="1"/>
      <c r="GA96" s="118"/>
      <c r="GB96" s="118"/>
      <c r="GC96" s="118"/>
      <c r="GD96" s="118"/>
      <c r="GE96" s="118"/>
      <c r="GF96" s="118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53">
        <f>Q96-SUM(BG96:BR96)</f>
        <v>0</v>
      </c>
      <c r="HF96" s="53"/>
    </row>
    <row r="97" spans="1:212" s="50" customFormat="1" collapsed="1" x14ac:dyDescent="0.25">
      <c r="A97" s="50" t="s">
        <v>225</v>
      </c>
      <c r="B97" s="51">
        <v>24</v>
      </c>
      <c r="D97" s="33">
        <v>35</v>
      </c>
      <c r="E97" s="50">
        <v>8</v>
      </c>
      <c r="F97" s="50" t="s">
        <v>38</v>
      </c>
      <c r="G97" s="50" t="s">
        <v>108</v>
      </c>
      <c r="H97" s="130"/>
      <c r="K97" s="51">
        <v>64939</v>
      </c>
      <c r="L97" s="50" t="s">
        <v>95</v>
      </c>
      <c r="Q97" s="53">
        <v>1400</v>
      </c>
      <c r="R97" s="53"/>
      <c r="S97" s="53">
        <v>1400</v>
      </c>
      <c r="T97" s="54" t="s">
        <v>181</v>
      </c>
      <c r="U97" s="54"/>
      <c r="V97" s="57">
        <v>0</v>
      </c>
      <c r="W97" s="54">
        <f t="shared" ref="W97:AW97" si="138">V97</f>
        <v>0</v>
      </c>
      <c r="X97" s="54">
        <f t="shared" si="138"/>
        <v>0</v>
      </c>
      <c r="Y97" s="54">
        <f t="shared" si="138"/>
        <v>0</v>
      </c>
      <c r="Z97" s="54">
        <f t="shared" si="138"/>
        <v>0</v>
      </c>
      <c r="AA97" s="54">
        <f t="shared" si="138"/>
        <v>0</v>
      </c>
      <c r="AB97" s="54">
        <f t="shared" si="138"/>
        <v>0</v>
      </c>
      <c r="AC97" s="54">
        <f t="shared" si="138"/>
        <v>0</v>
      </c>
      <c r="AD97" s="54">
        <f t="shared" si="138"/>
        <v>0</v>
      </c>
      <c r="AE97" s="54">
        <f t="shared" si="138"/>
        <v>0</v>
      </c>
      <c r="AF97" s="54">
        <f t="shared" si="138"/>
        <v>0</v>
      </c>
      <c r="AG97" s="54">
        <f t="shared" si="138"/>
        <v>0</v>
      </c>
      <c r="AH97" s="54">
        <f t="shared" si="138"/>
        <v>0</v>
      </c>
      <c r="AI97" s="54">
        <f t="shared" si="138"/>
        <v>0</v>
      </c>
      <c r="AJ97" s="54">
        <f t="shared" si="138"/>
        <v>0</v>
      </c>
      <c r="AK97" s="54">
        <f t="shared" si="138"/>
        <v>0</v>
      </c>
      <c r="AL97" s="54">
        <f t="shared" si="138"/>
        <v>0</v>
      </c>
      <c r="AM97" s="54">
        <f t="shared" si="138"/>
        <v>0</v>
      </c>
      <c r="AN97" s="54">
        <f t="shared" si="138"/>
        <v>0</v>
      </c>
      <c r="AO97" s="54">
        <f t="shared" si="138"/>
        <v>0</v>
      </c>
      <c r="AP97" s="54">
        <f t="shared" si="138"/>
        <v>0</v>
      </c>
      <c r="AQ97" s="54">
        <f t="shared" si="138"/>
        <v>0</v>
      </c>
      <c r="AR97" s="54">
        <f t="shared" si="138"/>
        <v>0</v>
      </c>
      <c r="AS97" s="54">
        <f t="shared" si="138"/>
        <v>0</v>
      </c>
      <c r="AT97" s="54">
        <f t="shared" si="138"/>
        <v>0</v>
      </c>
      <c r="AU97" s="54">
        <f t="shared" si="138"/>
        <v>0</v>
      </c>
      <c r="AV97" s="54">
        <f t="shared" si="138"/>
        <v>0</v>
      </c>
      <c r="AW97" s="54">
        <f t="shared" si="138"/>
        <v>0</v>
      </c>
      <c r="AX97" s="54">
        <f>AW97</f>
        <v>0</v>
      </c>
      <c r="AY97" s="54">
        <f>AX97</f>
        <v>0</v>
      </c>
      <c r="AZ97" s="54"/>
      <c r="BA97" s="54"/>
      <c r="BB97" s="54">
        <f>SUM(V97:AZ97)</f>
        <v>0</v>
      </c>
      <c r="BC97" s="55">
        <f>+BB97/30</f>
        <v>0</v>
      </c>
      <c r="BD97" s="55">
        <f>MAX(V97:AZ97)</f>
        <v>0</v>
      </c>
      <c r="BE97" s="54"/>
      <c r="BF97" s="53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EI97" s="1"/>
      <c r="EJ97" s="1"/>
      <c r="EK97" s="1"/>
      <c r="EL97" s="1"/>
      <c r="ES97" s="1"/>
      <c r="ET97" s="1"/>
      <c r="EU97" s="22"/>
      <c r="EV97" s="65"/>
      <c r="EW97" s="22"/>
      <c r="EX97" s="1"/>
      <c r="EY97" s="22"/>
      <c r="EZ97" s="1"/>
      <c r="FA97" s="22"/>
      <c r="FB97" s="65"/>
      <c r="FC97" s="22"/>
      <c r="FD97" s="1"/>
      <c r="FE97" s="22"/>
      <c r="FF97" s="1"/>
      <c r="FG97" s="1"/>
      <c r="FH97" s="1"/>
      <c r="FT97" s="1"/>
      <c r="FU97" s="118"/>
      <c r="FV97" s="1"/>
      <c r="FW97" s="118"/>
      <c r="FX97" s="1"/>
      <c r="FY97" s="118"/>
      <c r="FZ97" s="1"/>
      <c r="GA97" s="118"/>
      <c r="GB97" s="118"/>
      <c r="GC97" s="118"/>
      <c r="GD97" s="118"/>
      <c r="GE97" s="118"/>
      <c r="GF97" s="118"/>
      <c r="GG97" s="22"/>
      <c r="GH97" s="1"/>
      <c r="GI97" s="22"/>
      <c r="GJ97" s="1"/>
      <c r="GK97" s="22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</row>
    <row r="98" spans="1:212" x14ac:dyDescent="0.25">
      <c r="I98" s="27"/>
      <c r="J98" s="27"/>
      <c r="Q98" s="131"/>
      <c r="R98" s="15"/>
      <c r="EU98" s="85"/>
      <c r="EV98" s="93"/>
      <c r="EW98" s="85"/>
      <c r="EX98" s="85"/>
      <c r="EY98" s="85"/>
      <c r="EZ98" s="85"/>
      <c r="FA98" s="85"/>
      <c r="FB98" s="93"/>
      <c r="FC98" s="85"/>
      <c r="FD98" s="85"/>
      <c r="FE98" s="85"/>
      <c r="GG98" s="85"/>
      <c r="GH98" s="85"/>
      <c r="GI98" s="85"/>
      <c r="GJ98" s="85"/>
      <c r="GK98" s="85"/>
      <c r="GL98" s="85"/>
    </row>
    <row r="99" spans="1:212" hidden="1" outlineLevel="1" x14ac:dyDescent="0.25">
      <c r="H99" s="132" t="s">
        <v>203</v>
      </c>
      <c r="I99" s="132" t="s">
        <v>203</v>
      </c>
      <c r="J99" s="132" t="s">
        <v>204</v>
      </c>
      <c r="K99" s="132" t="s">
        <v>204</v>
      </c>
      <c r="Q99" s="131"/>
      <c r="R99" s="15"/>
      <c r="EU99" s="85"/>
      <c r="EV99" s="93"/>
      <c r="EW99" s="85"/>
      <c r="EX99" s="85"/>
      <c r="EY99" s="85"/>
      <c r="EZ99" s="85"/>
      <c r="FA99" s="85"/>
      <c r="FB99" s="93"/>
      <c r="FC99" s="85"/>
      <c r="FD99" s="85"/>
      <c r="FE99" s="85"/>
      <c r="FU99" s="50"/>
      <c r="FW99" s="50"/>
      <c r="FY99" s="50"/>
      <c r="GA99" s="50"/>
      <c r="GB99" s="50"/>
      <c r="GC99" s="50"/>
      <c r="GD99" s="50"/>
      <c r="GE99" s="50"/>
      <c r="GF99" s="50"/>
      <c r="GG99" s="85"/>
      <c r="GH99" s="85"/>
      <c r="GI99" s="85"/>
      <c r="GJ99" s="85"/>
      <c r="GK99" s="85"/>
      <c r="GL99" s="85"/>
    </row>
    <row r="100" spans="1:212" ht="13.9" hidden="1" customHeight="1" outlineLevel="1" x14ac:dyDescent="0.25">
      <c r="F100" s="117" t="s">
        <v>205</v>
      </c>
      <c r="G100" s="133" t="s">
        <v>33</v>
      </c>
      <c r="H100" s="134" t="s">
        <v>206</v>
      </c>
      <c r="I100" s="134" t="s">
        <v>207</v>
      </c>
      <c r="J100" s="134" t="s">
        <v>206</v>
      </c>
      <c r="K100" s="134" t="s">
        <v>207</v>
      </c>
      <c r="P100" s="117" t="s">
        <v>74</v>
      </c>
      <c r="Q100" s="133" t="s">
        <v>33</v>
      </c>
      <c r="R100" s="135" t="s">
        <v>263</v>
      </c>
      <c r="EU100" s="23"/>
      <c r="EV100" s="98"/>
      <c r="EW100" s="23"/>
      <c r="EX100" s="23"/>
      <c r="EY100" s="23"/>
      <c r="EZ100" s="23"/>
      <c r="FA100" s="23"/>
      <c r="FB100" s="98"/>
      <c r="FC100" s="23"/>
      <c r="FD100" s="23"/>
      <c r="FE100" s="23"/>
      <c r="FV100" s="118"/>
      <c r="FX100" s="118"/>
      <c r="GG100" s="23"/>
      <c r="GH100" s="23"/>
      <c r="GI100" s="23"/>
      <c r="GJ100" s="23"/>
      <c r="GK100" s="23"/>
      <c r="GL100" s="23"/>
      <c r="GM100" s="118"/>
      <c r="GN100" s="118"/>
      <c r="GO100" s="118"/>
      <c r="GP100" s="118"/>
      <c r="GQ100" s="118"/>
      <c r="GR100" s="118"/>
      <c r="GS100" s="118"/>
      <c r="GT100" s="118"/>
      <c r="GU100" s="118"/>
      <c r="GV100" s="118"/>
      <c r="GW100" s="118"/>
      <c r="GX100" s="118"/>
      <c r="GY100" s="118"/>
      <c r="GZ100" s="118"/>
      <c r="HA100" s="118"/>
      <c r="HB100" s="118"/>
      <c r="HC100" s="118"/>
      <c r="HD100" s="118"/>
    </row>
    <row r="101" spans="1:212" ht="13.9" hidden="1" customHeight="1" outlineLevel="1" x14ac:dyDescent="0.25">
      <c r="F101" s="1" t="s">
        <v>90</v>
      </c>
      <c r="G101" s="22">
        <f>SUMIF($B$8:$B$72,"30CS",$Q$8:$Q$72)</f>
        <v>0</v>
      </c>
      <c r="H101" s="22">
        <f>SUMIF($O$8:$O$72,"30CSrbase",$Q$8:$Q$72)</f>
        <v>0</v>
      </c>
      <c r="I101" s="22">
        <f>SUMIF($O$8:$O$72,"30CSrinc",$Q$8:$Q$72)</f>
        <v>0</v>
      </c>
      <c r="J101" s="22">
        <f>SUMIF($O$8:$O$72,"30CSWbase",$Q$8:$Q$72)</f>
        <v>0</v>
      </c>
      <c r="K101" s="22">
        <f>SUMIF($O$8:$O$72,"30CSWinc",$Q$8:$Q$72)</f>
        <v>0</v>
      </c>
      <c r="P101" s="1">
        <v>1</v>
      </c>
      <c r="Q101" s="22">
        <f>SUMIF($E$8:$E$72,1,$Q$8:$Q$72)</f>
        <v>0</v>
      </c>
      <c r="R101" s="22">
        <f>SUMIF($E$8:$E$72,1,$R$8:$R$72)</f>
        <v>0</v>
      </c>
      <c r="EU101" s="23"/>
      <c r="EV101" s="98"/>
      <c r="EW101" s="23"/>
      <c r="EX101" s="23"/>
      <c r="EY101" s="23"/>
      <c r="EZ101" s="23"/>
      <c r="FA101" s="23"/>
      <c r="FB101" s="98"/>
      <c r="FC101" s="23"/>
      <c r="FD101" s="23"/>
      <c r="FE101" s="23"/>
      <c r="FU101" s="50"/>
      <c r="FV101" s="118"/>
      <c r="FW101" s="50"/>
      <c r="FX101" s="118"/>
      <c r="FY101" s="50"/>
      <c r="GA101" s="50"/>
      <c r="GB101" s="50"/>
      <c r="GC101" s="50"/>
      <c r="GD101" s="50"/>
      <c r="GE101" s="50"/>
      <c r="GF101" s="50"/>
      <c r="GG101" s="23"/>
      <c r="GH101" s="23"/>
      <c r="GI101" s="23"/>
      <c r="GJ101" s="23"/>
      <c r="GK101" s="23"/>
      <c r="GL101" s="23"/>
      <c r="GM101" s="118"/>
      <c r="GN101" s="118"/>
      <c r="GO101" s="118"/>
      <c r="GP101" s="118"/>
      <c r="GQ101" s="118"/>
      <c r="GR101" s="118"/>
      <c r="GS101" s="118"/>
      <c r="GT101" s="118"/>
      <c r="GU101" s="118"/>
      <c r="GV101" s="118"/>
      <c r="GW101" s="118"/>
      <c r="GX101" s="118"/>
      <c r="GY101" s="118"/>
      <c r="GZ101" s="118"/>
      <c r="HA101" s="118"/>
      <c r="HB101" s="118"/>
      <c r="HC101" s="118"/>
      <c r="HD101" s="118"/>
    </row>
    <row r="102" spans="1:212" ht="13.9" hidden="1" customHeight="1" outlineLevel="1" x14ac:dyDescent="0.25">
      <c r="F102" s="1" t="s">
        <v>98</v>
      </c>
      <c r="G102" s="22">
        <f>SUMIF($B$8:$B$72,"30RV",$Q$8:$Q$72)</f>
        <v>0</v>
      </c>
      <c r="H102" s="22">
        <f>SUMIF($O$8:$O$72,"30RVrbase",$Q$8:$Q$72)</f>
        <v>0</v>
      </c>
      <c r="I102" s="22">
        <f>SUMIF($O$8:$O$72,"30RVrinc",$Q$8:$Q$72)</f>
        <v>0</v>
      </c>
      <c r="J102" s="22">
        <f>SUMIF($O$8:$O$72,"30RVWbase",$Q$8:$Q$72)</f>
        <v>0</v>
      </c>
      <c r="K102" s="22">
        <f>SUMIF($O$8:$O$72,"30RVWinc",$Q$8:$Q$72)</f>
        <v>0</v>
      </c>
      <c r="P102" s="1">
        <v>2</v>
      </c>
      <c r="Q102" s="22">
        <f>SUMIF($E$8:$E$72,2,$Q$8:$Q$72)</f>
        <v>0</v>
      </c>
      <c r="R102" s="22">
        <f>SUMIF($E$8:$E$72,2,$R$8:$R$72)</f>
        <v>0</v>
      </c>
      <c r="EU102" s="23"/>
      <c r="EV102" s="98"/>
      <c r="EW102" s="23"/>
      <c r="EX102" s="23"/>
      <c r="EY102" s="23"/>
      <c r="EZ102" s="23"/>
      <c r="FA102" s="23"/>
      <c r="FB102" s="98"/>
      <c r="FC102" s="23"/>
      <c r="FD102" s="23"/>
      <c r="FE102" s="23"/>
      <c r="FU102" s="50"/>
      <c r="FW102" s="50"/>
      <c r="FY102" s="50"/>
      <c r="GA102" s="50"/>
      <c r="GB102" s="50"/>
      <c r="GC102" s="50"/>
      <c r="GD102" s="50"/>
      <c r="GE102" s="50"/>
      <c r="GF102" s="50"/>
      <c r="GG102" s="23"/>
      <c r="GH102" s="23"/>
      <c r="GI102" s="23"/>
      <c r="GJ102" s="23"/>
      <c r="GK102" s="23"/>
      <c r="GL102" s="23"/>
    </row>
    <row r="103" spans="1:212" ht="13.9" hidden="1" customHeight="1" outlineLevel="1" x14ac:dyDescent="0.25">
      <c r="F103" s="1" t="s">
        <v>100</v>
      </c>
      <c r="G103" s="22">
        <f>SUMIF($B$8:$B$72,833866,$Q$8:$Q$72)</f>
        <v>0</v>
      </c>
      <c r="H103" s="22">
        <f>SUMIF($O$8:$O$72,"833866rbase",$Q$8:$Q$72)</f>
        <v>0</v>
      </c>
      <c r="I103" s="22">
        <f>SUMIF($O$8:$O$72,"833866rinc",$Q$8:$Q$72)</f>
        <v>0</v>
      </c>
      <c r="J103" s="22">
        <f>SUMIF($O$8:$O$72,"833866Wbase",$Q$8:$Q$72)</f>
        <v>0</v>
      </c>
      <c r="K103" s="22">
        <f>SUMIF($O$8:$O$72,"833866Winc",$Q$8:$Q$72)</f>
        <v>0</v>
      </c>
      <c r="P103" s="1">
        <v>3</v>
      </c>
      <c r="Q103" s="22">
        <f>SUMIF($E$8:$E$72,3,$Q$8:$Q$72)</f>
        <v>1698</v>
      </c>
      <c r="R103" s="22">
        <f>SUMIF($E$8:$E$72,3,$R$8:$R$72)</f>
        <v>1698</v>
      </c>
      <c r="EU103" s="23"/>
      <c r="EV103" s="98"/>
      <c r="EW103" s="23"/>
      <c r="EX103" s="23"/>
      <c r="EY103" s="23"/>
      <c r="EZ103" s="23"/>
      <c r="FA103" s="23"/>
      <c r="FB103" s="98"/>
      <c r="FC103" s="23"/>
      <c r="FD103" s="23"/>
      <c r="FE103" s="23"/>
      <c r="FU103" s="50"/>
      <c r="FV103" s="50"/>
      <c r="FW103" s="50"/>
      <c r="FX103" s="50"/>
      <c r="FY103" s="50"/>
      <c r="GA103" s="50"/>
      <c r="GB103" s="50"/>
      <c r="GC103" s="50"/>
      <c r="GD103" s="50"/>
      <c r="GE103" s="50"/>
      <c r="GF103" s="50"/>
      <c r="GG103" s="23"/>
      <c r="GH103" s="23"/>
      <c r="GI103" s="23"/>
      <c r="GJ103" s="23"/>
      <c r="GK103" s="23"/>
      <c r="GL103" s="23"/>
      <c r="GM103" s="50"/>
      <c r="GN103" s="50"/>
      <c r="GO103" s="50"/>
      <c r="GP103" s="50"/>
      <c r="GQ103" s="50"/>
      <c r="GR103" s="50"/>
      <c r="GS103" s="50"/>
      <c r="GT103" s="50"/>
      <c r="GU103" s="50"/>
      <c r="GV103" s="50"/>
      <c r="GW103" s="50"/>
      <c r="GX103" s="50"/>
      <c r="GY103" s="50"/>
      <c r="GZ103" s="50"/>
      <c r="HA103" s="50"/>
      <c r="HB103" s="50"/>
      <c r="HC103" s="50"/>
      <c r="HD103" s="50"/>
    </row>
    <row r="104" spans="1:212" ht="13.9" hidden="1" customHeight="1" outlineLevel="1" x14ac:dyDescent="0.25">
      <c r="F104" s="1" t="s">
        <v>103</v>
      </c>
      <c r="G104" s="22">
        <f>SUMIF($B$8:$B$72,833469,$Q$8:$Q$72)</f>
        <v>0</v>
      </c>
      <c r="H104" s="22">
        <f>SUMIF($O$8:$O$72,"833469rbase",$Q$8:$Q$72)</f>
        <v>0</v>
      </c>
      <c r="I104" s="22">
        <f>SUMIF($O$8:$O$72,"833469rinc",$Q$8:$Q$72)</f>
        <v>0</v>
      </c>
      <c r="J104" s="22">
        <f>SUMIF($O$8:$O$72,"833469Wbase",$Q$8:$Q$72)</f>
        <v>0</v>
      </c>
      <c r="K104" s="22">
        <f>SUMIF($O$8:$O$72,"833469Winc",$Q$8:$Q$72)</f>
        <v>0</v>
      </c>
      <c r="P104" s="1">
        <v>4</v>
      </c>
      <c r="Q104" s="22">
        <f>SUMIF($E$8:$E$72,4,$Q$8:$Q$72)</f>
        <v>4096</v>
      </c>
      <c r="R104" s="22">
        <f>SUMIF($E$8:$E$72,4,$R$8:$R$72)</f>
        <v>4096</v>
      </c>
      <c r="EU104" s="25"/>
      <c r="EV104" s="104"/>
      <c r="EW104" s="25"/>
      <c r="EX104" s="25"/>
      <c r="EY104" s="25"/>
      <c r="EZ104" s="25"/>
      <c r="FA104" s="25"/>
      <c r="FB104" s="104"/>
      <c r="FC104" s="25"/>
      <c r="FD104" s="25"/>
      <c r="FE104" s="25"/>
      <c r="FU104" s="50"/>
      <c r="FW104" s="50"/>
      <c r="FY104" s="50"/>
      <c r="GA104" s="50"/>
      <c r="GB104" s="50"/>
      <c r="GC104" s="50"/>
      <c r="GD104" s="50"/>
      <c r="GE104" s="50"/>
      <c r="GF104" s="50"/>
      <c r="GG104" s="25"/>
      <c r="GH104" s="25"/>
      <c r="GI104" s="25"/>
      <c r="GJ104" s="25"/>
      <c r="GK104" s="25"/>
      <c r="GL104" s="25"/>
    </row>
    <row r="105" spans="1:212" ht="13.9" hidden="1" customHeight="1" outlineLevel="1" x14ac:dyDescent="0.25">
      <c r="F105" s="1" t="s">
        <v>208</v>
      </c>
      <c r="G105" s="22">
        <f>SUMIF($B$8:$B$72,831095,$Q$8:$Q$72)</f>
        <v>0</v>
      </c>
      <c r="H105" s="22">
        <f>SUMIF($O$8:$O$72,"831095rbase",$Q$8:$Q$72)</f>
        <v>0</v>
      </c>
      <c r="I105" s="22">
        <f>SUMIF($O$8:$O$72,"831095rinc",$Q$8:$Q$72)</f>
        <v>0</v>
      </c>
      <c r="J105" s="22">
        <f>SUMIF($O$8:$O$72,"831095Wbase",$Q$8:$Q$72)</f>
        <v>0</v>
      </c>
      <c r="K105" s="22">
        <f>SUMIF($O$8:$O$72,"831095Winc",$Q$8:$Q$72)</f>
        <v>0</v>
      </c>
      <c r="P105" s="1">
        <v>5</v>
      </c>
      <c r="Q105" s="22">
        <f>SUMIF($E$8:$E$72,5,$Q$8:$Q$72)</f>
        <v>21611</v>
      </c>
      <c r="R105" s="22">
        <f>SUMIF($E$8:$E$72,5,$R$8:$R$72)</f>
        <v>21611</v>
      </c>
      <c r="EU105" s="23"/>
      <c r="EV105" s="98"/>
      <c r="EW105" s="23"/>
      <c r="EX105" s="23"/>
      <c r="EY105" s="23"/>
      <c r="EZ105" s="23"/>
      <c r="FA105" s="23"/>
      <c r="FB105" s="98"/>
      <c r="FC105" s="23"/>
      <c r="FD105" s="23"/>
      <c r="FE105" s="23"/>
      <c r="FU105" s="50"/>
      <c r="FW105" s="50"/>
      <c r="FY105" s="50"/>
      <c r="GA105" s="50"/>
      <c r="GB105" s="50"/>
      <c r="GC105" s="50"/>
      <c r="GD105" s="50"/>
      <c r="GE105" s="50"/>
      <c r="GF105" s="50"/>
      <c r="GG105" s="23"/>
      <c r="GH105" s="23"/>
      <c r="GI105" s="23"/>
      <c r="GJ105" s="23"/>
      <c r="GK105" s="23"/>
      <c r="GL105" s="23"/>
    </row>
    <row r="106" spans="1:212" ht="13.9" hidden="1" customHeight="1" outlineLevel="1" x14ac:dyDescent="0.25">
      <c r="F106" s="1" t="s">
        <v>240</v>
      </c>
      <c r="G106" s="22">
        <f>SUMIF($B$8:$B$72,21,$Q$8:$Q$72)</f>
        <v>0</v>
      </c>
      <c r="H106" s="22">
        <f>SUMIF($O$8:$O$72,"21rbase",$Q$8:$Q$72)</f>
        <v>0</v>
      </c>
      <c r="I106" s="22">
        <f>SUMIF($O$8:$O$72,"21rinc",$Q$8:$Q$72)</f>
        <v>0</v>
      </c>
      <c r="J106" s="22">
        <f>SUMIF($O$8:$O$72,"21Wbase",$Q$8:$Q$72)</f>
        <v>0</v>
      </c>
      <c r="K106" s="22">
        <f>SUMIF($O$8:$O$72,"21Winc",$Q$8:$Q$72)</f>
        <v>0</v>
      </c>
      <c r="P106" s="1">
        <v>6</v>
      </c>
      <c r="Q106" s="22">
        <f>SUMIF($E$8:$E$72,6,$Q$8:$Q$72)</f>
        <v>0</v>
      </c>
      <c r="R106" s="22">
        <f>SUMIF($E$8:$E$72,6,$R$8:$R$72)</f>
        <v>0</v>
      </c>
      <c r="EU106" s="23"/>
      <c r="EV106" s="98"/>
      <c r="EW106" s="23"/>
      <c r="EX106" s="23"/>
      <c r="EY106" s="23"/>
      <c r="EZ106" s="23"/>
      <c r="FA106" s="23"/>
      <c r="FB106" s="98"/>
      <c r="FC106" s="23"/>
      <c r="FD106" s="23"/>
      <c r="FE106" s="23"/>
      <c r="GG106" s="23"/>
      <c r="GH106" s="23"/>
      <c r="GI106" s="23"/>
      <c r="GJ106" s="23"/>
      <c r="GK106" s="23"/>
      <c r="GL106" s="23"/>
    </row>
    <row r="107" spans="1:212" ht="13.9" hidden="1" customHeight="1" outlineLevel="1" x14ac:dyDescent="0.25">
      <c r="F107" s="1" t="s">
        <v>107</v>
      </c>
      <c r="G107" s="22">
        <f>SUMIF($B$8:$B$72,22,$Q$8:$Q$72)</f>
        <v>1698</v>
      </c>
      <c r="H107" s="22">
        <f>SUMIF($O$8:$O$72,"22rbase",$Q$8:$Q$72)</f>
        <v>1698</v>
      </c>
      <c r="I107" s="22">
        <f>SUMIF($O$8:$O$72,"22rinc",$Q$8:$Q$72)</f>
        <v>0</v>
      </c>
      <c r="J107" s="22">
        <f>SUMIF($O$8:$O$72,"22Wbase",$Q$8:$Q$72)</f>
        <v>0</v>
      </c>
      <c r="K107" s="22">
        <f>SUMIF($O$8:$O$72,"22Winc",$Q$8:$Q$72)</f>
        <v>0</v>
      </c>
      <c r="P107" s="1">
        <v>7</v>
      </c>
      <c r="Q107" s="22">
        <f>SUMIF($E$8:$E$72,7,$Q$8:$Q$72)</f>
        <v>41190</v>
      </c>
      <c r="R107" s="22">
        <f>SUMIF($E$8:$E$72,7,$R$8:$R$72)</f>
        <v>41190</v>
      </c>
      <c r="EU107" s="23"/>
      <c r="EV107" s="98"/>
      <c r="EW107" s="23"/>
      <c r="EX107" s="23"/>
      <c r="EY107" s="23"/>
      <c r="EZ107" s="23"/>
      <c r="FA107" s="23"/>
      <c r="FB107" s="98"/>
      <c r="FC107" s="23"/>
      <c r="FD107" s="23"/>
      <c r="FE107" s="23"/>
      <c r="GG107" s="23"/>
      <c r="GH107" s="23"/>
      <c r="GI107" s="23"/>
      <c r="GJ107" s="23"/>
      <c r="GK107" s="23"/>
      <c r="GL107" s="23"/>
    </row>
    <row r="108" spans="1:212" ht="13.9" hidden="1" customHeight="1" outlineLevel="1" x14ac:dyDescent="0.25">
      <c r="F108" s="1" t="s">
        <v>113</v>
      </c>
      <c r="G108" s="22">
        <f>SUMIF($B$8:$B$72,17,$Q$8:$Q$72)</f>
        <v>0</v>
      </c>
      <c r="H108" s="22">
        <f>SUMIF($O$8:$O$72,"17rbase",$Q$8:$Q$72)</f>
        <v>0</v>
      </c>
      <c r="I108" s="22">
        <f>SUMIF($O$8:$O$72,"17rinc",$Q$8:$Q$72)</f>
        <v>0</v>
      </c>
      <c r="J108" s="22">
        <f>SUMIF($O$8:$O$72,"17Wbase",$Q$8:$Q$72)</f>
        <v>0</v>
      </c>
      <c r="K108" s="22">
        <f>SUMIF($O$8:$O$72,"17Winc",$Q$8:$Q$72)</f>
        <v>0</v>
      </c>
      <c r="P108" s="1">
        <v>8</v>
      </c>
      <c r="Q108" s="22">
        <f>SUMIF($E$8:$E$72,8,$Q$8:$Q$72)</f>
        <v>13073</v>
      </c>
      <c r="R108" s="22">
        <f>SUMIF($E$8:$E$72,8,$R$8:$R$72)</f>
        <v>13073</v>
      </c>
      <c r="EU108" s="23"/>
      <c r="EV108" s="98"/>
      <c r="EW108" s="23"/>
      <c r="EX108" s="23"/>
      <c r="EY108" s="23"/>
      <c r="EZ108" s="23"/>
      <c r="FA108" s="23"/>
      <c r="FB108" s="98"/>
      <c r="FC108" s="23"/>
      <c r="FD108" s="23"/>
      <c r="FE108" s="23"/>
      <c r="GG108" s="23"/>
      <c r="GH108" s="23"/>
      <c r="GI108" s="23"/>
      <c r="GJ108" s="23"/>
      <c r="GK108" s="23"/>
      <c r="GL108" s="23"/>
    </row>
    <row r="109" spans="1:212" ht="13.9" hidden="1" customHeight="1" outlineLevel="1" x14ac:dyDescent="0.25">
      <c r="F109" s="1" t="s">
        <v>116</v>
      </c>
      <c r="G109" s="22">
        <f>SUMIF($B$8:$B$72,"27",$Q$8:$Q$72)</f>
        <v>0</v>
      </c>
      <c r="H109" s="22">
        <f>SUMIF($O$8:$O$72,"27rbase",$Q$8:$Q$72)</f>
        <v>0</v>
      </c>
      <c r="I109" s="22">
        <f>SUMIF($O$8:$O$72,"27rinc",$Q$8:$Q$72)</f>
        <v>0</v>
      </c>
      <c r="J109" s="22">
        <f>SUMIF($O$8:$O$72,"27Wbase",$Q$8:$Q$72)</f>
        <v>0</v>
      </c>
      <c r="K109" s="22">
        <f>SUMIF($O$8:$O$72,"27Winc",$Q$8:$Q$72)</f>
        <v>0</v>
      </c>
      <c r="P109" s="1">
        <v>9</v>
      </c>
      <c r="Q109" s="22">
        <f>SUMIF($E$8:$E$72,9,$Q$8:$Q$72)</f>
        <v>0</v>
      </c>
      <c r="R109" s="22">
        <f>SUMIF($E$8:$E$72,9,$R$8:$R$72)</f>
        <v>0</v>
      </c>
      <c r="EU109" s="23"/>
      <c r="EV109" s="98"/>
      <c r="EW109" s="23"/>
      <c r="EX109" s="23"/>
      <c r="EY109" s="23"/>
      <c r="EZ109" s="23"/>
      <c r="FA109" s="23"/>
      <c r="FB109" s="98"/>
      <c r="FC109" s="23"/>
      <c r="FD109" s="23"/>
      <c r="FE109" s="23"/>
      <c r="GG109" s="23"/>
      <c r="GH109" s="23"/>
      <c r="GI109" s="23"/>
      <c r="GJ109" s="23"/>
      <c r="GK109" s="23"/>
      <c r="GL109" s="23"/>
    </row>
    <row r="110" spans="1:212" ht="13.9" hidden="1" customHeight="1" outlineLevel="1" x14ac:dyDescent="0.25">
      <c r="F110" s="1" t="s">
        <v>209</v>
      </c>
      <c r="G110" s="22">
        <f>SUMIF($B$8:$B$72,"25E",$Q$8:$Q$72)</f>
        <v>3913</v>
      </c>
      <c r="H110" s="22">
        <f>SUMIF($O$8:$O$72,"25Erbase",$Q$8:$Q$72)</f>
        <v>3913</v>
      </c>
      <c r="I110" s="22">
        <f>SUMIF($O$8:$O$72,"25Erinc",$Q$8:$Q$72)</f>
        <v>0</v>
      </c>
      <c r="J110" s="22">
        <f>SUMIF($O$8:$O$72,"25EWbase",$Q$8:$Q$72)</f>
        <v>0</v>
      </c>
      <c r="K110" s="22">
        <f>SUMIF($O$8:$O$72,"25EWinc",$Q$8:$Q$72)</f>
        <v>0</v>
      </c>
      <c r="P110" s="1">
        <v>10</v>
      </c>
      <c r="Q110" s="22">
        <f>SUMIF($E$8:$E$72,10,$Q$8:$Q$72)</f>
        <v>1211</v>
      </c>
      <c r="R110" s="22">
        <f>SUMIF($E$8:$E$72,10,$R$8:$R$72)</f>
        <v>1211</v>
      </c>
      <c r="EU110" s="23"/>
      <c r="EV110" s="98"/>
      <c r="EW110" s="23"/>
      <c r="EX110" s="23"/>
      <c r="EY110" s="23"/>
      <c r="EZ110" s="23"/>
      <c r="FA110" s="23"/>
      <c r="FB110" s="98"/>
      <c r="FC110" s="23"/>
      <c r="FD110" s="23"/>
      <c r="FE110" s="23"/>
      <c r="GG110" s="23"/>
      <c r="GH110" s="23"/>
      <c r="GI110" s="23"/>
      <c r="GJ110" s="23"/>
      <c r="GK110" s="23"/>
      <c r="GL110" s="23"/>
    </row>
    <row r="111" spans="1:212" ht="13.9" hidden="1" customHeight="1" outlineLevel="1" x14ac:dyDescent="0.25">
      <c r="F111" s="1" t="s">
        <v>210</v>
      </c>
      <c r="G111" s="22">
        <f>SUMIF($B$8:$B$72,"19E",$Q$8:$Q$72)</f>
        <v>183</v>
      </c>
      <c r="H111" s="22">
        <f>SUMIF($O$8:$O$72,"19Erbase",$Q$8:$Q$72)</f>
        <v>183</v>
      </c>
      <c r="I111" s="22">
        <f>SUMIF($O$8:$O$72,"19Erinc",$Q$8:$Q$72)</f>
        <v>0</v>
      </c>
      <c r="J111" s="22">
        <f>SUMIF($O$8:$O$72,"19EWbase",$Q$8:$Q$72)</f>
        <v>0</v>
      </c>
      <c r="K111" s="22">
        <f>SUMIF($O$8:$O$72,"19EWinc",$Q$8:$Q$72)</f>
        <v>0</v>
      </c>
      <c r="P111" s="1" t="s">
        <v>162</v>
      </c>
      <c r="Q111" s="22">
        <f>SUMIF($E$8:$E$72,"ST",$Q$8:$Q$72)</f>
        <v>-35598</v>
      </c>
      <c r="R111" s="22">
        <f>SUMIF($E$8:$E$72,"ST",$R$8:$R$72)</f>
        <v>-35598</v>
      </c>
      <c r="EU111" s="23"/>
      <c r="EV111" s="98"/>
      <c r="EW111" s="23"/>
      <c r="EX111" s="23"/>
      <c r="EY111" s="23"/>
      <c r="EZ111" s="23"/>
      <c r="FA111" s="23"/>
      <c r="FB111" s="98"/>
      <c r="FC111" s="23"/>
      <c r="FD111" s="23"/>
      <c r="FE111" s="23"/>
      <c r="FV111" s="50"/>
      <c r="FX111" s="50"/>
      <c r="GG111" s="23"/>
      <c r="GH111" s="23"/>
      <c r="GI111" s="23"/>
      <c r="GJ111" s="23"/>
      <c r="GK111" s="23"/>
      <c r="GL111" s="23"/>
      <c r="GM111" s="50"/>
      <c r="GN111" s="50"/>
      <c r="GO111" s="50"/>
      <c r="GP111" s="50"/>
      <c r="GQ111" s="50"/>
      <c r="GR111" s="50"/>
      <c r="GS111" s="50"/>
      <c r="GT111" s="50"/>
      <c r="GU111" s="50"/>
      <c r="GV111" s="50"/>
      <c r="GW111" s="50"/>
      <c r="GX111" s="50"/>
      <c r="GY111" s="50"/>
      <c r="GZ111" s="50"/>
      <c r="HA111" s="50"/>
      <c r="HB111" s="50"/>
      <c r="HC111" s="50"/>
      <c r="HD111" s="50"/>
    </row>
    <row r="112" spans="1:212" ht="13.9" hidden="1" customHeight="1" outlineLevel="1" x14ac:dyDescent="0.25">
      <c r="F112" s="1" t="s">
        <v>211</v>
      </c>
      <c r="G112" s="22">
        <f>SUMIF($B$8:$B$72,"56",$Q$8:$Q$72)</f>
        <v>0</v>
      </c>
      <c r="H112" s="22">
        <f>SUMIF($O$8:$O$72,"56rbase",$Q$8:$Q$72)</f>
        <v>0</v>
      </c>
      <c r="I112" s="22">
        <f>SUMIF($O$8:$O$72,"56rinc",$Q$8:$Q$72)</f>
        <v>0</v>
      </c>
      <c r="J112" s="22">
        <f>SUMIF($O$8:$O$72,"56Wbase",$Q$8:$Q$72)</f>
        <v>0</v>
      </c>
      <c r="K112" s="22">
        <f>SUMIF($O$8:$O$72,"56Winc",$Q$8:$Q$72)</f>
        <v>0</v>
      </c>
      <c r="EU112" s="23"/>
      <c r="EV112" s="98"/>
      <c r="EW112" s="23"/>
      <c r="EX112" s="23"/>
      <c r="EY112" s="23"/>
      <c r="EZ112" s="23"/>
      <c r="FA112" s="23"/>
      <c r="FB112" s="98"/>
      <c r="FC112" s="23"/>
      <c r="FD112" s="23"/>
      <c r="FE112" s="23"/>
      <c r="FV112" s="50"/>
      <c r="FX112" s="50"/>
      <c r="GG112" s="23"/>
      <c r="GH112" s="23"/>
      <c r="GI112" s="23"/>
      <c r="GJ112" s="23"/>
      <c r="GK112" s="23"/>
      <c r="GL112" s="23"/>
      <c r="GM112" s="50"/>
      <c r="GN112" s="50"/>
      <c r="GO112" s="50"/>
      <c r="GP112" s="50"/>
      <c r="GQ112" s="50"/>
      <c r="GR112" s="50"/>
      <c r="GS112" s="50"/>
      <c r="GT112" s="50"/>
      <c r="GU112" s="50"/>
      <c r="GV112" s="50"/>
      <c r="GW112" s="50"/>
      <c r="GX112" s="50"/>
      <c r="GY112" s="50"/>
      <c r="GZ112" s="50"/>
      <c r="HA112" s="50"/>
      <c r="HB112" s="50"/>
      <c r="HC112" s="50"/>
      <c r="HD112" s="50"/>
    </row>
    <row r="113" spans="6:212" ht="13.9" hidden="1" customHeight="1" outlineLevel="1" x14ac:dyDescent="0.25">
      <c r="F113" s="1" t="s">
        <v>259</v>
      </c>
      <c r="G113" s="22">
        <f>SUMIF($B$8:$B$72,107,$Q$8:$Q$72)</f>
        <v>0</v>
      </c>
      <c r="H113" s="22">
        <f>SUMIF($O$8:$O$72,"107rbase",$Q$8:$Q$72)</f>
        <v>0</v>
      </c>
      <c r="I113" s="22">
        <f>SUMIF($O$8:$O$72,"107rinc",$Q$8:$Q$72)</f>
        <v>0</v>
      </c>
      <c r="J113" s="22">
        <f>SUMIF($O$8:$O$72,"107Wbase",$Q$8:$Q$72)</f>
        <v>0</v>
      </c>
      <c r="K113" s="22">
        <f>SUMIF($O$8:$O$72,"107Winc",$Q$8:$Q$72)</f>
        <v>0</v>
      </c>
      <c r="M113" s="13" t="s">
        <v>85</v>
      </c>
      <c r="N113" s="13"/>
      <c r="O113" s="13"/>
      <c r="P113" s="14"/>
      <c r="Q113" s="15">
        <f>SUM(Q101:Q111)</f>
        <v>47281</v>
      </c>
      <c r="R113" s="15">
        <f>SUM(R101:R111)</f>
        <v>47281</v>
      </c>
      <c r="EU113" s="23"/>
      <c r="EV113" s="98"/>
      <c r="EW113" s="23"/>
      <c r="EX113" s="23"/>
      <c r="EY113" s="23"/>
      <c r="EZ113" s="23"/>
      <c r="FA113" s="23"/>
      <c r="FB113" s="98"/>
      <c r="FC113" s="23"/>
      <c r="FD113" s="23"/>
      <c r="FE113" s="23"/>
      <c r="FV113" s="50"/>
      <c r="FX113" s="50"/>
      <c r="GG113" s="23"/>
      <c r="GH113" s="23"/>
      <c r="GI113" s="23"/>
      <c r="GJ113" s="23"/>
      <c r="GK113" s="23"/>
      <c r="GL113" s="23"/>
      <c r="GM113" s="50"/>
      <c r="GN113" s="50"/>
      <c r="GO113" s="50"/>
      <c r="GP113" s="50"/>
      <c r="GQ113" s="50"/>
      <c r="GR113" s="50"/>
      <c r="GS113" s="50"/>
      <c r="GT113" s="50"/>
      <c r="GU113" s="50"/>
      <c r="GV113" s="50"/>
      <c r="GW113" s="50"/>
      <c r="GX113" s="50"/>
      <c r="GY113" s="50"/>
      <c r="GZ113" s="50"/>
      <c r="HA113" s="50"/>
      <c r="HB113" s="50"/>
      <c r="HC113" s="50"/>
      <c r="HD113" s="50"/>
    </row>
    <row r="114" spans="6:212" ht="13.9" hidden="1" customHeight="1" outlineLevel="1" x14ac:dyDescent="0.25">
      <c r="F114" s="1" t="s">
        <v>133</v>
      </c>
      <c r="G114" s="22">
        <f>SUMIF($B$8:$B$72,54,$Q$8:$Q$72)</f>
        <v>0</v>
      </c>
      <c r="H114" s="22">
        <f>SUMIF($O$8:$O$72,"54rbase",$Q$8:$Q$72)</f>
        <v>0</v>
      </c>
      <c r="I114" s="22">
        <f>SUMIF($O$8:$O$72,"54rinc",$Q$8:$Q$72)</f>
        <v>0</v>
      </c>
      <c r="J114" s="22">
        <f>SUMIF($O$8:$O$72,"54Wbase",$Q$8:$Q$72)</f>
        <v>0</v>
      </c>
      <c r="K114" s="22">
        <f>SUMIF($O$8:$O$72,"54Winc",$Q$8:$Q$72)</f>
        <v>0</v>
      </c>
      <c r="EU114" s="23"/>
      <c r="EV114" s="98"/>
      <c r="EW114" s="23"/>
      <c r="EX114" s="23"/>
      <c r="EY114" s="23"/>
      <c r="EZ114" s="23"/>
      <c r="FA114" s="23"/>
      <c r="FB114" s="98"/>
      <c r="FC114" s="23"/>
      <c r="FD114" s="23"/>
      <c r="FE114" s="23"/>
      <c r="FV114" s="50"/>
      <c r="FX114" s="50"/>
      <c r="GG114" s="23"/>
      <c r="GH114" s="23"/>
      <c r="GI114" s="23"/>
      <c r="GJ114" s="23"/>
      <c r="GK114" s="23"/>
      <c r="GL114" s="23"/>
      <c r="GM114" s="50"/>
      <c r="GN114" s="50"/>
      <c r="GO114" s="50"/>
      <c r="GP114" s="50"/>
      <c r="GQ114" s="50"/>
      <c r="GR114" s="50"/>
      <c r="GS114" s="50"/>
      <c r="GT114" s="50"/>
      <c r="GU114" s="50"/>
      <c r="GV114" s="50"/>
      <c r="GW114" s="50"/>
      <c r="GX114" s="50"/>
      <c r="GY114" s="50"/>
      <c r="GZ114" s="50"/>
      <c r="HA114" s="50"/>
      <c r="HB114" s="50"/>
      <c r="HC114" s="50"/>
      <c r="HD114" s="50"/>
    </row>
    <row r="115" spans="6:212" ht="13.9" hidden="1" customHeight="1" outlineLevel="1" x14ac:dyDescent="0.25">
      <c r="F115" s="1" t="s">
        <v>212</v>
      </c>
      <c r="G115" s="22">
        <f>SUMIF($B$8:$B$72,"23N",$Q$8:$Q$72)</f>
        <v>21611</v>
      </c>
      <c r="H115" s="22">
        <f>SUMIF($O$8:$O$72,"23Nrbase",$Q$8:$Q$72)</f>
        <v>21611</v>
      </c>
      <c r="I115" s="22">
        <f>SUMIF($O$8:$O$72,"23Nrinc",$Q$8:$Q$72)</f>
        <v>0</v>
      </c>
      <c r="J115" s="22">
        <f>SUMIF($O$8:$O$72,"23NWbase",$Q$8:$Q$72)</f>
        <v>0</v>
      </c>
      <c r="K115" s="22">
        <f>SUMIF($O$8:$O$72,"23NWinc",$Q$8:$Q$72)</f>
        <v>0</v>
      </c>
      <c r="EU115" s="25"/>
      <c r="EV115" s="104"/>
      <c r="EW115" s="25"/>
      <c r="EX115" s="25"/>
      <c r="EY115" s="25"/>
      <c r="EZ115" s="25"/>
      <c r="FA115" s="25"/>
      <c r="FB115" s="104"/>
      <c r="FC115" s="25"/>
      <c r="FD115" s="25"/>
      <c r="FE115" s="25"/>
      <c r="FV115" s="50"/>
      <c r="FX115" s="50"/>
      <c r="GG115" s="25"/>
      <c r="GH115" s="25"/>
      <c r="GI115" s="25"/>
      <c r="GJ115" s="25"/>
      <c r="GK115" s="25"/>
      <c r="GL115" s="25"/>
      <c r="GM115" s="50"/>
      <c r="GN115" s="50"/>
      <c r="GO115" s="50"/>
      <c r="GP115" s="50"/>
      <c r="GQ115" s="50"/>
      <c r="GR115" s="50"/>
      <c r="GS115" s="50"/>
      <c r="GT115" s="50"/>
      <c r="GU115" s="50"/>
      <c r="GV115" s="50"/>
      <c r="GW115" s="50"/>
      <c r="GX115" s="50"/>
      <c r="GY115" s="50"/>
      <c r="GZ115" s="50"/>
      <c r="HA115" s="50"/>
      <c r="HB115" s="50"/>
      <c r="HC115" s="50"/>
      <c r="HD115" s="50"/>
    </row>
    <row r="116" spans="6:212" ht="13.9" hidden="1" customHeight="1" outlineLevel="1" x14ac:dyDescent="0.25">
      <c r="F116" s="1" t="s">
        <v>213</v>
      </c>
      <c r="G116" s="22">
        <f>SUMIF($B$8:$B$72,18,$Q$8:$Q$72)</f>
        <v>0</v>
      </c>
      <c r="H116" s="22">
        <f>SUMIF($O$8:$O$72,"18rbase",$Q$8:$Q$72)</f>
        <v>0</v>
      </c>
      <c r="I116" s="22">
        <f>SUMIF($O$8:$O$72,"18rinc",$Q$8:$Q$72)</f>
        <v>0</v>
      </c>
      <c r="J116" s="22">
        <f>SUMIF($O$8:$O$72,"18Wbase",$Q$8:$Q$72)</f>
        <v>0</v>
      </c>
      <c r="K116" s="22">
        <f>SUMIF($O$8:$O$72,"18Winc",$Q$8:$Q$72)</f>
        <v>0</v>
      </c>
      <c r="N116" s="136"/>
      <c r="O116" s="136"/>
      <c r="P116" s="22"/>
      <c r="Q116" s="137" t="s">
        <v>42</v>
      </c>
      <c r="R116" s="138" t="s">
        <v>214</v>
      </c>
      <c r="S116" s="139" t="s">
        <v>215</v>
      </c>
      <c r="EU116" s="23"/>
      <c r="EV116" s="98"/>
      <c r="EW116" s="23"/>
      <c r="EX116" s="23"/>
      <c r="EY116" s="23"/>
      <c r="EZ116" s="23"/>
      <c r="FA116" s="23"/>
      <c r="FB116" s="98"/>
      <c r="FC116" s="23"/>
      <c r="FD116" s="23"/>
      <c r="FE116" s="23"/>
      <c r="GG116" s="23"/>
      <c r="GH116" s="23"/>
      <c r="GI116" s="23"/>
      <c r="GJ116" s="23"/>
      <c r="GK116" s="23"/>
      <c r="GL116" s="23"/>
    </row>
    <row r="117" spans="6:212" ht="13.9" hidden="1" customHeight="1" outlineLevel="1" x14ac:dyDescent="0.25">
      <c r="F117" s="1" t="s">
        <v>139</v>
      </c>
      <c r="G117" s="22">
        <f>SUMIF($B$8:$B$72,73,$Q$8:$Q$72)</f>
        <v>0</v>
      </c>
      <c r="H117" s="22">
        <f>SUMIF($O$8:$O$72,"73rbase",$Q$8:$Q$72)</f>
        <v>0</v>
      </c>
      <c r="I117" s="22">
        <f>SUMIF($O$8:$O$72,"73rinc",$Q$8:$Q$72)</f>
        <v>0</v>
      </c>
      <c r="J117" s="22">
        <f>SUMIF($O$8:$O$72,"73Wbase",$Q$8:$Q$72)</f>
        <v>0</v>
      </c>
      <c r="K117" s="22">
        <f>SUMIF($O$8:$O$72,"73Winc",$Q$8:$Q$72)</f>
        <v>0</v>
      </c>
      <c r="M117" s="136" t="s">
        <v>216</v>
      </c>
      <c r="N117" s="22"/>
      <c r="O117" s="22"/>
      <c r="P117" s="22"/>
      <c r="Q117" s="140">
        <v>37147</v>
      </c>
      <c r="R117" s="22">
        <f>SUMIF($T$8:$T$72,37147,$Q$8:$Q$72)</f>
        <v>47281</v>
      </c>
      <c r="S117" s="22">
        <f>+R117/$Q$122</f>
        <v>48303.093457562012</v>
      </c>
      <c r="EU117" s="23"/>
      <c r="EV117" s="98"/>
      <c r="EW117" s="23"/>
      <c r="EX117" s="23"/>
      <c r="EY117" s="23"/>
      <c r="EZ117" s="23"/>
      <c r="FA117" s="23"/>
      <c r="FB117" s="98"/>
      <c r="FC117" s="23"/>
      <c r="FD117" s="23"/>
      <c r="FE117" s="23"/>
      <c r="GG117" s="23"/>
      <c r="GH117" s="23"/>
      <c r="GI117" s="23"/>
      <c r="GJ117" s="23"/>
      <c r="GK117" s="23"/>
      <c r="GL117" s="23"/>
    </row>
    <row r="118" spans="6:212" ht="13.9" hidden="1" customHeight="1" outlineLevel="1" x14ac:dyDescent="0.25">
      <c r="F118" s="1" t="s">
        <v>12</v>
      </c>
      <c r="G118" s="22">
        <f>SUMIF($B$8:$B$72,23,$Q$8:$Q$72)</f>
        <v>41190</v>
      </c>
      <c r="H118" s="22">
        <f>SUMIF($O$8:$O$72,"23rbase",$Q$8:$Q$72)</f>
        <v>41190</v>
      </c>
      <c r="I118" s="22">
        <f>SUMIF($O$8:$O$72,"23rinc",$Q$8:$Q$72)</f>
        <v>0</v>
      </c>
      <c r="J118" s="22">
        <f>SUMIF($O$8:$O$72,"23Wbase",$Q$8:$Q$72)</f>
        <v>0</v>
      </c>
      <c r="K118" s="22">
        <f>SUMIF($O$8:$O$72,"23Winc",$Q$8:$Q$72)</f>
        <v>0</v>
      </c>
      <c r="M118" s="22" t="s">
        <v>246</v>
      </c>
      <c r="N118" s="22"/>
      <c r="O118" s="22"/>
      <c r="P118" s="22"/>
      <c r="Q118" s="140">
        <v>66917</v>
      </c>
      <c r="R118" s="22">
        <f>SUMIF($T$8:$T$72,66917,$Q$8:$Q$72)</f>
        <v>0</v>
      </c>
      <c r="S118" s="22">
        <f>+R118/$Q$122</f>
        <v>0</v>
      </c>
      <c r="EU118" s="108"/>
      <c r="EV118" s="115"/>
      <c r="EW118" s="108"/>
      <c r="EX118" s="108"/>
      <c r="EY118" s="108"/>
      <c r="EZ118" s="108"/>
      <c r="FA118" s="108"/>
      <c r="FB118" s="115"/>
      <c r="FC118" s="108"/>
      <c r="FD118" s="108"/>
      <c r="FE118" s="108"/>
      <c r="GG118" s="108"/>
      <c r="GH118" s="108"/>
      <c r="GI118" s="108"/>
      <c r="GJ118" s="108"/>
      <c r="GK118" s="108"/>
      <c r="GL118" s="108"/>
    </row>
    <row r="119" spans="6:212" ht="13.9" hidden="1" customHeight="1" outlineLevel="1" x14ac:dyDescent="0.25">
      <c r="F119" s="1" t="s">
        <v>217</v>
      </c>
      <c r="G119" s="22">
        <f>SUMIF($B$8:$B$72,"732999",$Q$8:$Q$72)</f>
        <v>0</v>
      </c>
      <c r="H119" s="22">
        <f>SUMIF($O$8:$O$72,"732999rbase",$Q$8:$Q$72)</f>
        <v>0</v>
      </c>
      <c r="I119" s="22">
        <f>SUMIF($O$8:$O$72,"732999rinc",$Q$8:$Q$72)</f>
        <v>0</v>
      </c>
      <c r="J119" s="22">
        <f>SUMIF($O$8:$O$72,"732999Wbase",$Q$8:$Q$72)</f>
        <v>0</v>
      </c>
      <c r="K119" s="22">
        <f>SUMIF($O$8:$O$72,"732999Winc",$Q$8:$Q$72)</f>
        <v>0</v>
      </c>
      <c r="M119" s="22" t="s">
        <v>218</v>
      </c>
      <c r="N119" s="22"/>
      <c r="O119" s="22"/>
      <c r="P119" s="22"/>
      <c r="Q119" s="141" t="s">
        <v>219</v>
      </c>
      <c r="R119" s="142">
        <f>SUMIF($T$8:$T$72,"A03",$Q$8:$Q$72)</f>
        <v>0</v>
      </c>
      <c r="S119" s="142">
        <f>+R119/$Q$122</f>
        <v>0</v>
      </c>
      <c r="EU119" s="1">
        <v>830</v>
      </c>
      <c r="EV119" s="1" t="s">
        <v>279</v>
      </c>
      <c r="EW119" s="1">
        <v>1000</v>
      </c>
      <c r="EX119" s="1" t="s">
        <v>280</v>
      </c>
      <c r="EY119" s="1">
        <v>1000</v>
      </c>
      <c r="EZ119" s="1" t="s">
        <v>280</v>
      </c>
      <c r="FA119" s="1">
        <v>830</v>
      </c>
      <c r="FB119" s="1" t="s">
        <v>279</v>
      </c>
      <c r="FC119" s="1">
        <v>1000</v>
      </c>
      <c r="FD119" s="1" t="s">
        <v>280</v>
      </c>
      <c r="FE119" s="1">
        <v>1000</v>
      </c>
      <c r="GG119" s="1">
        <v>1000</v>
      </c>
      <c r="GH119" s="1" t="s">
        <v>280</v>
      </c>
      <c r="GI119" s="1">
        <v>1000</v>
      </c>
      <c r="GJ119" s="1" t="s">
        <v>280</v>
      </c>
      <c r="GK119" s="1">
        <v>1000</v>
      </c>
      <c r="GL119" s="1" t="s">
        <v>280</v>
      </c>
    </row>
    <row r="120" spans="6:212" ht="13.9" hidden="1" customHeight="1" outlineLevel="1" x14ac:dyDescent="0.25">
      <c r="F120" s="1" t="s">
        <v>144</v>
      </c>
      <c r="G120" s="22">
        <f>SUMIF($B$8:$B$72,80,$Q$8:$Q$72)</f>
        <v>0</v>
      </c>
      <c r="H120" s="22">
        <f>SUMIF($O$8:$O$72,"80rbase",$Q$8:$Q$72)</f>
        <v>0</v>
      </c>
      <c r="I120" s="22">
        <f>SUMIF($O$8:$O$72,"80rinc",$Q$8:$Q$72)</f>
        <v>0</v>
      </c>
      <c r="J120" s="22">
        <f>SUMIF($O$8:$O$72,"80Wbase",$Q$8:$Q$72)</f>
        <v>0</v>
      </c>
      <c r="K120" s="22">
        <f>SUMIF($O$8:$O$72,"80Winc",$Q$8:$Q$72)</f>
        <v>0</v>
      </c>
      <c r="M120" s="22" t="s">
        <v>247</v>
      </c>
      <c r="N120" s="22"/>
      <c r="O120" s="22"/>
      <c r="P120" s="22"/>
      <c r="Q120" s="141"/>
      <c r="R120" s="15">
        <f>SUM(R117:R119)</f>
        <v>47281</v>
      </c>
      <c r="S120" s="15">
        <f>SUM(S117:S119)</f>
        <v>48303.093457562012</v>
      </c>
      <c r="T120" s="143" t="s">
        <v>221</v>
      </c>
      <c r="U120" s="143"/>
      <c r="V120" s="144"/>
      <c r="W120" s="143"/>
      <c r="X120" s="143"/>
      <c r="Y120" s="143"/>
      <c r="Z120" s="143"/>
      <c r="AA120" s="143"/>
      <c r="AB120" s="143"/>
      <c r="AC120" s="143"/>
      <c r="AD120" s="143"/>
      <c r="AE120" s="143"/>
      <c r="AF120" s="143"/>
      <c r="AG120" s="143"/>
      <c r="AH120" s="143"/>
      <c r="AI120" s="143"/>
      <c r="AJ120" s="143"/>
      <c r="AK120" s="143"/>
      <c r="AL120" s="143"/>
      <c r="AM120" s="143"/>
      <c r="AN120" s="143"/>
      <c r="AO120" s="143"/>
      <c r="AP120" s="143"/>
      <c r="AQ120" s="143"/>
      <c r="AR120" s="143"/>
      <c r="AS120" s="143"/>
      <c r="AT120" s="143"/>
      <c r="AU120" s="143"/>
      <c r="AV120" s="143"/>
      <c r="AW120" s="143"/>
      <c r="AX120" s="143"/>
      <c r="AY120" s="143"/>
      <c r="AZ120" s="143"/>
      <c r="BA120" s="143"/>
      <c r="BB120" s="143"/>
      <c r="BC120" s="143"/>
      <c r="BD120" s="143"/>
      <c r="BE120" s="143"/>
    </row>
    <row r="121" spans="6:212" hidden="1" outlineLevel="1" x14ac:dyDescent="0.25">
      <c r="F121" s="1" t="s">
        <v>220</v>
      </c>
      <c r="G121" s="22">
        <f>SUMIF($B$8:$B$72,67,$Q$8:$Q$72)</f>
        <v>0</v>
      </c>
      <c r="H121" s="22">
        <f>SUMIF($O$8:$O$72,"67rbase",$Q$8:$Q$72)</f>
        <v>0</v>
      </c>
      <c r="I121" s="22">
        <f>SUMIF($O$8:$O$72,"67rinc",$Q$8:$Q$72)</f>
        <v>0</v>
      </c>
      <c r="J121" s="22">
        <f>SUMIF($O$8:$O$72,"67Wbase",$Q$8:$Q$72)</f>
        <v>0</v>
      </c>
      <c r="K121" s="22">
        <f>SUMIF($O$8:$O$72,"67Winc",$Q$8:$Q$72)</f>
        <v>0</v>
      </c>
      <c r="O121" s="22"/>
      <c r="P121" s="22"/>
      <c r="Q121" s="1"/>
      <c r="R121" s="1"/>
      <c r="S121" s="1"/>
      <c r="T121" s="1"/>
      <c r="EU121" s="14">
        <f>EU3-SUM(EU8:EU119)</f>
        <v>-830</v>
      </c>
      <c r="EV121" s="19"/>
      <c r="EW121" s="14">
        <f>EW3-SUM(EW8:EW119)</f>
        <v>-1000</v>
      </c>
      <c r="EX121" s="14"/>
      <c r="EY121" s="14">
        <f>EY3-SUM(EY8:EY119)</f>
        <v>-1000</v>
      </c>
      <c r="EZ121" s="14"/>
      <c r="FA121" s="14">
        <f>FA3-SUM(FA8:FA119)</f>
        <v>-830</v>
      </c>
      <c r="FB121" s="19"/>
      <c r="FC121" s="14">
        <f>FC3-SUM(FC8:FC119)</f>
        <v>-1000</v>
      </c>
      <c r="FD121" s="14"/>
      <c r="FE121" s="14">
        <f>FE3-SUM(FE8:FE119)</f>
        <v>-1000</v>
      </c>
      <c r="GG121" s="14">
        <f>GG3-SUM(GG8:GG119)</f>
        <v>-1000</v>
      </c>
      <c r="GH121" s="14"/>
      <c r="GI121" s="14">
        <f>GI3-SUM(GI8:GI119)</f>
        <v>-1000</v>
      </c>
      <c r="GJ121" s="14"/>
      <c r="GK121" s="14">
        <f>GK3-SUM(GK8:GK119)</f>
        <v>-1000</v>
      </c>
      <c r="GL121" s="14"/>
    </row>
    <row r="122" spans="6:212" hidden="1" outlineLevel="1" x14ac:dyDescent="0.25">
      <c r="F122" s="1" t="s">
        <v>222</v>
      </c>
      <c r="G122" s="22">
        <f>SUMIF($B$8:$B$72,48,$Q$8:$Q$72)</f>
        <v>0</v>
      </c>
      <c r="H122" s="22">
        <f>SUMIF($O$8:$O$72,"48rbase",$Q$8:$Q$72)</f>
        <v>0</v>
      </c>
      <c r="I122" s="22">
        <f>SUMIF($O$8:$O$72,"48rinc",$Q$8:$Q$72)</f>
        <v>0</v>
      </c>
      <c r="J122" s="22">
        <f>SUMIF($O$8:$O$72,"48Wbase",$Q$8:$Q$72)</f>
        <v>0</v>
      </c>
      <c r="K122" s="22">
        <f>SUMIF($O$8:$O$72,"48Winc",$Q$8:$Q$72)</f>
        <v>0</v>
      </c>
      <c r="Q122" s="145">
        <v>0.97884000000000004</v>
      </c>
      <c r="S122" s="140"/>
      <c r="EU122" s="1">
        <f>+EU3-EU121</f>
        <v>3230</v>
      </c>
      <c r="EW122" s="1">
        <f>+EW3-EW121</f>
        <v>2915</v>
      </c>
      <c r="EY122" s="1">
        <f>+EY3-EY121</f>
        <v>1085</v>
      </c>
      <c r="FA122" s="1">
        <f>+FA3-FA121</f>
        <v>2830</v>
      </c>
      <c r="FC122" s="1">
        <f>+FC3-FC121</f>
        <v>6000</v>
      </c>
      <c r="FE122" s="1">
        <f>+FE3-FE121</f>
        <v>2000</v>
      </c>
      <c r="GG122" s="1">
        <f>+GG3-GG121</f>
        <v>1500</v>
      </c>
      <c r="GI122" s="1">
        <f>+GI3-GI121</f>
        <v>2000</v>
      </c>
      <c r="GK122" s="1">
        <f>+GK3-GK121</f>
        <v>2600</v>
      </c>
    </row>
    <row r="123" spans="6:212" hidden="1" outlineLevel="1" x14ac:dyDescent="0.25">
      <c r="F123" s="1" t="s">
        <v>223</v>
      </c>
      <c r="G123" s="22">
        <f>SUMIF($B$8:$B$72,348,$Q$8:$Q$72)</f>
        <v>0</v>
      </c>
      <c r="H123" s="22">
        <f>SUMIF($O$8:$O$72,"348rbase",$Q$8:$Q$72)</f>
        <v>0</v>
      </c>
      <c r="I123" s="22">
        <f>SUMIF($O$8:$O$72,"348rinc",$Q$8:$Q$72)</f>
        <v>0</v>
      </c>
      <c r="J123" s="22">
        <f>SUMIF($O$8:$O$72,"348Wbase",$Q$8:$Q$72)</f>
        <v>0</v>
      </c>
      <c r="K123" s="22">
        <f>SUMIF($O$8:$O$72,"348Winc",$Q$8:$Q$72)</f>
        <v>0</v>
      </c>
    </row>
    <row r="124" spans="6:212" ht="18" hidden="1" customHeight="1" outlineLevel="1" x14ac:dyDescent="0.25">
      <c r="F124" s="1" t="s">
        <v>224</v>
      </c>
      <c r="G124" s="22">
        <f>SUMIF($B$8:$B$72,44,$Q$8:$Q$72)</f>
        <v>0</v>
      </c>
      <c r="H124" s="22">
        <f>SUMIF($O$8:$O$72,"44rbase",$Q$8:$Q$72)</f>
        <v>0</v>
      </c>
      <c r="I124" s="22">
        <f>SUMIF($O$8:$O$72,"44rinc",$Q$8:$Q$72)</f>
        <v>0</v>
      </c>
      <c r="J124" s="22">
        <f>SUMIF($O$8:$O$72,"44Wbase",$Q$8:$Q$72)</f>
        <v>0</v>
      </c>
      <c r="K124" s="22">
        <f>SUMIF($O$8:$O$72,"44Winc",$Q$8:$Q$72)</f>
        <v>0</v>
      </c>
      <c r="N124" s="22"/>
      <c r="O124" s="22"/>
      <c r="P124" s="22"/>
      <c r="Q124" s="63" t="s">
        <v>164</v>
      </c>
      <c r="R124" s="22">
        <f>SUMIF($T$8:$T$72,"beth gas",$Q$8:$Q$72)</f>
        <v>0</v>
      </c>
      <c r="S124" s="22">
        <f>+R124/$Q$122</f>
        <v>0</v>
      </c>
    </row>
    <row r="125" spans="6:212" hidden="1" outlineLevel="1" x14ac:dyDescent="0.25">
      <c r="F125" s="1" t="s">
        <v>239</v>
      </c>
      <c r="G125" s="22">
        <f>SUMIF($B$8:$B$72,6,$Q$8:$Q$72)</f>
        <v>0</v>
      </c>
      <c r="H125" s="22">
        <f>SUMIF($O$8:$O$72,"6rbase",$Q$8:$Q$72)</f>
        <v>0</v>
      </c>
      <c r="I125" s="22">
        <f>SUMIF($O$8:$O$72,"6rinc",$Q$8:$Q$72)</f>
        <v>0</v>
      </c>
      <c r="J125" s="22">
        <f>SUMIF($O$8:$O$72,"6Wbase",$Q$8:$Q$72)</f>
        <v>0</v>
      </c>
      <c r="K125" s="22">
        <f>SUMIF($O$8:$O$72,"6Winc",$Q$8:$Q$72)</f>
        <v>0</v>
      </c>
      <c r="N125" s="22"/>
      <c r="O125" s="22"/>
      <c r="P125" s="22"/>
    </row>
    <row r="126" spans="6:212" hidden="1" outlineLevel="1" x14ac:dyDescent="0.25">
      <c r="F126" s="1" t="s">
        <v>225</v>
      </c>
      <c r="G126" s="22">
        <f>SUMIF($B$8:$B$72,24,$Q$8:$Q$72)</f>
        <v>3791</v>
      </c>
      <c r="H126" s="22">
        <f>SUMIF($O$8:$O$72,"24rbase",$Q$8:$Q$72)</f>
        <v>3791</v>
      </c>
      <c r="I126" s="22">
        <f>SUMIF($O$8:$O$72,"24rinc",$Q$8:$Q$72)</f>
        <v>0</v>
      </c>
      <c r="J126" s="22">
        <f>SUMIF($O$8:$O$72,"24Wbase",$Q$8:$Q$72)</f>
        <v>0</v>
      </c>
      <c r="K126" s="22">
        <f>SUMIF($O$8:$O$72,"24Winc",$Q$8:$Q$72)</f>
        <v>0</v>
      </c>
      <c r="P126" s="22"/>
    </row>
    <row r="127" spans="6:212" hidden="1" outlineLevel="1" x14ac:dyDescent="0.25">
      <c r="F127" s="1" t="s">
        <v>226</v>
      </c>
      <c r="G127" s="22">
        <f>SUMIF($B$8:$B$72,25,$Q$8:$Q$72)</f>
        <v>8983</v>
      </c>
      <c r="H127" s="22">
        <f>SUMIF($O$8:$O$72,"25rbase",$Q$8:$Q$72)</f>
        <v>0</v>
      </c>
      <c r="I127" s="22">
        <f>SUMIF($O$8:$O$72,"25rinc",$Q$8:$Q$72)</f>
        <v>0</v>
      </c>
      <c r="J127" s="22">
        <f>SUMIF($O$8:$O$72,"25Wbase",$Q$8:$Q$72)</f>
        <v>0</v>
      </c>
      <c r="K127" s="22">
        <f>SUMIF($O$8:$O$72,"25Winc",$Q$8:$Q$72)</f>
        <v>0</v>
      </c>
    </row>
    <row r="128" spans="6:212" hidden="1" outlineLevel="1" x14ac:dyDescent="0.25">
      <c r="F128" s="1" t="s">
        <v>227</v>
      </c>
      <c r="G128" s="22">
        <f>SUMIF($B$8:$B$72,19,$Q$8:$Q$72)</f>
        <v>299</v>
      </c>
      <c r="H128" s="22">
        <f>SUMIF($O$8:$O$72,"19rbase",$Q$8:$Q$72)</f>
        <v>299</v>
      </c>
      <c r="I128" s="22">
        <f>SUMIF($O$8:$O$72,"19rinc",$Q$8:$Q$72)</f>
        <v>0</v>
      </c>
      <c r="J128" s="22">
        <f>SUMIF($O$8:$O$72,"19Wbase",$Q$8:$Q$72)</f>
        <v>0</v>
      </c>
      <c r="K128" s="22">
        <f>SUMIF($O$8:$O$72,"19Winc",$Q$8:$Q$72)</f>
        <v>0</v>
      </c>
    </row>
    <row r="129" spans="6:194" hidden="1" outlineLevel="1" x14ac:dyDescent="0.25">
      <c r="F129" s="1" t="s">
        <v>151</v>
      </c>
      <c r="G129" s="22">
        <f>SUMIF($B$8:$B$72,29,$Q$8:$Q$72)</f>
        <v>0</v>
      </c>
      <c r="H129" s="22">
        <f>SUMIF($O$8:$O$72,"29rbase",$Q$8:$Q$72)</f>
        <v>0</v>
      </c>
      <c r="I129" s="22">
        <f>SUMIF($O$8:$O$72,"29rinc",$Q$8:$Q$72)</f>
        <v>0</v>
      </c>
      <c r="J129" s="22">
        <f>SUMIF($O$8:$O$72,"29Wbase",$Q$8:$Q$72)</f>
        <v>0</v>
      </c>
      <c r="K129" s="22">
        <f>SUMIF($O$8:$O$72,"29Winc",$Q$8:$Q$72)</f>
        <v>0</v>
      </c>
      <c r="EU129" s="118"/>
      <c r="EV129" s="126"/>
      <c r="EW129" s="118"/>
      <c r="EX129" s="118"/>
      <c r="EY129" s="118"/>
      <c r="EZ129" s="118"/>
      <c r="FA129" s="118"/>
      <c r="FB129" s="126"/>
      <c r="FC129" s="118"/>
      <c r="FD129" s="118"/>
      <c r="FE129" s="118"/>
      <c r="GG129" s="118"/>
      <c r="GH129" s="118"/>
      <c r="GI129" s="118"/>
      <c r="GJ129" s="118"/>
      <c r="GK129" s="118"/>
      <c r="GL129" s="118"/>
    </row>
    <row r="130" spans="6:194" hidden="1" outlineLevel="1" x14ac:dyDescent="0.25">
      <c r="F130" s="1" t="s">
        <v>211</v>
      </c>
      <c r="G130" s="22">
        <f>SUMIF($B$8:$B$72,"56W",$Q$8:$Q$72)</f>
        <v>0</v>
      </c>
      <c r="H130" s="22">
        <f>SUMIF($O$8:$O$72,"56Wrbase",$Q$8:$Q$72)</f>
        <v>0</v>
      </c>
      <c r="I130" s="22">
        <f>SUMIF($O$8:$O$72,"56Wrinc",$Q$8:$Q$72)</f>
        <v>0</v>
      </c>
      <c r="J130" s="22">
        <f>SUMIF($O$8:$O$72,"56WWbase",$Q$8:$Q$72)</f>
        <v>0</v>
      </c>
      <c r="K130" s="22">
        <f>SUMIF($O$8:$O$72,"56WWinc",$Q$8:$Q$72)</f>
        <v>0</v>
      </c>
      <c r="EU130" s="118"/>
      <c r="EV130" s="126"/>
      <c r="EW130" s="118"/>
      <c r="EX130" s="118"/>
      <c r="EY130" s="118"/>
      <c r="EZ130" s="118"/>
      <c r="FA130" s="118"/>
      <c r="FB130" s="126"/>
      <c r="FC130" s="118"/>
      <c r="FD130" s="118"/>
      <c r="FE130" s="118"/>
      <c r="GG130" s="118"/>
      <c r="GH130" s="118"/>
      <c r="GI130" s="118"/>
      <c r="GJ130" s="118"/>
      <c r="GK130" s="118"/>
      <c r="GL130" s="118"/>
    </row>
    <row r="131" spans="6:194" hidden="1" outlineLevel="1" x14ac:dyDescent="0.25">
      <c r="F131" s="1" t="s">
        <v>153</v>
      </c>
      <c r="G131" s="22">
        <f>SUMIF($B$8:$B$72,4,$Q$8:$Q$72)</f>
        <v>0</v>
      </c>
      <c r="H131" s="22">
        <f>SUMIF($O$8:$O$72,"4rbase",$Q$8:$Q$72)</f>
        <v>0</v>
      </c>
      <c r="I131" s="22">
        <f>SUMIF($O$8:$O$72,"4rinc",$Q$8:$Q$72)</f>
        <v>0</v>
      </c>
      <c r="J131" s="22">
        <f>SUMIF($O$8:$O$72,"4Wbase",$Q$8:$Q$72)</f>
        <v>0</v>
      </c>
      <c r="K131" s="22">
        <f>SUMIF($O$8:$O$72,"4Winc",$Q$8:$Q$72)</f>
        <v>0</v>
      </c>
    </row>
    <row r="132" spans="6:194" hidden="1" outlineLevel="1" x14ac:dyDescent="0.25">
      <c r="F132" s="1" t="s">
        <v>156</v>
      </c>
      <c r="G132" s="22">
        <f>SUMIF($B$8:$B$72,"loudoun",$Q$8:$Q$72)</f>
        <v>0</v>
      </c>
      <c r="H132" s="22">
        <f>SUMIF($O$8:$O$72,"LOUDOUNrbase",$Q$8:$Q$72)</f>
        <v>0</v>
      </c>
      <c r="I132" s="22">
        <f>SUMIF($O$8:$O$72,"LOUDOUNrinc",$Q$8:$Q$72)</f>
        <v>0</v>
      </c>
      <c r="J132" s="22">
        <f>SUMIF($O$8:$O$72,"LOUDOUNWbase",$Q$8:$Q$72)</f>
        <v>0</v>
      </c>
      <c r="K132" s="22">
        <f>SUMIF($O$8:$O$72,"LOUDOUNWinc",$Q$8:$Q$72)</f>
        <v>0</v>
      </c>
      <c r="EU132" s="50"/>
      <c r="EV132" s="56"/>
      <c r="EW132" s="50"/>
      <c r="EX132" s="50"/>
      <c r="EY132" s="50"/>
      <c r="EZ132" s="50"/>
      <c r="FA132" s="50"/>
      <c r="FB132" s="56"/>
      <c r="FC132" s="50"/>
      <c r="FD132" s="50"/>
      <c r="FE132" s="50"/>
      <c r="GG132" s="50"/>
      <c r="GH132" s="50"/>
      <c r="GI132" s="50"/>
      <c r="GJ132" s="50"/>
      <c r="GK132" s="50"/>
      <c r="GL132" s="50"/>
    </row>
    <row r="133" spans="6:194" hidden="1" outlineLevel="1" x14ac:dyDescent="0.25">
      <c r="F133" s="1" t="s">
        <v>19</v>
      </c>
      <c r="G133" s="22">
        <f>SUMIF($B$8:$B$72,"46",$Q$8:$Q$72)</f>
        <v>1211</v>
      </c>
      <c r="H133" s="22">
        <f>SUMIF($O$8:$O$72,"46rbase",$Q$8:$Q$72)</f>
        <v>1211</v>
      </c>
      <c r="I133" s="22">
        <f>SUMIF($O$8:$O$72,"46rinc",$Q$8:$Q$72)</f>
        <v>0</v>
      </c>
      <c r="J133" s="22">
        <f>SUMIF($O$8:$O$72,"46Wbase",$Q$8:$Q$72)</f>
        <v>0</v>
      </c>
      <c r="K133" s="22">
        <f>SUMIF($O$8:$O$72,"46Winc",$Q$8:$Q$72)</f>
        <v>0</v>
      </c>
    </row>
    <row r="134" spans="6:194" hidden="1" outlineLevel="1" x14ac:dyDescent="0.25">
      <c r="F134" s="1" t="s">
        <v>228</v>
      </c>
      <c r="G134" s="22">
        <f>SUMIF($B$8:$B$72,62,$Q$8:$Q$72)</f>
        <v>0</v>
      </c>
      <c r="H134" s="22">
        <f>SUMIF($O$8:$O$72,"62rbase",$Q$8:$Q$72)</f>
        <v>0</v>
      </c>
      <c r="I134" s="22">
        <f>SUMIF($O$8:$O$72,"62rinc",$Q$8:$Q$72)</f>
        <v>0</v>
      </c>
      <c r="J134" s="22">
        <f>SUMIF($O$8:$O$72,"62Wbase",$Q$8:$Q$72)</f>
        <v>0</v>
      </c>
      <c r="K134" s="22">
        <f>SUMIF($O$8:$O$72,"62Winc",$Q$8:$Q$72)</f>
        <v>0</v>
      </c>
    </row>
    <row r="135" spans="6:194" hidden="1" outlineLevel="1" x14ac:dyDescent="0.25">
      <c r="F135" s="1" t="s">
        <v>158</v>
      </c>
      <c r="G135" s="22">
        <f>SUMIF($B$8:$B$72,78,$Q$8:$Q$72)</f>
        <v>0</v>
      </c>
      <c r="H135" s="22">
        <f>SUMIF($O$8:$O$72,"78rbase",$Q$8:$Q$72)</f>
        <v>0</v>
      </c>
      <c r="I135" s="22">
        <f>SUMIF($O$8:$O$72,"78rinc",$Q$8:$Q$72)</f>
        <v>0</v>
      </c>
      <c r="J135" s="22">
        <f>SUMIF($O$8:$O$72,"78Wbase",$Q$8:$Q$72)</f>
        <v>0</v>
      </c>
      <c r="K135" s="22">
        <f>SUMIF($O$8:$O$72,"78Winc",$Q$8:$Q$72)</f>
        <v>0</v>
      </c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H135" s="13"/>
      <c r="DI135" s="13"/>
      <c r="DJ135" s="13"/>
      <c r="DK135" s="13"/>
      <c r="DL135" s="13"/>
      <c r="DM135" s="13"/>
      <c r="DN135" s="13"/>
      <c r="DO135" s="13"/>
      <c r="DP135" s="13"/>
      <c r="DQ135" s="13"/>
      <c r="DR135" s="13"/>
      <c r="DS135" s="13"/>
      <c r="DT135" s="13"/>
      <c r="DU135" s="13"/>
      <c r="EI135" s="13"/>
      <c r="EJ135" s="13"/>
      <c r="EK135" s="13"/>
      <c r="EL135" s="13"/>
      <c r="ES135" s="13"/>
      <c r="ET135" s="13"/>
      <c r="FF135" s="13"/>
      <c r="FG135" s="13"/>
      <c r="FH135" s="58"/>
      <c r="FT135" s="13"/>
      <c r="FZ135" s="13"/>
    </row>
    <row r="136" spans="6:194" hidden="1" outlineLevel="1" x14ac:dyDescent="0.25">
      <c r="F136" s="1" t="s">
        <v>241</v>
      </c>
      <c r="G136" s="22">
        <f>SUMIF($B$8:$B$72,52,$Q$8:$Q$72)</f>
        <v>0</v>
      </c>
      <c r="H136" s="22">
        <f>SUMIF($O$8:$O$72,"52rbase",$Q$8:$Q$72)</f>
        <v>0</v>
      </c>
      <c r="I136" s="22">
        <f>SUMIF($O$8:$O$72,"52rinc",$Q$8:$Q$72)</f>
        <v>0</v>
      </c>
      <c r="J136" s="22">
        <f>SUMIF($O$8:$O$72,"52Wbase",$Q$8:$Q$72)</f>
        <v>0</v>
      </c>
      <c r="K136" s="22">
        <f>SUMIF($O$8:$O$72,"52Winc",$Q$8:$Q$72)</f>
        <v>0</v>
      </c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EI136" s="43"/>
      <c r="EJ136" s="43"/>
      <c r="EK136" s="43"/>
      <c r="EL136" s="43"/>
      <c r="ES136" s="43"/>
      <c r="ET136" s="43"/>
      <c r="FF136" s="43"/>
      <c r="FG136" s="43"/>
      <c r="FH136" s="148"/>
      <c r="FT136" s="43"/>
      <c r="FZ136" s="43"/>
    </row>
    <row r="137" spans="6:194" hidden="1" outlineLevel="1" x14ac:dyDescent="0.25">
      <c r="F137" s="1" t="s">
        <v>134</v>
      </c>
      <c r="G137" s="22">
        <f>SUMIF($B$8:$B$72,88,$Q$8:$Q$72)</f>
        <v>0</v>
      </c>
      <c r="H137" s="22">
        <f>SUMIF($O$8:$O$72,"88rbase",$Q$8:$Q$72)</f>
        <v>0</v>
      </c>
      <c r="I137" s="22">
        <f>SUMIF($O$8:$O$72,"78rinc",$Q$8:$Q$72)</f>
        <v>0</v>
      </c>
      <c r="J137" s="22">
        <f>SUMIF($O$8:$O$72,"88Wbase",$Q$8:$Q$72)</f>
        <v>0</v>
      </c>
      <c r="K137" s="22">
        <f>SUMIF($O$8:$O$72,"78Winc",$Q$8:$Q$72)</f>
        <v>0</v>
      </c>
    </row>
    <row r="138" spans="6:194" hidden="1" outlineLevel="1" x14ac:dyDescent="0.25">
      <c r="F138" s="1" t="s">
        <v>269</v>
      </c>
      <c r="G138" s="22">
        <f>SUMIF($B$8:$B$72,634197,$Q$8:$Q$72)</f>
        <v>0</v>
      </c>
      <c r="H138" s="22">
        <f>SUMIF($O$8:$O$72,"634198Wbase",$Q$8:$Q$72)</f>
        <v>0</v>
      </c>
      <c r="I138" s="22">
        <f>SUMIF($O$8:$O$72,"634197rinc",$Q$8:$Q$72)</f>
        <v>0</v>
      </c>
      <c r="J138" s="22">
        <f>SUMIF($O$8:$O$72,"634197Wbase",$Q$8:$Q$72)</f>
        <v>0</v>
      </c>
      <c r="K138" s="22">
        <f>SUMIF($O$8:$O$72,"634197Winc",$Q$8:$Q$72)</f>
        <v>0</v>
      </c>
    </row>
    <row r="139" spans="6:194" hidden="1" outlineLevel="1" x14ac:dyDescent="0.25">
      <c r="F139" s="1" t="s">
        <v>161</v>
      </c>
      <c r="G139" s="22">
        <f>SUMIF($B$8:$B$72,"STOI",$Q$8:$Q$72)</f>
        <v>-35598</v>
      </c>
      <c r="H139" s="22">
        <f>SUMIF($O$8:$O$72,"STOIrbase",$Q$8:$Q$72)</f>
        <v>0</v>
      </c>
      <c r="I139" s="22">
        <f>SUMIF($O$8:$O$72,"STOIrinc",$Q$8:$Q$72)</f>
        <v>0</v>
      </c>
      <c r="J139" s="22">
        <f>SUMIF($O$8:$O$72,"STOIWbase",$Q$8:$Q$72)</f>
        <v>-35598</v>
      </c>
      <c r="K139" s="22">
        <f>SUMIF($O$8:$O$72,"STOIWinc",$Q$8:$Q$72)</f>
        <v>0</v>
      </c>
    </row>
    <row r="140" spans="6:194" hidden="1" outlineLevel="1" x14ac:dyDescent="0.25">
      <c r="G140" s="22"/>
      <c r="H140" s="22"/>
      <c r="K140" s="1"/>
      <c r="EU140" s="50"/>
      <c r="EV140" s="56"/>
      <c r="EW140" s="50"/>
      <c r="EX140" s="50"/>
      <c r="EY140" s="50"/>
      <c r="EZ140" s="50"/>
      <c r="FA140" s="50"/>
      <c r="FB140" s="56"/>
      <c r="FC140" s="50"/>
      <c r="FD140" s="50"/>
      <c r="FE140" s="50"/>
      <c r="GG140" s="50"/>
      <c r="GH140" s="50"/>
      <c r="GI140" s="50"/>
      <c r="GJ140" s="50"/>
      <c r="GK140" s="50"/>
      <c r="GL140" s="50"/>
    </row>
    <row r="141" spans="6:194" hidden="1" outlineLevel="1" x14ac:dyDescent="0.25">
      <c r="F141" s="14" t="s">
        <v>85</v>
      </c>
      <c r="G141" s="15">
        <f>SUM(G101:G139)</f>
        <v>47281</v>
      </c>
      <c r="H141" s="15">
        <f>SUM(H101:H139)</f>
        <v>73896</v>
      </c>
      <c r="I141" s="15">
        <f>SUM(I101:I139)</f>
        <v>0</v>
      </c>
      <c r="J141" s="15">
        <f>SUM(J101:J139)</f>
        <v>-35598</v>
      </c>
      <c r="K141" s="15">
        <f>SUM(K101:K139)</f>
        <v>0</v>
      </c>
      <c r="EU141" s="50"/>
      <c r="EV141" s="56"/>
      <c r="EW141" s="50"/>
      <c r="EX141" s="50"/>
      <c r="EY141" s="50"/>
      <c r="EZ141" s="50"/>
      <c r="FA141" s="50"/>
      <c r="FB141" s="56"/>
      <c r="FC141" s="50"/>
      <c r="FD141" s="50"/>
      <c r="FE141" s="50"/>
      <c r="GG141" s="50"/>
      <c r="GH141" s="50"/>
      <c r="GI141" s="50"/>
      <c r="GJ141" s="50"/>
      <c r="GK141" s="50"/>
      <c r="GL141" s="50"/>
    </row>
    <row r="142" spans="6:194" hidden="1" outlineLevel="1" x14ac:dyDescent="0.25">
      <c r="F142" s="14"/>
      <c r="G142" s="15"/>
      <c r="H142" s="15"/>
      <c r="J142" s="15"/>
      <c r="K142" s="1"/>
      <c r="EU142" s="50"/>
      <c r="EV142" s="56"/>
      <c r="EW142" s="50"/>
      <c r="EX142" s="50"/>
      <c r="EY142" s="50"/>
      <c r="EZ142" s="50"/>
      <c r="FA142" s="50"/>
      <c r="FB142" s="56"/>
      <c r="FC142" s="50"/>
      <c r="FD142" s="50"/>
      <c r="FE142" s="50"/>
      <c r="GG142" s="50"/>
      <c r="GH142" s="50"/>
      <c r="GI142" s="50"/>
      <c r="GJ142" s="50"/>
      <c r="GK142" s="50"/>
      <c r="GL142" s="50"/>
    </row>
    <row r="143" spans="6:194" hidden="1" outlineLevel="1" x14ac:dyDescent="0.25">
      <c r="F143" s="14" t="s">
        <v>229</v>
      </c>
      <c r="G143" s="15">
        <v>0</v>
      </c>
      <c r="H143" s="15">
        <v>0</v>
      </c>
      <c r="J143" s="15"/>
      <c r="K143" s="1"/>
      <c r="EU143" s="50"/>
      <c r="EV143" s="56"/>
      <c r="EW143" s="50"/>
      <c r="EX143" s="50"/>
      <c r="EY143" s="50"/>
      <c r="EZ143" s="50"/>
      <c r="FA143" s="50"/>
      <c r="FB143" s="56"/>
      <c r="FC143" s="50"/>
      <c r="FD143" s="50"/>
      <c r="FE143" s="50"/>
      <c r="GG143" s="50"/>
      <c r="GH143" s="50"/>
      <c r="GI143" s="50"/>
      <c r="GJ143" s="50"/>
      <c r="GK143" s="50"/>
      <c r="GL143" s="50"/>
    </row>
    <row r="144" spans="6:194" hidden="1" outlineLevel="1" x14ac:dyDescent="0.25">
      <c r="F144" s="14" t="s">
        <v>230</v>
      </c>
      <c r="G144" s="15"/>
      <c r="H144" s="15"/>
      <c r="J144" s="15">
        <f>-Q71</f>
        <v>0</v>
      </c>
      <c r="K144" s="1"/>
      <c r="EU144" s="50"/>
      <c r="EV144" s="56"/>
      <c r="EW144" s="50"/>
      <c r="EX144" s="50"/>
      <c r="EY144" s="50"/>
      <c r="EZ144" s="50"/>
      <c r="FA144" s="50"/>
      <c r="FB144" s="56"/>
      <c r="FC144" s="50"/>
      <c r="FD144" s="50"/>
      <c r="FE144" s="50"/>
      <c r="GG144" s="50"/>
      <c r="GH144" s="50"/>
      <c r="GI144" s="50"/>
      <c r="GJ144" s="50"/>
      <c r="GK144" s="50"/>
      <c r="GL144" s="50"/>
    </row>
    <row r="145" spans="1:214" hidden="1" outlineLevel="1" x14ac:dyDescent="0.25">
      <c r="A145" s="117"/>
      <c r="G145" s="22"/>
      <c r="K145" s="1"/>
      <c r="BP145" s="13"/>
    </row>
    <row r="146" spans="1:214" s="14" customFormat="1" hidden="1" outlineLevel="1" x14ac:dyDescent="0.25">
      <c r="B146" s="13"/>
      <c r="G146" s="15">
        <f>+G141+G143+G144</f>
        <v>47281</v>
      </c>
      <c r="H146" s="15">
        <f>+H141+H143+H144</f>
        <v>73896</v>
      </c>
      <c r="I146" s="15">
        <f>+I141+I143+I144</f>
        <v>0</v>
      </c>
      <c r="J146" s="15">
        <f>+J141+J143+J144</f>
        <v>-35598</v>
      </c>
      <c r="K146" s="15">
        <f>+K141+K143+K144</f>
        <v>0</v>
      </c>
      <c r="Q146" s="131"/>
      <c r="R146" s="27"/>
      <c r="S146" s="27"/>
      <c r="T146" s="17"/>
      <c r="U146" s="17"/>
      <c r="V146" s="29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8"/>
      <c r="BG146" s="13"/>
      <c r="BH146" s="13"/>
      <c r="BI146" s="13"/>
      <c r="BJ146" s="13"/>
      <c r="BK146" s="13"/>
      <c r="BL146" s="13"/>
      <c r="BM146" s="13"/>
      <c r="BN146" s="13"/>
      <c r="BO146" s="13"/>
      <c r="BP146" s="4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3"/>
      <c r="DW146" s="13"/>
      <c r="DX146" s="13"/>
      <c r="DY146" s="13"/>
      <c r="DZ146" s="13"/>
      <c r="EA146" s="13"/>
      <c r="EB146" s="13"/>
      <c r="EC146" s="13"/>
      <c r="ED146" s="13"/>
      <c r="EE146" s="13"/>
      <c r="EF146" s="13"/>
      <c r="EG146" s="13"/>
      <c r="EH146" s="13"/>
      <c r="EI146" s="1"/>
      <c r="EJ146" s="1"/>
      <c r="EK146" s="1"/>
      <c r="EL146" s="1"/>
      <c r="EM146" s="13"/>
      <c r="EN146" s="13"/>
      <c r="EO146" s="13"/>
      <c r="EP146" s="13"/>
      <c r="EQ146" s="13"/>
      <c r="ER146" s="13"/>
      <c r="ES146" s="1"/>
      <c r="ET146" s="1"/>
      <c r="EU146" s="1"/>
      <c r="EV146" s="65"/>
      <c r="EW146" s="1"/>
      <c r="EX146" s="1"/>
      <c r="EY146" s="1"/>
      <c r="EZ146" s="1"/>
      <c r="FA146" s="1"/>
      <c r="FB146" s="65"/>
      <c r="FC146" s="1"/>
      <c r="FD146" s="1"/>
      <c r="FE146" s="1"/>
      <c r="FF146" s="1"/>
      <c r="FG146" s="1"/>
      <c r="FH146" s="1"/>
      <c r="FI146" s="13"/>
      <c r="FJ146" s="13"/>
      <c r="FK146" s="13"/>
      <c r="FL146" s="13"/>
      <c r="FM146" s="13"/>
      <c r="FN146" s="13"/>
      <c r="FO146" s="13"/>
      <c r="FP146" s="13"/>
      <c r="FQ146" s="13"/>
      <c r="FR146" s="13"/>
      <c r="FS146" s="13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</row>
    <row r="147" spans="1:214" s="43" customFormat="1" hidden="1" outlineLevel="1" x14ac:dyDescent="0.25">
      <c r="B147" s="44"/>
      <c r="F147" s="43">
        <v>0.97884000000000004</v>
      </c>
      <c r="R147" s="26"/>
      <c r="S147" s="26"/>
      <c r="T147" s="44"/>
      <c r="U147" s="44"/>
      <c r="V147" s="45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  <c r="BA147" s="44"/>
      <c r="BB147" s="44"/>
      <c r="BC147" s="44"/>
      <c r="BD147" s="44"/>
      <c r="BE147" s="44"/>
      <c r="BF147" s="46"/>
      <c r="BG147" s="44"/>
      <c r="BP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EI147" s="1"/>
      <c r="EJ147" s="1"/>
      <c r="EK147" s="1"/>
      <c r="EL147" s="1"/>
      <c r="ES147" s="1"/>
      <c r="ET147" s="1"/>
      <c r="EU147" s="1"/>
      <c r="EV147" s="65"/>
      <c r="EW147" s="1"/>
      <c r="EX147" s="1"/>
      <c r="EY147" s="1"/>
      <c r="EZ147" s="1"/>
      <c r="FA147" s="1"/>
      <c r="FB147" s="65"/>
      <c r="FC147" s="1"/>
      <c r="FD147" s="1"/>
      <c r="FE147" s="1"/>
      <c r="FF147" s="1"/>
      <c r="FG147" s="1"/>
      <c r="FH147" s="1"/>
      <c r="FJ147" s="146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</row>
    <row r="148" spans="1:214" hidden="1" outlineLevel="1" x14ac:dyDescent="0.25">
      <c r="F148" s="1" t="s">
        <v>231</v>
      </c>
      <c r="G148" s="15">
        <f>+G146/$F$147</f>
        <v>48303.093457562012</v>
      </c>
      <c r="H148" s="15">
        <f>+H146/$F$147</f>
        <v>75493.441216133375</v>
      </c>
      <c r="I148" s="15"/>
      <c r="J148" s="15">
        <f>+J146/$F$147</f>
        <v>-36367.537084712516</v>
      </c>
      <c r="K148" s="1"/>
      <c r="HE148" s="22"/>
      <c r="HF148" s="22"/>
    </row>
    <row r="149" spans="1:214" hidden="1" outlineLevel="1" x14ac:dyDescent="0.25">
      <c r="H149" s="84"/>
      <c r="HE149" s="22"/>
      <c r="HF149" s="22"/>
    </row>
    <row r="150" spans="1:214" ht="12.6" customHeight="1" collapsed="1" x14ac:dyDescent="0.25">
      <c r="H150" s="84"/>
      <c r="HE150" s="22"/>
      <c r="HF150" s="22"/>
    </row>
    <row r="151" spans="1:214" x14ac:dyDescent="0.25">
      <c r="H151" s="84"/>
      <c r="HE151" s="22"/>
      <c r="HF151" s="22"/>
    </row>
    <row r="152" spans="1:214" ht="13.9" customHeight="1" x14ac:dyDescent="0.25">
      <c r="H152" s="84"/>
      <c r="HE152" s="22"/>
      <c r="HF152" s="22"/>
    </row>
    <row r="153" spans="1:214" x14ac:dyDescent="0.25">
      <c r="FU153" s="13"/>
      <c r="FW153" s="13"/>
      <c r="FY153" s="13"/>
      <c r="GA153" s="13"/>
      <c r="GB153" s="13"/>
      <c r="GC153" s="13"/>
      <c r="GD153" s="13"/>
      <c r="GE153" s="13"/>
      <c r="GF153" s="13"/>
    </row>
    <row r="154" spans="1:214" x14ac:dyDescent="0.25">
      <c r="H154" s="128"/>
      <c r="FU154" s="43"/>
      <c r="FW154" s="43"/>
      <c r="FY154" s="43"/>
      <c r="GA154" s="43"/>
      <c r="GB154" s="43"/>
      <c r="GC154" s="43"/>
      <c r="GD154" s="43"/>
      <c r="GE154" s="43"/>
      <c r="GF154" s="43"/>
    </row>
    <row r="155" spans="1:214" x14ac:dyDescent="0.25">
      <c r="H155" s="128"/>
    </row>
    <row r="156" spans="1:214" x14ac:dyDescent="0.25">
      <c r="H156" s="128"/>
    </row>
    <row r="157" spans="1:214" x14ac:dyDescent="0.25">
      <c r="H157" s="128"/>
    </row>
    <row r="158" spans="1:214" x14ac:dyDescent="0.25">
      <c r="H158" s="128"/>
    </row>
    <row r="159" spans="1:214" x14ac:dyDescent="0.25">
      <c r="H159" s="128"/>
    </row>
    <row r="160" spans="1:214" x14ac:dyDescent="0.25">
      <c r="H160" s="128"/>
    </row>
    <row r="161" spans="1:214" x14ac:dyDescent="0.25">
      <c r="H161" s="128"/>
    </row>
    <row r="162" spans="1:214" x14ac:dyDescent="0.25">
      <c r="H162" s="128"/>
    </row>
    <row r="163" spans="1:214" x14ac:dyDescent="0.25">
      <c r="H163" s="128"/>
    </row>
    <row r="164" spans="1:214" x14ac:dyDescent="0.25">
      <c r="A164" s="117"/>
      <c r="FV164" s="13"/>
      <c r="FX164" s="13"/>
      <c r="GM164" s="13"/>
      <c r="GN164" s="13"/>
      <c r="GO164" s="13"/>
      <c r="GP164" s="13"/>
      <c r="GQ164" s="13"/>
      <c r="GR164" s="13"/>
      <c r="GS164" s="13"/>
      <c r="GT164" s="13"/>
      <c r="GU164" s="13"/>
      <c r="GV164" s="13"/>
      <c r="GW164" s="13"/>
      <c r="GX164" s="13"/>
      <c r="GY164" s="13"/>
      <c r="GZ164" s="13"/>
      <c r="HA164" s="13"/>
      <c r="HB164" s="13"/>
      <c r="HC164" s="13"/>
      <c r="HD164" s="13"/>
    </row>
    <row r="165" spans="1:214" x14ac:dyDescent="0.25">
      <c r="H165" s="84"/>
      <c r="FV165" s="146"/>
      <c r="FX165" s="146"/>
      <c r="GM165" s="43"/>
      <c r="GN165" s="43"/>
      <c r="GO165" s="43"/>
      <c r="GP165" s="43"/>
      <c r="GQ165" s="43"/>
      <c r="GR165" s="43"/>
      <c r="GS165" s="43"/>
      <c r="GT165" s="43"/>
      <c r="GU165" s="43"/>
      <c r="GV165" s="146"/>
      <c r="GW165" s="43"/>
      <c r="GX165" s="43"/>
      <c r="GY165" s="43"/>
      <c r="GZ165" s="43"/>
      <c r="HA165" s="43"/>
      <c r="HB165" s="43"/>
      <c r="HC165" s="43"/>
      <c r="HD165" s="146"/>
      <c r="HE165" s="22"/>
      <c r="HF165" s="22"/>
    </row>
    <row r="193" spans="151:194" x14ac:dyDescent="0.25">
      <c r="EU193" s="13"/>
      <c r="EV193" s="30"/>
      <c r="EW193" s="13"/>
      <c r="EX193" s="13"/>
      <c r="EY193" s="13"/>
      <c r="EZ193" s="13"/>
      <c r="FA193" s="13"/>
      <c r="FB193" s="30"/>
      <c r="FC193" s="13"/>
      <c r="FD193" s="13"/>
      <c r="FE193" s="13"/>
      <c r="GG193" s="13"/>
      <c r="GH193" s="13"/>
      <c r="GI193" s="13"/>
      <c r="GJ193" s="13"/>
      <c r="GK193" s="13"/>
      <c r="GL193" s="13"/>
    </row>
    <row r="194" spans="151:194" x14ac:dyDescent="0.25">
      <c r="EU194" s="43"/>
      <c r="EV194" s="47"/>
      <c r="EW194" s="43"/>
      <c r="EX194" s="43"/>
      <c r="EY194" s="43"/>
      <c r="EZ194" s="43"/>
      <c r="FA194" s="43"/>
      <c r="FB194" s="47"/>
      <c r="FC194" s="43"/>
      <c r="FD194" s="43"/>
      <c r="FE194" s="43"/>
      <c r="GG194" s="43"/>
      <c r="GH194" s="43"/>
      <c r="GI194" s="43"/>
      <c r="GJ194" s="43"/>
      <c r="GK194" s="43"/>
      <c r="GL194" s="43"/>
    </row>
  </sheetData>
  <mergeCells count="2">
    <mergeCell ref="R4:S4"/>
    <mergeCell ref="R78:S78"/>
  </mergeCells>
  <printOptions gridLines="1"/>
  <pageMargins left="0" right="0" top="0.25" bottom="0.5" header="0" footer="0"/>
  <pageSetup scale="66" fitToWidth="33" pageOrder="overThenDown" orientation="portrait" r:id="rId1"/>
  <headerFooter alignWithMargins="0">
    <oddFooter>&amp;Lc:\mydocuments\&amp;F
&amp;P of &amp;N&amp;C&amp;A&amp;R&amp;D  &amp;T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Jan  Setup</vt:lpstr>
      <vt:lpstr>'Jan  Setup'!Print_Area</vt:lpstr>
      <vt:lpstr>'Jan  Setup'!Print_Titles</vt:lpstr>
    </vt:vector>
  </TitlesOfParts>
  <Company>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 Collins</dc:creator>
  <cp:lastModifiedBy>Jan Havlíček</cp:lastModifiedBy>
  <cp:lastPrinted>2000-10-27T19:46:48Z</cp:lastPrinted>
  <dcterms:created xsi:type="dcterms:W3CDTF">1999-12-17T18:07:33Z</dcterms:created>
  <dcterms:modified xsi:type="dcterms:W3CDTF">2023-09-14T19:29:17Z</dcterms:modified>
</cp:coreProperties>
</file>