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D032C8-6C6C-416F-8C97-E5346F5EBCB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onfirmation" sheetId="10101" r:id="rId1"/>
    <sheet name="10-10" sheetId="10104" r:id="rId2"/>
    <sheet name="10-7,8,9" sheetId="10103" r:id="rId3"/>
    <sheet name="10-6" sheetId="10102" r:id="rId4"/>
    <sheet name="10-5" sheetId="10100" r:id="rId5"/>
    <sheet name="10-4" sheetId="1" r:id="rId6"/>
    <sheet name="10-3" sheetId="10099" r:id="rId7"/>
    <sheet name="10-1,2" sheetId="10098" r:id="rId8"/>
  </sheets>
  <definedNames>
    <definedName name="_xlnm.Print_Area" localSheetId="5">'10-4'!$A$1:$M$75</definedName>
  </definedNames>
  <calcPr calcId="0"/>
</workbook>
</file>

<file path=xl/calcChain.xml><?xml version="1.0" encoding="utf-8"?>
<calcChain xmlns="http://schemas.openxmlformats.org/spreadsheetml/2006/main">
  <c r="I2" i="10098" l="1"/>
  <c r="D28" i="10098"/>
  <c r="F28" i="10098"/>
  <c r="H28" i="10098"/>
  <c r="J28" i="10098"/>
  <c r="D33" i="10098"/>
  <c r="F33" i="10098"/>
  <c r="H33" i="10098"/>
  <c r="J33" i="10098"/>
  <c r="D39" i="10098"/>
  <c r="D40" i="10098"/>
  <c r="F40" i="10098"/>
  <c r="H40" i="10098"/>
  <c r="J40" i="10098"/>
  <c r="D45" i="10098"/>
  <c r="F45" i="10098"/>
  <c r="H45" i="10098"/>
  <c r="J45" i="10098"/>
  <c r="D46" i="10098"/>
  <c r="F46" i="10098"/>
  <c r="H46" i="10098"/>
  <c r="J46" i="10098"/>
  <c r="D47" i="10098"/>
  <c r="F47" i="10098"/>
  <c r="H47" i="10098"/>
  <c r="J47" i="10098"/>
  <c r="D55" i="10098"/>
  <c r="F55" i="10098"/>
  <c r="H55" i="10098"/>
  <c r="J55" i="10098"/>
  <c r="I1" i="10104"/>
  <c r="I2" i="10104"/>
  <c r="D9" i="10104"/>
  <c r="F9" i="10104"/>
  <c r="H9" i="10104"/>
  <c r="J9" i="10104"/>
  <c r="D11" i="10104"/>
  <c r="F11" i="10104"/>
  <c r="H11" i="10104"/>
  <c r="J11" i="10104"/>
  <c r="D22" i="10104"/>
  <c r="F22" i="10104"/>
  <c r="H22" i="10104"/>
  <c r="J22" i="10104"/>
  <c r="D23" i="10104"/>
  <c r="F23" i="10104"/>
  <c r="H23" i="10104"/>
  <c r="J23" i="10104"/>
  <c r="D28" i="10104"/>
  <c r="J28" i="10104"/>
  <c r="B29" i="10104"/>
  <c r="D29" i="10104"/>
  <c r="F29" i="10104"/>
  <c r="H29" i="10104"/>
  <c r="J29" i="10104"/>
  <c r="D31" i="10104"/>
  <c r="F31" i="10104"/>
  <c r="H31" i="10104"/>
  <c r="J31" i="10104"/>
  <c r="D32" i="10104"/>
  <c r="D36" i="10104"/>
  <c r="F36" i="10104"/>
  <c r="H36" i="10104"/>
  <c r="J36" i="10104"/>
  <c r="D43" i="10104"/>
  <c r="F43" i="10104"/>
  <c r="H43" i="10104"/>
  <c r="J43" i="10104"/>
  <c r="F44" i="10104"/>
  <c r="H44" i="10104"/>
  <c r="J44" i="10104"/>
  <c r="D48" i="10104"/>
  <c r="F48" i="10104"/>
  <c r="H48" i="10104"/>
  <c r="J48" i="10104"/>
  <c r="D49" i="10104"/>
  <c r="F49" i="10104"/>
  <c r="H49" i="10104"/>
  <c r="J49" i="10104"/>
  <c r="D50" i="10104"/>
  <c r="F50" i="10104"/>
  <c r="H50" i="10104"/>
  <c r="J50" i="10104"/>
  <c r="D58" i="10104"/>
  <c r="F58" i="10104"/>
  <c r="H58" i="10104"/>
  <c r="J58" i="10104"/>
  <c r="D60" i="10104"/>
  <c r="F60" i="10104"/>
  <c r="H60" i="10104"/>
  <c r="J60" i="10104"/>
  <c r="D71" i="10104"/>
  <c r="F71" i="10104"/>
  <c r="I2" i="10099"/>
  <c r="D19" i="10099"/>
  <c r="F19" i="10099"/>
  <c r="H19" i="10099"/>
  <c r="J19" i="10099"/>
  <c r="D28" i="10099"/>
  <c r="F28" i="10099"/>
  <c r="H28" i="10099"/>
  <c r="J28" i="10099"/>
  <c r="D33" i="10099"/>
  <c r="F33" i="10099"/>
  <c r="H33" i="10099"/>
  <c r="J33" i="10099"/>
  <c r="D40" i="10099"/>
  <c r="F40" i="10099"/>
  <c r="H40" i="10099"/>
  <c r="J40" i="10099"/>
  <c r="D45" i="10099"/>
  <c r="F45" i="10099"/>
  <c r="H45" i="10099"/>
  <c r="J45" i="10099"/>
  <c r="D46" i="10099"/>
  <c r="F46" i="10099"/>
  <c r="H46" i="10099"/>
  <c r="J46" i="10099"/>
  <c r="D47" i="10099"/>
  <c r="F47" i="10099"/>
  <c r="H47" i="10099"/>
  <c r="J47" i="10099"/>
  <c r="D55" i="10099"/>
  <c r="F55" i="10099"/>
  <c r="H55" i="10099"/>
  <c r="J55" i="10099"/>
  <c r="I2" i="1"/>
  <c r="D19" i="1"/>
  <c r="F19" i="1"/>
  <c r="H19" i="1"/>
  <c r="J19" i="1"/>
  <c r="D28" i="1"/>
  <c r="F28" i="1"/>
  <c r="H28" i="1"/>
  <c r="J28" i="1"/>
  <c r="D33" i="1"/>
  <c r="F33" i="1"/>
  <c r="H33" i="1"/>
  <c r="J33" i="1"/>
  <c r="D40" i="1"/>
  <c r="F40" i="1"/>
  <c r="H40" i="1"/>
  <c r="J40" i="1"/>
  <c r="D45" i="1"/>
  <c r="F45" i="1"/>
  <c r="H45" i="1"/>
  <c r="J45" i="1"/>
  <c r="D46" i="1"/>
  <c r="F46" i="1"/>
  <c r="H46" i="1"/>
  <c r="J46" i="1"/>
  <c r="D47" i="1"/>
  <c r="F47" i="1"/>
  <c r="H47" i="1"/>
  <c r="J47" i="1"/>
  <c r="D55" i="1"/>
  <c r="F55" i="1"/>
  <c r="H55" i="1"/>
  <c r="J55" i="1"/>
  <c r="I1" i="10100"/>
  <c r="I2" i="10100"/>
  <c r="D9" i="10100"/>
  <c r="F9" i="10100"/>
  <c r="H9" i="10100"/>
  <c r="J9" i="10100"/>
  <c r="D22" i="10100"/>
  <c r="F22" i="10100"/>
  <c r="H22" i="10100"/>
  <c r="J22" i="10100"/>
  <c r="D23" i="10100"/>
  <c r="F23" i="10100"/>
  <c r="H23" i="10100"/>
  <c r="J23" i="10100"/>
  <c r="H29" i="10100"/>
  <c r="J29" i="10100"/>
  <c r="D31" i="10100"/>
  <c r="F31" i="10100"/>
  <c r="H31" i="10100"/>
  <c r="J31" i="10100"/>
  <c r="D36" i="10100"/>
  <c r="F36" i="10100"/>
  <c r="H36" i="10100"/>
  <c r="J36" i="10100"/>
  <c r="D43" i="10100"/>
  <c r="F43" i="10100"/>
  <c r="H43" i="10100"/>
  <c r="J43" i="10100"/>
  <c r="D48" i="10100"/>
  <c r="F48" i="10100"/>
  <c r="H48" i="10100"/>
  <c r="J48" i="10100"/>
  <c r="D49" i="10100"/>
  <c r="F49" i="10100"/>
  <c r="H49" i="10100"/>
  <c r="J49" i="10100"/>
  <c r="D50" i="10100"/>
  <c r="F50" i="10100"/>
  <c r="H50" i="10100"/>
  <c r="J50" i="10100"/>
  <c r="D58" i="10100"/>
  <c r="F58" i="10100"/>
  <c r="H58" i="10100"/>
  <c r="J58" i="10100"/>
  <c r="D60" i="10100"/>
  <c r="F60" i="10100"/>
  <c r="H60" i="10100"/>
  <c r="J60" i="10100"/>
  <c r="I1" i="10102"/>
  <c r="I2" i="10102"/>
  <c r="D9" i="10102"/>
  <c r="F9" i="10102"/>
  <c r="H9" i="10102"/>
  <c r="J9" i="10102"/>
  <c r="D22" i="10102"/>
  <c r="F22" i="10102"/>
  <c r="H22" i="10102"/>
  <c r="J22" i="10102"/>
  <c r="D23" i="10102"/>
  <c r="F23" i="10102"/>
  <c r="H23" i="10102"/>
  <c r="J23" i="10102"/>
  <c r="D31" i="10102"/>
  <c r="F31" i="10102"/>
  <c r="H31" i="10102"/>
  <c r="J31" i="10102"/>
  <c r="D36" i="10102"/>
  <c r="F36" i="10102"/>
  <c r="H36" i="10102"/>
  <c r="J36" i="10102"/>
  <c r="D43" i="10102"/>
  <c r="F43" i="10102"/>
  <c r="H43" i="10102"/>
  <c r="J43" i="10102"/>
  <c r="D48" i="10102"/>
  <c r="F48" i="10102"/>
  <c r="H48" i="10102"/>
  <c r="J48" i="10102"/>
  <c r="D49" i="10102"/>
  <c r="F49" i="10102"/>
  <c r="H49" i="10102"/>
  <c r="J49" i="10102"/>
  <c r="D50" i="10102"/>
  <c r="F50" i="10102"/>
  <c r="H50" i="10102"/>
  <c r="J50" i="10102"/>
  <c r="D58" i="10102"/>
  <c r="F58" i="10102"/>
  <c r="H58" i="10102"/>
  <c r="J58" i="10102"/>
  <c r="D60" i="10102"/>
  <c r="F60" i="10102"/>
  <c r="H60" i="10102"/>
  <c r="J60" i="10102"/>
  <c r="I1" i="10103"/>
  <c r="I2" i="10103"/>
  <c r="D9" i="10103"/>
  <c r="F9" i="10103"/>
  <c r="H9" i="10103"/>
  <c r="J9" i="10103"/>
  <c r="H11" i="10103"/>
  <c r="J11" i="10103"/>
  <c r="D22" i="10103"/>
  <c r="F22" i="10103"/>
  <c r="H22" i="10103"/>
  <c r="J22" i="10103"/>
  <c r="D23" i="10103"/>
  <c r="F23" i="10103"/>
  <c r="H23" i="10103"/>
  <c r="J23" i="10103"/>
  <c r="J28" i="10103"/>
  <c r="B29" i="10103"/>
  <c r="F29" i="10103"/>
  <c r="H29" i="10103"/>
  <c r="J29" i="10103"/>
  <c r="D31" i="10103"/>
  <c r="F31" i="10103"/>
  <c r="H31" i="10103"/>
  <c r="J31" i="10103"/>
  <c r="D32" i="10103"/>
  <c r="D36" i="10103"/>
  <c r="F36" i="10103"/>
  <c r="H36" i="10103"/>
  <c r="J36" i="10103"/>
  <c r="D43" i="10103"/>
  <c r="F43" i="10103"/>
  <c r="H43" i="10103"/>
  <c r="J43" i="10103"/>
  <c r="F44" i="10103"/>
  <c r="H44" i="10103"/>
  <c r="J44" i="10103"/>
  <c r="D48" i="10103"/>
  <c r="F48" i="10103"/>
  <c r="H48" i="10103"/>
  <c r="J48" i="10103"/>
  <c r="D49" i="10103"/>
  <c r="F49" i="10103"/>
  <c r="H49" i="10103"/>
  <c r="J49" i="10103"/>
  <c r="D50" i="10103"/>
  <c r="F50" i="10103"/>
  <c r="H50" i="10103"/>
  <c r="J50" i="10103"/>
  <c r="D58" i="10103"/>
  <c r="F58" i="10103"/>
  <c r="H58" i="10103"/>
  <c r="J58" i="10103"/>
  <c r="D60" i="10103"/>
  <c r="F60" i="10103"/>
  <c r="H60" i="10103"/>
  <c r="J60" i="10103"/>
  <c r="D71" i="10103"/>
  <c r="F71" i="10103"/>
  <c r="I6" i="10101"/>
  <c r="F10" i="10101"/>
  <c r="H10" i="10101"/>
  <c r="F12" i="10101"/>
  <c r="H12" i="10101"/>
  <c r="J12" i="10101"/>
  <c r="G17" i="10101"/>
  <c r="I17" i="10101"/>
  <c r="F21" i="10101"/>
  <c r="H21" i="10101"/>
  <c r="J21" i="10101"/>
  <c r="F26" i="10101"/>
  <c r="H26" i="10101"/>
  <c r="G32" i="10101"/>
  <c r="I32" i="10101"/>
  <c r="F35" i="10101"/>
  <c r="F36" i="10101"/>
  <c r="H36" i="10101"/>
  <c r="F37" i="10101"/>
  <c r="F38" i="10101"/>
  <c r="H38" i="10101"/>
  <c r="J38" i="10101"/>
  <c r="G43" i="10101"/>
  <c r="I43" i="10101"/>
  <c r="F46" i="10101"/>
  <c r="F47" i="10101"/>
  <c r="H47" i="10101"/>
  <c r="J47" i="10101"/>
  <c r="F52" i="10101"/>
  <c r="H52" i="10101"/>
  <c r="G58" i="10101"/>
  <c r="I58" i="10101"/>
  <c r="F61" i="10101"/>
  <c r="F62" i="10101"/>
  <c r="H62" i="10101"/>
  <c r="F63" i="10101"/>
  <c r="H63" i="10101"/>
  <c r="F64" i="10101"/>
  <c r="H64" i="10101"/>
  <c r="J64" i="10101"/>
  <c r="G69" i="10101"/>
  <c r="I69" i="10101"/>
  <c r="F72" i="10101"/>
  <c r="F73" i="10101"/>
  <c r="H73" i="10101"/>
  <c r="J73" i="10101"/>
  <c r="F78" i="10101"/>
  <c r="H78" i="10101"/>
</calcChain>
</file>

<file path=xl/comments1.xml><?xml version="1.0" encoding="utf-8"?>
<comments xmlns="http://schemas.openxmlformats.org/spreadsheetml/2006/main">
  <authors>
    <author>Steve Gillespie</author>
  </authors>
  <commentList>
    <comment ref="B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Actual volume 3,155 higher.  Released capacity.  Total contract volume is 57,970.
</t>
        </r>
      </text>
    </comment>
  </commentList>
</comments>
</file>

<file path=xl/comments2.xml><?xml version="1.0" encoding="utf-8"?>
<comments xmlns="http://schemas.openxmlformats.org/spreadsheetml/2006/main">
  <authors>
    <author>Steve Gillespie</author>
  </authors>
  <commentList>
    <comment ref="B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Actual volume 3,155 higher.  Released capacity.  Total contract volume is 57,970.
</t>
        </r>
      </text>
    </comment>
  </commentList>
</comments>
</file>

<file path=xl/sharedStrings.xml><?xml version="1.0" encoding="utf-8"?>
<sst xmlns="http://schemas.openxmlformats.org/spreadsheetml/2006/main" count="632" uniqueCount="94">
  <si>
    <t>VNG</t>
  </si>
  <si>
    <t>CNGT</t>
  </si>
  <si>
    <t>GSS</t>
  </si>
  <si>
    <t>FSS</t>
  </si>
  <si>
    <t>WSS</t>
  </si>
  <si>
    <t>*</t>
  </si>
  <si>
    <t xml:space="preserve">  DTH</t>
  </si>
  <si>
    <t>INTERRUPTIBLE STATUS</t>
  </si>
  <si>
    <t>ON / ON</t>
  </si>
  <si>
    <t>SUPPLY:</t>
  </si>
  <si>
    <t>AVAILABLE</t>
  </si>
  <si>
    <t xml:space="preserve">TRANSCO </t>
  </si>
  <si>
    <t xml:space="preserve">  FS  Swing</t>
  </si>
  <si>
    <t xml:space="preserve">  FT</t>
  </si>
  <si>
    <t xml:space="preserve">  WSS - W/D  (3,386)</t>
  </si>
  <si>
    <t xml:space="preserve">  GSS-INJ (575)</t>
  </si>
  <si>
    <t xml:space="preserve">  WSS  W/D Capacity</t>
  </si>
  <si>
    <t xml:space="preserve"> TOTAL Emporia</t>
  </si>
  <si>
    <t xml:space="preserve"> TOTAL City Gate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</si>
  <si>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</si>
  <si>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</si>
  <si>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</si>
  <si>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</si>
  <si>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</si>
  <si>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</si>
  <si>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EndUser</t>
  </si>
  <si>
    <t xml:space="preserve">  Cove Point LNG</t>
  </si>
  <si>
    <t xml:space="preserve">  LNG (3,244)</t>
  </si>
  <si>
    <t>TOTAL</t>
  </si>
  <si>
    <t xml:space="preserve">  FTNN</t>
  </si>
  <si>
    <t xml:space="preserve">  GSS            (16,599) </t>
  </si>
  <si>
    <t>Subtotal Cannot exceed 46,075 Apr - Oct</t>
  </si>
  <si>
    <t>CNG</t>
  </si>
  <si>
    <t>Cove Point</t>
  </si>
  <si>
    <t>TOTAL Quantico</t>
  </si>
  <si>
    <t>TOTAL City Gate</t>
  </si>
  <si>
    <t>PROPANE</t>
  </si>
  <si>
    <t xml:space="preserve">  NORTHERN</t>
  </si>
  <si>
    <t xml:space="preserve">  SOUTHERN</t>
  </si>
  <si>
    <t>Projected  Storage  Summary</t>
  </si>
  <si>
    <t>Max Inj.</t>
  </si>
  <si>
    <t>Max W/D</t>
  </si>
  <si>
    <t>CNG GSS</t>
  </si>
  <si>
    <t>LNG</t>
  </si>
  <si>
    <t>Propane</t>
  </si>
  <si>
    <t>12,000 gal/day</t>
  </si>
  <si>
    <t>VNG Daily Setup</t>
  </si>
  <si>
    <t>Tuesday</t>
  </si>
  <si>
    <t>Wednesday</t>
  </si>
  <si>
    <t>Forecasted Demand</t>
  </si>
  <si>
    <t>Heating Degree Days</t>
  </si>
  <si>
    <t>High Burn Contingenies</t>
  </si>
  <si>
    <t>Low Burn Contingenies</t>
  </si>
  <si>
    <t>1) Reduce Columbia FSS Injection to 0</t>
  </si>
  <si>
    <t>2) Reduce CNG GSS Injection to 0</t>
  </si>
  <si>
    <t>3) Notify ENA  contact for instructions if additional supply is needed</t>
  </si>
  <si>
    <t>1) Increase Columbia FSS injection to 9,837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</si>
  <si>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</si>
  <si>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</si>
  <si>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</si>
  <si>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</si>
  <si>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</si>
  <si>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</si>
  <si>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</si>
  <si>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</si>
  <si>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</si>
  <si>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</si>
  <si>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</si>
  <si>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* LNG Chesapeake injection nominated directly to the facility, citygate deliveries are net the injection quantity.</t>
  </si>
  <si>
    <t>ENA Total VNG Deliveries</t>
  </si>
  <si>
    <t>2) Notify ENA  contact for instructions if there is excess supply</t>
  </si>
  <si>
    <t>Thursday</t>
  </si>
  <si>
    <t>Friday</t>
  </si>
  <si>
    <t>Sunday</t>
  </si>
  <si>
    <t>Monday</t>
  </si>
  <si>
    <t>Saturday</t>
  </si>
  <si>
    <t>Difference</t>
  </si>
  <si>
    <t xml:space="preserve"> TOTAL City Gate (.0268%)</t>
  </si>
  <si>
    <t>Richmond, VA Forecast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</si>
  <si>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</si>
  <si>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</si>
  <si>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</si>
  <si>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</si>
  <si>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</si>
  <si>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</si>
  <si>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</si>
  <si>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</si>
  <si>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</si>
  <si>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</si>
  <si>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</si>
  <si>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</si>
  <si>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>ENA Pipeline Citygate Nominations - October 10</t>
  </si>
  <si>
    <t>ENA Pipeline Citygate Nominations - October 11</t>
  </si>
  <si>
    <t>ENA Pipeline Citygate Nominations - October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</si>
</sst>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\ AM/PM"/>
    <numFmt numFmtId="165" formatCode="0_);[Red]\(0\)"/>
  </numFmts>
  <fonts count="21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sz val="12"/>
      <name val="Arial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sz val="12"/>
      <name val="Arial"/>
      <family val="2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2">
    <xf numFmtId="3" fontId="0" fillId="0" borderId="0"/>
    <xf numFmtId="0" fontId="1" fillId="0" borderId="0"/>
  </cellStyleXfs>
  <cellXfs count="138">
    <xf numFmtId="0" fontId="2" fillId="0" borderId="0" xfId="0" applyNumberFormat="1" applyFont="1" applyAlignment="1" applyProtection="1">
      <protection locked="0"/>
    </xf>
    <xf numFmtId="0" fontId="1" fillId="0" borderId="0" xfId="1" applyNumberFormat="1" applyFont="1" applyAlignment="1" applyProtection="1">
      <protection locked="0"/>
    </xf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Continuous"/>
    </xf>
    <xf numFmtId="0" fontId="2" fillId="0" borderId="0" xfId="1" applyNumberFormat="1" applyFont="1" applyAlignment="1"/>
    <xf numFmtId="0" fontId="1" fillId="0" borderId="0" xfId="1" applyNumberFormat="1" applyFont="1" applyAlignment="1"/>
    <xf numFmtId="0" fontId="1" fillId="0" borderId="1" xfId="1" applyNumberFormat="1" applyFont="1" applyBorder="1" applyAlignment="1"/>
    <xf numFmtId="1" fontId="1" fillId="0" borderId="0" xfId="1" applyNumberFormat="1" applyFont="1" applyAlignment="1"/>
    <xf numFmtId="0" fontId="2" fillId="0" borderId="0" xfId="1" applyNumberFormat="1" applyFont="1" applyAlignment="1">
      <alignment horizontal="centerContinuous"/>
    </xf>
    <xf numFmtId="0" fontId="1" fillId="0" borderId="0" xfId="1" applyFont="1" applyAlignment="1"/>
    <xf numFmtId="0" fontId="1" fillId="0" borderId="2" xfId="1" applyNumberFormat="1" applyFont="1" applyBorder="1" applyAlignment="1"/>
    <xf numFmtId="16" fontId="1" fillId="0" borderId="0" xfId="1" applyNumberFormat="1" applyFont="1" applyAlignment="1"/>
    <xf numFmtId="164" fontId="1" fillId="0" borderId="0" xfId="1" applyNumberFormat="1" applyFont="1" applyAlignment="1"/>
    <xf numFmtId="3" fontId="1" fillId="0" borderId="0" xfId="1" applyNumberFormat="1" applyFont="1" applyAlignment="1"/>
    <xf numFmtId="0" fontId="1" fillId="0" borderId="0" xfId="1" applyFont="1" applyAlignment="1">
      <alignment horizontal="center"/>
    </xf>
    <xf numFmtId="0" fontId="2" fillId="0" borderId="3" xfId="1" applyNumberFormat="1" applyFont="1" applyBorder="1" applyAlignment="1"/>
    <xf numFmtId="0" fontId="4" fillId="0" borderId="0" xfId="1" applyFont="1" applyAlignment="1"/>
    <xf numFmtId="3" fontId="4" fillId="0" borderId="0" xfId="1" applyNumberFormat="1" applyFont="1" applyAlignment="1"/>
    <xf numFmtId="0" fontId="4" fillId="0" borderId="0" xfId="1" applyNumberFormat="1" applyFont="1" applyAlignment="1"/>
    <xf numFmtId="3" fontId="4" fillId="0" borderId="2" xfId="1" applyNumberFormat="1" applyFont="1" applyBorder="1" applyAlignment="1"/>
    <xf numFmtId="0" fontId="4" fillId="0" borderId="2" xfId="1" applyNumberFormat="1" applyFont="1" applyBorder="1" applyAlignment="1"/>
    <xf numFmtId="3" fontId="1" fillId="0" borderId="1" xfId="1" applyNumberFormat="1" applyFont="1" applyBorder="1" applyAlignment="1"/>
    <xf numFmtId="0" fontId="5" fillId="0" borderId="0" xfId="1" applyFont="1" applyAlignment="1"/>
    <xf numFmtId="0" fontId="3" fillId="0" borderId="0" xfId="1" applyFont="1" applyAlignment="1"/>
    <xf numFmtId="3" fontId="1" fillId="0" borderId="0" xfId="1" applyNumberFormat="1" applyFont="1" applyAlignment="1">
      <alignment horizontal="right"/>
    </xf>
    <xf numFmtId="3" fontId="1" fillId="0" borderId="2" xfId="1" applyNumberFormat="1" applyFont="1" applyBorder="1" applyAlignment="1"/>
    <xf numFmtId="3" fontId="5" fillId="0" borderId="0" xfId="1" applyNumberFormat="1" applyFont="1" applyAlignment="1"/>
    <xf numFmtId="3" fontId="3" fillId="0" borderId="0" xfId="1" applyNumberFormat="1" applyFont="1" applyAlignment="1"/>
    <xf numFmtId="0" fontId="5" fillId="0" borderId="0" xfId="1" applyNumberFormat="1" applyFont="1" applyAlignment="1"/>
    <xf numFmtId="9" fontId="2" fillId="0" borderId="0" xfId="1" applyNumberFormat="1" applyFont="1" applyAlignment="1" applyProtection="1">
      <protection locked="0"/>
    </xf>
    <xf numFmtId="3" fontId="2" fillId="0" borderId="0" xfId="1" applyNumberFormat="1" applyFont="1" applyAlignment="1" applyProtection="1">
      <protection locked="0"/>
    </xf>
    <xf numFmtId="3" fontId="5" fillId="0" borderId="4" xfId="1" applyNumberFormat="1" applyFont="1" applyBorder="1" applyAlignment="1"/>
    <xf numFmtId="0" fontId="5" fillId="0" borderId="4" xfId="1" applyNumberFormat="1" applyFont="1" applyBorder="1" applyAlignment="1"/>
    <xf numFmtId="0" fontId="1" fillId="0" borderId="3" xfId="1" applyFont="1" applyBorder="1" applyAlignment="1"/>
    <xf numFmtId="1" fontId="1" fillId="0" borderId="2" xfId="1" applyNumberFormat="1" applyFont="1" applyBorder="1" applyAlignment="1"/>
    <xf numFmtId="1" fontId="1" fillId="0" borderId="0" xfId="1" applyNumberFormat="1" applyFont="1" applyAlignment="1">
      <alignment horizontal="right"/>
    </xf>
    <xf numFmtId="0" fontId="1" fillId="0" borderId="1" xfId="1" applyFont="1" applyBorder="1" applyAlignment="1"/>
    <xf numFmtId="0" fontId="1" fillId="0" borderId="1" xfId="1" applyNumberFormat="1" applyFont="1" applyBorder="1" applyAlignment="1">
      <alignment horizontal="centerContinuous"/>
    </xf>
    <xf numFmtId="0" fontId="1" fillId="0" borderId="1" xfId="1" applyFont="1" applyBorder="1" applyAlignment="1">
      <alignment horizontal="center"/>
    </xf>
    <xf numFmtId="0" fontId="6" fillId="0" borderId="0" xfId="1" applyNumberFormat="1" applyFont="1" applyAlignment="1"/>
    <xf numFmtId="0" fontId="6" fillId="0" borderId="2" xfId="1" applyNumberFormat="1" applyFont="1" applyBorder="1" applyAlignment="1"/>
    <xf numFmtId="0" fontId="1" fillId="0" borderId="0" xfId="1" applyNumberFormat="1" applyFont="1" applyBorder="1" applyAlignment="1"/>
    <xf numFmtId="0" fontId="1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Continuous"/>
    </xf>
    <xf numFmtId="0" fontId="7" fillId="0" borderId="0" xfId="1" applyNumberFormat="1" applyFont="1" applyBorder="1" applyAlignment="1">
      <alignment horizontal="centerContinuous"/>
    </xf>
    <xf numFmtId="16" fontId="2" fillId="0" borderId="5" xfId="1" applyNumberFormat="1" applyFont="1" applyBorder="1" applyAlignment="1">
      <alignment horizontal="center"/>
    </xf>
    <xf numFmtId="0" fontId="8" fillId="0" borderId="6" xfId="1" applyNumberFormat="1" applyFont="1" applyBorder="1" applyAlignment="1"/>
    <xf numFmtId="16" fontId="2" fillId="0" borderId="6" xfId="1" applyNumberFormat="1" applyFont="1" applyBorder="1" applyAlignment="1">
      <alignment horizontal="center"/>
    </xf>
    <xf numFmtId="0" fontId="1" fillId="0" borderId="6" xfId="1" applyNumberFormat="1" applyFont="1" applyBorder="1" applyAlignment="1"/>
    <xf numFmtId="16" fontId="9" fillId="0" borderId="7" xfId="1" applyNumberFormat="1" applyFont="1" applyBorder="1" applyAlignment="1">
      <alignment horizontal="center"/>
    </xf>
    <xf numFmtId="0" fontId="2" fillId="0" borderId="0" xfId="0" applyNumberFormat="1" applyFont="1" applyAlignment="1" applyProtection="1">
      <alignment horizontal="center"/>
      <protection locked="0"/>
    </xf>
    <xf numFmtId="3" fontId="1" fillId="0" borderId="0" xfId="1" applyNumberFormat="1" applyFont="1" applyAlignment="1">
      <alignment horizontal="center"/>
    </xf>
    <xf numFmtId="0" fontId="1" fillId="0" borderId="0" xfId="1" applyNumberFormat="1" applyFont="1" applyFill="1" applyAlignment="1"/>
    <xf numFmtId="3" fontId="1" fillId="0" borderId="0" xfId="1" applyNumberFormat="1" applyFont="1" applyFill="1" applyAlignment="1"/>
    <xf numFmtId="3" fontId="3" fillId="0" borderId="0" xfId="1" applyNumberFormat="1" applyFont="1" applyFill="1" applyAlignment="1"/>
    <xf numFmtId="0" fontId="1" fillId="0" borderId="2" xfId="1" quotePrefix="1" applyNumberFormat="1" applyFont="1" applyBorder="1" applyAlignment="1"/>
    <xf numFmtId="0" fontId="10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3" fontId="12" fillId="0" borderId="2" xfId="1" applyNumberFormat="1" applyFont="1" applyBorder="1" applyAlignment="1"/>
    <xf numFmtId="3" fontId="12" fillId="0" borderId="0" xfId="1" applyNumberFormat="1" applyFont="1" applyAlignment="1"/>
    <xf numFmtId="0" fontId="1" fillId="0" borderId="0" xfId="1" quotePrefix="1" applyNumberFormat="1" applyFont="1" applyAlignment="1"/>
    <xf numFmtId="9" fontId="2" fillId="0" borderId="0" xfId="1" applyNumberFormat="1" applyFont="1" applyAlignment="1"/>
    <xf numFmtId="3" fontId="2" fillId="0" borderId="0" xfId="1" applyNumberFormat="1" applyFont="1" applyAlignment="1"/>
    <xf numFmtId="15" fontId="13" fillId="0" borderId="0" xfId="1" applyNumberFormat="1" applyFont="1" applyAlignment="1">
      <alignment horizontal="center"/>
    </xf>
    <xf numFmtId="16" fontId="9" fillId="0" borderId="6" xfId="1" applyNumberFormat="1" applyFont="1" applyBorder="1" applyAlignment="1">
      <alignment horizontal="center"/>
    </xf>
    <xf numFmtId="3" fontId="14" fillId="0" borderId="0" xfId="1" applyNumberFormat="1" applyFont="1" applyAlignment="1"/>
    <xf numFmtId="0" fontId="16" fillId="0" borderId="0" xfId="0" applyNumberFormat="1" applyFont="1" applyAlignment="1" applyProtection="1">
      <protection locked="0"/>
    </xf>
    <xf numFmtId="0" fontId="17" fillId="0" borderId="0" xfId="1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5" fillId="0" borderId="0" xfId="1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8" fillId="0" borderId="8" xfId="1" applyFont="1" applyBorder="1" applyAlignment="1"/>
    <xf numFmtId="0" fontId="16" fillId="0" borderId="8" xfId="0" applyNumberFormat="1" applyFont="1" applyBorder="1" applyAlignment="1" applyProtection="1">
      <protection locked="0"/>
    </xf>
    <xf numFmtId="0" fontId="15" fillId="0" borderId="8" xfId="1" applyNumberFormat="1" applyFont="1" applyBorder="1" applyAlignment="1"/>
    <xf numFmtId="0" fontId="16" fillId="0" borderId="8" xfId="0" applyNumberFormat="1" applyFont="1" applyBorder="1" applyAlignment="1" applyProtection="1">
      <alignment horizontal="right"/>
      <protection locked="0"/>
    </xf>
    <xf numFmtId="0" fontId="15" fillId="0" borderId="0" xfId="1" applyFont="1" applyBorder="1" applyAlignment="1">
      <alignment horizontal="left"/>
    </xf>
    <xf numFmtId="0" fontId="16" fillId="0" borderId="0" xfId="0" applyNumberFormat="1" applyFont="1" applyBorder="1" applyAlignment="1" applyProtection="1">
      <protection locked="0"/>
    </xf>
    <xf numFmtId="0" fontId="16" fillId="0" borderId="0" xfId="0" applyNumberFormat="1" applyFont="1" applyBorder="1" applyAlignment="1" applyProtection="1">
      <alignment horizontal="right"/>
      <protection locked="0"/>
    </xf>
    <xf numFmtId="0" fontId="16" fillId="0" borderId="0" xfId="0" applyNumberFormat="1" applyFont="1" applyBorder="1" applyAlignment="1" applyProtection="1">
      <alignment horizontal="left"/>
      <protection locked="0"/>
    </xf>
    <xf numFmtId="165" fontId="1" fillId="0" borderId="9" xfId="1" applyNumberFormat="1" applyFont="1" applyBorder="1" applyAlignment="1"/>
    <xf numFmtId="165" fontId="2" fillId="0" borderId="9" xfId="0" applyNumberFormat="1" applyFont="1" applyBorder="1" applyAlignment="1" applyProtection="1">
      <protection locked="0"/>
    </xf>
    <xf numFmtId="165" fontId="2" fillId="0" borderId="9" xfId="0" applyNumberFormat="1" applyFont="1" applyBorder="1" applyAlignment="1" applyProtection="1">
      <alignment horizontal="center"/>
      <protection locked="0"/>
    </xf>
    <xf numFmtId="3" fontId="4" fillId="2" borderId="0" xfId="1" applyNumberFormat="1" applyFont="1" applyFill="1" applyAlignment="1"/>
    <xf numFmtId="0" fontId="4" fillId="2" borderId="0" xfId="1" applyNumberFormat="1" applyFont="1" applyFill="1" applyAlignment="1"/>
    <xf numFmtId="3" fontId="1" fillId="3" borderId="0" xfId="1" applyNumberFormat="1" applyFont="1" applyFill="1" applyAlignment="1"/>
    <xf numFmtId="0" fontId="4" fillId="3" borderId="0" xfId="1" applyFont="1" applyFill="1" applyAlignment="1"/>
    <xf numFmtId="3" fontId="1" fillId="4" borderId="2" xfId="1" applyNumberFormat="1" applyFont="1" applyFill="1" applyBorder="1" applyAlignment="1"/>
    <xf numFmtId="0" fontId="1" fillId="4" borderId="2" xfId="1" quotePrefix="1" applyNumberFormat="1" applyFont="1" applyFill="1" applyBorder="1" applyAlignment="1"/>
    <xf numFmtId="3" fontId="1" fillId="4" borderId="0" xfId="1" applyNumberFormat="1" applyFont="1" applyFill="1" applyAlignment="1"/>
    <xf numFmtId="0" fontId="1" fillId="4" borderId="0" xfId="1" applyNumberFormat="1" applyFont="1" applyFill="1" applyAlignment="1"/>
    <xf numFmtId="1" fontId="1" fillId="4" borderId="0" xfId="1" applyNumberFormat="1" applyFont="1" applyFill="1" applyAlignment="1"/>
    <xf numFmtId="0" fontId="2" fillId="0" borderId="0" xfId="1" applyNumberFormat="1" applyFont="1" applyAlignment="1">
      <alignment horizontal="center"/>
    </xf>
    <xf numFmtId="0" fontId="1" fillId="0" borderId="10" xfId="1" applyNumberFormat="1" applyFont="1" applyBorder="1" applyAlignment="1"/>
    <xf numFmtId="3" fontId="1" fillId="2" borderId="0" xfId="1" applyNumberFormat="1" applyFont="1" applyFill="1" applyAlignment="1"/>
    <xf numFmtId="3" fontId="5" fillId="0" borderId="10" xfId="1" applyNumberFormat="1" applyFont="1" applyBorder="1" applyAlignment="1"/>
    <xf numFmtId="0" fontId="5" fillId="0" borderId="10" xfId="1" applyNumberFormat="1" applyFont="1" applyBorder="1" applyAlignment="1"/>
    <xf numFmtId="0" fontId="1" fillId="0" borderId="11" xfId="1" applyNumberFormat="1" applyFont="1" applyBorder="1" applyAlignment="1"/>
    <xf numFmtId="3" fontId="12" fillId="0" borderId="0" xfId="1" applyNumberFormat="1" applyFont="1" applyFill="1" applyAlignment="1"/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protection locked="0"/>
    </xf>
    <xf numFmtId="0" fontId="6" fillId="0" borderId="13" xfId="0" applyNumberFormat="1" applyFont="1" applyBorder="1" applyAlignment="1" applyProtection="1">
      <protection locked="0"/>
    </xf>
    <xf numFmtId="3" fontId="10" fillId="2" borderId="13" xfId="0" applyNumberFormat="1" applyFont="1" applyFill="1" applyBorder="1" applyAlignment="1" applyProtection="1">
      <protection locked="0"/>
    </xf>
    <xf numFmtId="3" fontId="11" fillId="4" borderId="13" xfId="0" applyNumberFormat="1" applyFont="1" applyFill="1" applyBorder="1" applyAlignment="1" applyProtection="1">
      <protection locked="0"/>
    </xf>
    <xf numFmtId="3" fontId="2" fillId="0" borderId="13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1" fillId="3" borderId="13" xfId="0" applyNumberFormat="1" applyFont="1" applyFill="1" applyBorder="1" applyAlignment="1" applyProtection="1">
      <protection locked="0"/>
    </xf>
    <xf numFmtId="3" fontId="2" fillId="0" borderId="15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7" xfId="0" applyNumberFormat="1" applyFont="1" applyBorder="1" applyAlignment="1" applyProtection="1">
      <alignment horizontal="center"/>
      <protection locked="0"/>
    </xf>
    <xf numFmtId="3" fontId="7" fillId="0" borderId="0" xfId="1" applyNumberFormat="1" applyFont="1" applyAlignment="1"/>
    <xf numFmtId="3" fontId="7" fillId="0" borderId="18" xfId="1" applyNumberFormat="1" applyFont="1" applyBorder="1" applyAlignment="1"/>
    <xf numFmtId="3" fontId="7" fillId="0" borderId="18" xfId="1" applyNumberFormat="1" applyFont="1" applyBorder="1" applyAlignment="1">
      <alignment horizontal="center"/>
    </xf>
    <xf numFmtId="0" fontId="2" fillId="0" borderId="19" xfId="0" applyNumberFormat="1" applyFont="1" applyBorder="1" applyAlignment="1" applyProtection="1">
      <protection locked="0"/>
    </xf>
    <xf numFmtId="0" fontId="2" fillId="0" borderId="20" xfId="0" applyNumberFormat="1" applyFont="1" applyBorder="1" applyAlignment="1" applyProtection="1">
      <protection locked="0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6" fillId="0" borderId="19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10" fillId="0" borderId="19" xfId="0" applyNumberFormat="1" applyFont="1" applyBorder="1" applyAlignment="1" applyProtection="1">
      <protection locked="0"/>
    </xf>
    <xf numFmtId="0" fontId="10" fillId="0" borderId="0" xfId="0" applyNumberFormat="1" applyFont="1" applyBorder="1" applyAlignment="1" applyProtection="1">
      <protection locked="0"/>
    </xf>
    <xf numFmtId="0" fontId="2" fillId="0" borderId="21" xfId="0" applyNumberFormat="1" applyFont="1" applyBorder="1" applyAlignment="1" applyProtection="1">
      <protection locked="0"/>
    </xf>
    <xf numFmtId="0" fontId="2" fillId="0" borderId="22" xfId="0" applyNumberFormat="1" applyFont="1" applyBorder="1" applyAlignment="1" applyProtection="1">
      <protection locked="0"/>
    </xf>
    <xf numFmtId="0" fontId="2" fillId="0" borderId="23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protection locked="0"/>
    </xf>
    <xf numFmtId="3" fontId="2" fillId="0" borderId="24" xfId="0" applyNumberFormat="1" applyFont="1" applyBorder="1" applyAlignment="1" applyProtection="1">
      <protection locked="0"/>
    </xf>
    <xf numFmtId="3" fontId="10" fillId="4" borderId="13" xfId="0" applyNumberFormat="1" applyFont="1" applyFill="1" applyBorder="1" applyAlignment="1" applyProtection="1">
      <protection locked="0"/>
    </xf>
    <xf numFmtId="0" fontId="10" fillId="0" borderId="0" xfId="1" applyNumberFormat="1" applyFont="1" applyAlignment="1"/>
    <xf numFmtId="0" fontId="2" fillId="0" borderId="25" xfId="0" applyNumberFormat="1" applyFont="1" applyBorder="1" applyAlignment="1" applyProtection="1">
      <alignment horizontal="center"/>
      <protection locked="0"/>
    </xf>
    <xf numFmtId="0" fontId="2" fillId="0" borderId="26" xfId="0" applyNumberFormat="1" applyFont="1" applyBorder="1" applyAlignment="1" applyProtection="1">
      <alignment horizontal="center"/>
      <protection locked="0"/>
    </xf>
    <xf numFmtId="0" fontId="2" fillId="0" borderId="27" xfId="0" applyNumberFormat="1" applyFont="1" applyBorder="1" applyAlignment="1" applyProtection="1">
      <alignment horizontal="center"/>
      <protection locked="0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7" fillId="0" borderId="0" xfId="1" applyNumberFormat="1" applyFont="1" applyBorder="1" applyAlignment="1">
      <alignment horizontal="center"/>
    </xf>
  </cellXfs>
  <cellStyles count="2">
    <cellStyle name="Normal" xfId="0" builtinId="0"/>
    <cellStyle name="Normal_Suppl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9"/>
  <sheetViews>
    <sheetView topLeftCell="B1" workbookViewId="0">
      <selection activeCell="H10" sqref="H10"/>
    </sheetView>
  </sheetViews>
  <sheetFormatPr defaultRowHeight="15.75"/>
  <cols>
    <col min="1" max="1" width="1.88671875" customWidth="1"/>
    <col min="7" max="7" width="10.88671875" customWidth="1"/>
    <col min="9" max="9" width="11.21875" customWidth="1"/>
  </cols>
  <sheetData>
    <row r="1" spans="2:11" ht="8.25" customHeight="1" thickBot="1"/>
    <row r="2" spans="2:11">
      <c r="B2" s="131" t="s">
        <v>91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2:11">
      <c r="B3" s="115"/>
      <c r="C3" s="110"/>
      <c r="D3" s="110"/>
      <c r="E3" s="110"/>
      <c r="F3" s="110"/>
      <c r="G3" s="110"/>
      <c r="H3" s="110"/>
      <c r="I3" s="110"/>
      <c r="J3" s="110"/>
      <c r="K3" s="116"/>
    </row>
    <row r="4" spans="2:11">
      <c r="B4" s="115"/>
      <c r="C4" s="110"/>
      <c r="D4" s="110"/>
      <c r="E4" s="110"/>
      <c r="F4" s="110"/>
      <c r="G4" s="110"/>
      <c r="H4" s="110"/>
      <c r="I4" s="110"/>
      <c r="J4" s="110"/>
      <c r="K4" s="116"/>
    </row>
    <row r="5" spans="2:11" ht="15" customHeight="1" thickBot="1">
      <c r="B5" s="134" t="s">
        <v>63</v>
      </c>
      <c r="C5" s="135"/>
      <c r="D5" s="135"/>
      <c r="E5" s="135"/>
      <c r="F5" s="135"/>
      <c r="G5" s="135"/>
      <c r="H5" s="135"/>
      <c r="I5" s="135"/>
      <c r="J5" s="135"/>
      <c r="K5" s="136"/>
    </row>
    <row r="6" spans="2:11" ht="15" customHeight="1">
      <c r="B6" s="117"/>
      <c r="C6" s="118"/>
      <c r="D6" s="118"/>
      <c r="E6" s="118"/>
      <c r="F6" s="98" t="s">
        <v>84</v>
      </c>
      <c r="G6" s="111">
        <v>36808</v>
      </c>
      <c r="H6" s="98" t="s">
        <v>85</v>
      </c>
      <c r="I6" s="111">
        <f>G6+1</f>
        <v>36809</v>
      </c>
      <c r="J6" s="118"/>
      <c r="K6" s="119"/>
    </row>
    <row r="7" spans="2:11">
      <c r="B7" s="115" t="s">
        <v>64</v>
      </c>
      <c r="C7" s="110"/>
      <c r="D7" s="110"/>
      <c r="E7" s="110"/>
      <c r="F7" s="99" t="s">
        <v>60</v>
      </c>
      <c r="G7" s="100"/>
      <c r="H7" s="127"/>
      <c r="I7" s="100"/>
      <c r="J7" s="110" t="s">
        <v>61</v>
      </c>
      <c r="K7" s="116"/>
    </row>
    <row r="8" spans="2:11">
      <c r="B8" s="120" t="s">
        <v>65</v>
      </c>
      <c r="C8" s="121"/>
      <c r="D8" s="121" t="s">
        <v>57</v>
      </c>
      <c r="E8" s="110"/>
      <c r="F8" s="101" t="s">
        <v>58</v>
      </c>
      <c r="G8" s="100"/>
      <c r="H8" s="127"/>
      <c r="I8" s="100"/>
      <c r="J8" s="110" t="s">
        <v>59</v>
      </c>
      <c r="K8" s="116"/>
    </row>
    <row r="9" spans="2:11">
      <c r="B9" s="122" t="s">
        <v>66</v>
      </c>
      <c r="C9" s="123"/>
      <c r="D9" s="123">
        <v>65066</v>
      </c>
      <c r="E9" s="123"/>
      <c r="F9" s="102">
        <v>31825</v>
      </c>
      <c r="G9" s="100"/>
      <c r="H9" s="104">
        <v>31825</v>
      </c>
      <c r="I9" s="100"/>
      <c r="J9" s="110"/>
      <c r="K9" s="116"/>
    </row>
    <row r="10" spans="2:11">
      <c r="B10" s="122" t="s">
        <v>66</v>
      </c>
      <c r="C10" s="123"/>
      <c r="D10" s="123">
        <v>38115</v>
      </c>
      <c r="E10" s="123" t="s">
        <v>90</v>
      </c>
      <c r="F10" s="129">
        <f>44061-6081</f>
        <v>37980</v>
      </c>
      <c r="G10" s="100"/>
      <c r="H10" s="104">
        <f>47880-6081</f>
        <v>41799</v>
      </c>
      <c r="I10" s="100"/>
      <c r="J10" s="110"/>
      <c r="K10" s="116"/>
    </row>
    <row r="11" spans="2:11">
      <c r="B11" s="122" t="s">
        <v>66</v>
      </c>
      <c r="C11" s="123"/>
      <c r="D11" s="123">
        <v>38088</v>
      </c>
      <c r="E11" s="123" t="s">
        <v>89</v>
      </c>
      <c r="F11" s="103">
        <v>0</v>
      </c>
      <c r="G11" s="100"/>
      <c r="H11" s="104">
        <v>0</v>
      </c>
      <c r="I11" s="100"/>
      <c r="J11" s="110"/>
      <c r="K11" s="116"/>
    </row>
    <row r="12" spans="2:11">
      <c r="B12" s="122"/>
      <c r="C12" s="123"/>
      <c r="D12" s="123"/>
      <c r="E12" s="123"/>
      <c r="F12" s="104">
        <f>SUM(F9:F11)</f>
        <v>69805</v>
      </c>
      <c r="G12" s="100" t="s">
        <v>62</v>
      </c>
      <c r="H12" s="128">
        <f>SUM(H9:H11)</f>
        <v>73624</v>
      </c>
      <c r="I12" s="100"/>
      <c r="J12" s="110">
        <f>SUM(J9:J11)</f>
        <v>0</v>
      </c>
      <c r="K12" s="116"/>
    </row>
    <row r="13" spans="2:11">
      <c r="B13" s="115"/>
      <c r="C13" s="110"/>
      <c r="D13" s="110"/>
      <c r="E13" s="110"/>
      <c r="F13" s="104"/>
      <c r="G13" s="100"/>
      <c r="H13" s="127"/>
      <c r="I13" s="100"/>
      <c r="J13" s="110"/>
      <c r="K13" s="116"/>
    </row>
    <row r="14" spans="2:11" ht="16.5" thickBot="1">
      <c r="B14" s="115"/>
      <c r="C14" s="110"/>
      <c r="D14" s="110"/>
      <c r="E14" s="110"/>
      <c r="F14" s="105"/>
      <c r="G14" s="106"/>
      <c r="H14" s="105"/>
      <c r="I14" s="106"/>
      <c r="J14" s="110"/>
      <c r="K14" s="116"/>
    </row>
    <row r="15" spans="2:11">
      <c r="B15" s="115"/>
      <c r="C15" s="110"/>
      <c r="D15" s="110"/>
      <c r="E15" s="110"/>
      <c r="F15" s="110"/>
      <c r="G15" s="110"/>
      <c r="H15" s="110"/>
      <c r="I15" s="110"/>
      <c r="J15" s="110"/>
      <c r="K15" s="116"/>
    </row>
    <row r="16" spans="2:11" ht="16.5" thickBot="1">
      <c r="B16" s="134" t="s">
        <v>32</v>
      </c>
      <c r="C16" s="135"/>
      <c r="D16" s="135"/>
      <c r="E16" s="135"/>
      <c r="F16" s="135"/>
      <c r="G16" s="135"/>
      <c r="H16" s="135"/>
      <c r="I16" s="135"/>
      <c r="J16" s="135"/>
      <c r="K16" s="136"/>
    </row>
    <row r="17" spans="2:11">
      <c r="B17" s="117"/>
      <c r="C17" s="118"/>
      <c r="D17" s="118"/>
      <c r="E17" s="118"/>
      <c r="F17" s="98" t="s">
        <v>84</v>
      </c>
      <c r="G17" s="111">
        <f>G6</f>
        <v>36808</v>
      </c>
      <c r="H17" s="98" t="s">
        <v>85</v>
      </c>
      <c r="I17" s="111">
        <f>G17+1</f>
        <v>36809</v>
      </c>
      <c r="J17" s="118"/>
      <c r="K17" s="119"/>
    </row>
    <row r="18" spans="2:11">
      <c r="B18" s="115" t="s">
        <v>64</v>
      </c>
      <c r="C18" s="110"/>
      <c r="D18" s="110"/>
      <c r="E18" s="110"/>
      <c r="F18" s="99" t="s">
        <v>60</v>
      </c>
      <c r="G18" s="100"/>
      <c r="H18" s="127"/>
      <c r="I18" s="100"/>
      <c r="J18" s="110" t="s">
        <v>61</v>
      </c>
      <c r="K18" s="116"/>
    </row>
    <row r="19" spans="2:11">
      <c r="B19" s="120" t="s">
        <v>65</v>
      </c>
      <c r="C19" s="121"/>
      <c r="D19" s="121" t="s">
        <v>57</v>
      </c>
      <c r="E19" s="110"/>
      <c r="F19" s="101" t="s">
        <v>58</v>
      </c>
      <c r="G19" s="100"/>
      <c r="H19" s="127"/>
      <c r="I19" s="100"/>
      <c r="J19" s="110" t="s">
        <v>59</v>
      </c>
      <c r="K19" s="116"/>
    </row>
    <row r="20" spans="2:11">
      <c r="B20" s="122" t="s">
        <v>67</v>
      </c>
      <c r="C20" s="123"/>
      <c r="D20" s="123">
        <v>10007</v>
      </c>
      <c r="E20" s="123"/>
      <c r="F20" s="108">
        <v>16558</v>
      </c>
      <c r="G20" s="100"/>
      <c r="H20" s="104">
        <v>16558</v>
      </c>
      <c r="I20" s="100"/>
      <c r="J20" s="110"/>
      <c r="K20" s="116"/>
    </row>
    <row r="21" spans="2:11">
      <c r="B21" s="122"/>
      <c r="C21" s="123"/>
      <c r="D21" s="123"/>
      <c r="E21" s="123"/>
      <c r="F21" s="104">
        <f>SUM(F20)</f>
        <v>16558</v>
      </c>
      <c r="G21" s="100" t="s">
        <v>62</v>
      </c>
      <c r="H21" s="128">
        <f>SUM(H20)</f>
        <v>16558</v>
      </c>
      <c r="I21" s="100"/>
      <c r="J21" s="110">
        <f>SUM(J20)</f>
        <v>0</v>
      </c>
      <c r="K21" s="116"/>
    </row>
    <row r="22" spans="2:11">
      <c r="B22" s="122"/>
      <c r="C22" s="123"/>
      <c r="D22" s="123"/>
      <c r="E22" s="123"/>
      <c r="F22" s="104"/>
      <c r="G22" s="100"/>
      <c r="H22" s="104"/>
      <c r="I22" s="100"/>
      <c r="J22" s="110"/>
      <c r="K22" s="116"/>
    </row>
    <row r="23" spans="2:11">
      <c r="B23" s="122"/>
      <c r="C23" s="123"/>
      <c r="D23" s="123"/>
      <c r="E23" s="123"/>
      <c r="F23" s="104"/>
      <c r="G23" s="100"/>
      <c r="H23" s="104"/>
      <c r="I23" s="100"/>
      <c r="J23" s="110"/>
      <c r="K23" s="116"/>
    </row>
    <row r="24" spans="2:11" ht="16.5" thickBot="1">
      <c r="B24" s="122"/>
      <c r="C24" s="123"/>
      <c r="D24" s="123"/>
      <c r="E24" s="123"/>
      <c r="F24" s="109"/>
      <c r="G24" s="106"/>
      <c r="H24" s="105"/>
      <c r="I24" s="106"/>
      <c r="J24" s="110"/>
      <c r="K24" s="116"/>
    </row>
    <row r="25" spans="2:11">
      <c r="B25" s="122"/>
      <c r="C25" s="123"/>
      <c r="D25" s="123"/>
      <c r="E25" s="123"/>
      <c r="F25" s="107"/>
      <c r="G25" s="110"/>
      <c r="H25" s="110"/>
      <c r="I25" s="110"/>
      <c r="J25" s="110"/>
      <c r="K25" s="116"/>
    </row>
    <row r="26" spans="2:11">
      <c r="B26" s="115" t="s">
        <v>69</v>
      </c>
      <c r="C26" s="110"/>
      <c r="D26" s="110"/>
      <c r="E26" s="110"/>
      <c r="F26" s="107">
        <f>F12+F21</f>
        <v>86363</v>
      </c>
      <c r="G26" s="110"/>
      <c r="H26" s="107">
        <f>H12+H21</f>
        <v>90182</v>
      </c>
      <c r="I26" s="110"/>
      <c r="J26" s="110"/>
      <c r="K26" s="116"/>
    </row>
    <row r="27" spans="2:11" ht="16.5" thickBot="1">
      <c r="B27" s="124"/>
      <c r="C27" s="125"/>
      <c r="D27" s="125"/>
      <c r="E27" s="125"/>
      <c r="F27" s="125"/>
      <c r="G27" s="125"/>
      <c r="H27" s="125"/>
      <c r="I27" s="125"/>
      <c r="J27" s="125"/>
      <c r="K27" s="126"/>
    </row>
    <row r="28" spans="2:11">
      <c r="B28" s="131" t="s">
        <v>92</v>
      </c>
      <c r="C28" s="132"/>
      <c r="D28" s="132"/>
      <c r="E28" s="132"/>
      <c r="F28" s="132"/>
      <c r="G28" s="132"/>
      <c r="H28" s="132"/>
      <c r="I28" s="132"/>
      <c r="J28" s="132"/>
      <c r="K28" s="133"/>
    </row>
    <row r="29" spans="2:11">
      <c r="B29" s="115"/>
      <c r="C29" s="110"/>
      <c r="D29" s="110"/>
      <c r="E29" s="110"/>
      <c r="F29" s="110"/>
      <c r="G29" s="110"/>
      <c r="H29" s="110"/>
      <c r="I29" s="110"/>
      <c r="J29" s="110"/>
      <c r="K29" s="116"/>
    </row>
    <row r="30" spans="2:11">
      <c r="B30" s="115"/>
      <c r="C30" s="110"/>
      <c r="D30" s="110"/>
      <c r="E30" s="110"/>
      <c r="F30" s="110"/>
      <c r="G30" s="110"/>
      <c r="H30" s="110"/>
      <c r="I30" s="110"/>
      <c r="J30" s="110"/>
      <c r="K30" s="116"/>
    </row>
    <row r="31" spans="2:11" ht="16.5" thickBot="1">
      <c r="B31" s="134" t="s">
        <v>63</v>
      </c>
      <c r="C31" s="135"/>
      <c r="D31" s="135"/>
      <c r="E31" s="135"/>
      <c r="F31" s="135"/>
      <c r="G31" s="135"/>
      <c r="H31" s="135"/>
      <c r="I31" s="135"/>
      <c r="J31" s="135"/>
      <c r="K31" s="136"/>
    </row>
    <row r="32" spans="2:11">
      <c r="B32" s="117"/>
      <c r="C32" s="118"/>
      <c r="D32" s="118"/>
      <c r="E32" s="118"/>
      <c r="F32" s="98" t="s">
        <v>84</v>
      </c>
      <c r="G32" s="111">
        <f>I6</f>
        <v>36809</v>
      </c>
      <c r="H32" s="98" t="s">
        <v>85</v>
      </c>
      <c r="I32" s="111">
        <f>G32+1</f>
        <v>36810</v>
      </c>
      <c r="J32" s="118"/>
      <c r="K32" s="119"/>
    </row>
    <row r="33" spans="2:11">
      <c r="B33" s="115" t="s">
        <v>64</v>
      </c>
      <c r="C33" s="110"/>
      <c r="D33" s="110"/>
      <c r="E33" s="110"/>
      <c r="F33" s="99" t="s">
        <v>60</v>
      </c>
      <c r="G33" s="100"/>
      <c r="H33" s="127"/>
      <c r="I33" s="100"/>
      <c r="J33" s="110" t="s">
        <v>61</v>
      </c>
      <c r="K33" s="116"/>
    </row>
    <row r="34" spans="2:11">
      <c r="B34" s="120" t="s">
        <v>65</v>
      </c>
      <c r="C34" s="121"/>
      <c r="D34" s="121" t="s">
        <v>57</v>
      </c>
      <c r="E34" s="110"/>
      <c r="F34" s="101" t="s">
        <v>58</v>
      </c>
      <c r="G34" s="100"/>
      <c r="H34" s="127"/>
      <c r="I34" s="100"/>
      <c r="J34" s="110" t="s">
        <v>59</v>
      </c>
      <c r="K34" s="116"/>
    </row>
    <row r="35" spans="2:11">
      <c r="B35" s="122" t="s">
        <v>66</v>
      </c>
      <c r="C35" s="123"/>
      <c r="D35" s="123">
        <v>65066</v>
      </c>
      <c r="E35" s="123"/>
      <c r="F35" s="102">
        <f>H9</f>
        <v>31825</v>
      </c>
      <c r="G35" s="100"/>
      <c r="H35" s="104">
        <v>31825</v>
      </c>
      <c r="I35" s="100"/>
      <c r="J35" s="110"/>
      <c r="K35" s="116"/>
    </row>
    <row r="36" spans="2:11">
      <c r="B36" s="122" t="s">
        <v>66</v>
      </c>
      <c r="C36" s="123"/>
      <c r="D36" s="123">
        <v>38115</v>
      </c>
      <c r="E36" s="123" t="s">
        <v>90</v>
      </c>
      <c r="F36" s="129">
        <f>H10</f>
        <v>41799</v>
      </c>
      <c r="G36" s="100"/>
      <c r="H36" s="104">
        <f>54815-6081</f>
        <v>48734</v>
      </c>
      <c r="I36" s="100"/>
      <c r="J36" s="110"/>
      <c r="K36" s="116"/>
    </row>
    <row r="37" spans="2:11">
      <c r="B37" s="122" t="s">
        <v>66</v>
      </c>
      <c r="C37" s="123"/>
      <c r="D37" s="123">
        <v>38088</v>
      </c>
      <c r="E37" s="123" t="s">
        <v>89</v>
      </c>
      <c r="F37" s="103">
        <f>H11</f>
        <v>0</v>
      </c>
      <c r="G37" s="100"/>
      <c r="H37" s="104">
        <v>1465</v>
      </c>
      <c r="I37" s="100"/>
      <c r="J37" s="110"/>
      <c r="K37" s="116"/>
    </row>
    <row r="38" spans="2:11">
      <c r="B38" s="122"/>
      <c r="C38" s="123"/>
      <c r="D38" s="123"/>
      <c r="E38" s="123"/>
      <c r="F38" s="104">
        <f>SUM(F35:F37)</f>
        <v>73624</v>
      </c>
      <c r="G38" s="100" t="s">
        <v>62</v>
      </c>
      <c r="H38" s="128">
        <f>SUM(H35:H37)</f>
        <v>82024</v>
      </c>
      <c r="I38" s="100"/>
      <c r="J38" s="110">
        <f>SUM(J35:J37)</f>
        <v>0</v>
      </c>
      <c r="K38" s="116"/>
    </row>
    <row r="39" spans="2:11">
      <c r="B39" s="115"/>
      <c r="C39" s="110"/>
      <c r="D39" s="110"/>
      <c r="E39" s="110"/>
      <c r="F39" s="104"/>
      <c r="G39" s="100"/>
      <c r="H39" s="127"/>
      <c r="I39" s="100"/>
      <c r="J39" s="110"/>
      <c r="K39" s="116"/>
    </row>
    <row r="40" spans="2:11" ht="16.5" thickBot="1">
      <c r="B40" s="115"/>
      <c r="C40" s="110"/>
      <c r="D40" s="110"/>
      <c r="E40" s="110"/>
      <c r="F40" s="105"/>
      <c r="G40" s="106"/>
      <c r="H40" s="105"/>
      <c r="I40" s="106"/>
      <c r="J40" s="110"/>
      <c r="K40" s="116"/>
    </row>
    <row r="41" spans="2:11">
      <c r="B41" s="115"/>
      <c r="C41" s="110"/>
      <c r="D41" s="110"/>
      <c r="E41" s="110"/>
      <c r="F41" s="110"/>
      <c r="G41" s="110"/>
      <c r="H41" s="110"/>
      <c r="I41" s="110"/>
      <c r="J41" s="110"/>
      <c r="K41" s="116"/>
    </row>
    <row r="42" spans="2:11" ht="16.5" thickBot="1">
      <c r="B42" s="134" t="s">
        <v>32</v>
      </c>
      <c r="C42" s="135"/>
      <c r="D42" s="135"/>
      <c r="E42" s="135"/>
      <c r="F42" s="135"/>
      <c r="G42" s="135"/>
      <c r="H42" s="135"/>
      <c r="I42" s="135"/>
      <c r="J42" s="135"/>
      <c r="K42" s="136"/>
    </row>
    <row r="43" spans="2:11">
      <c r="B43" s="117"/>
      <c r="C43" s="118"/>
      <c r="D43" s="118"/>
      <c r="E43" s="118"/>
      <c r="F43" s="98" t="s">
        <v>84</v>
      </c>
      <c r="G43" s="111">
        <f>G32</f>
        <v>36809</v>
      </c>
      <c r="H43" s="98" t="s">
        <v>85</v>
      </c>
      <c r="I43" s="111">
        <f>G43+1</f>
        <v>36810</v>
      </c>
      <c r="J43" s="118"/>
      <c r="K43" s="119"/>
    </row>
    <row r="44" spans="2:11">
      <c r="B44" s="115" t="s">
        <v>64</v>
      </c>
      <c r="C44" s="110"/>
      <c r="D44" s="110"/>
      <c r="E44" s="110"/>
      <c r="F44" s="99" t="s">
        <v>60</v>
      </c>
      <c r="G44" s="100"/>
      <c r="H44" s="127"/>
      <c r="I44" s="100"/>
      <c r="J44" s="110" t="s">
        <v>61</v>
      </c>
      <c r="K44" s="116"/>
    </row>
    <row r="45" spans="2:11">
      <c r="B45" s="120" t="s">
        <v>65</v>
      </c>
      <c r="C45" s="121"/>
      <c r="D45" s="121" t="s">
        <v>57</v>
      </c>
      <c r="E45" s="110"/>
      <c r="F45" s="101" t="s">
        <v>58</v>
      </c>
      <c r="G45" s="100"/>
      <c r="H45" s="127"/>
      <c r="I45" s="100"/>
      <c r="J45" s="110" t="s">
        <v>59</v>
      </c>
      <c r="K45" s="116"/>
    </row>
    <row r="46" spans="2:11">
      <c r="B46" s="122" t="s">
        <v>67</v>
      </c>
      <c r="C46" s="123"/>
      <c r="D46" s="123">
        <v>10007</v>
      </c>
      <c r="E46" s="123"/>
      <c r="F46" s="108">
        <f>H20</f>
        <v>16558</v>
      </c>
      <c r="G46" s="100"/>
      <c r="H46" s="104">
        <v>16558</v>
      </c>
      <c r="I46" s="100"/>
      <c r="J46" s="110"/>
      <c r="K46" s="116"/>
    </row>
    <row r="47" spans="2:11">
      <c r="B47" s="122"/>
      <c r="C47" s="123"/>
      <c r="D47" s="123"/>
      <c r="E47" s="123"/>
      <c r="F47" s="104">
        <f>SUM(F46)</f>
        <v>16558</v>
      </c>
      <c r="G47" s="100" t="s">
        <v>62</v>
      </c>
      <c r="H47" s="128">
        <f>SUM(H46)</f>
        <v>16558</v>
      </c>
      <c r="I47" s="100"/>
      <c r="J47" s="110">
        <f>SUM(J46)</f>
        <v>0</v>
      </c>
      <c r="K47" s="116"/>
    </row>
    <row r="48" spans="2:11">
      <c r="B48" s="122"/>
      <c r="C48" s="123"/>
      <c r="D48" s="123"/>
      <c r="E48" s="123"/>
      <c r="F48" s="104"/>
      <c r="G48" s="100"/>
      <c r="H48" s="104"/>
      <c r="I48" s="100"/>
      <c r="J48" s="110"/>
      <c r="K48" s="116"/>
    </row>
    <row r="49" spans="2:11">
      <c r="B49" s="122"/>
      <c r="C49" s="123"/>
      <c r="D49" s="123"/>
      <c r="E49" s="123"/>
      <c r="F49" s="104"/>
      <c r="G49" s="100"/>
      <c r="H49" s="104"/>
      <c r="I49" s="100"/>
      <c r="J49" s="110"/>
      <c r="K49" s="116"/>
    </row>
    <row r="50" spans="2:11" ht="16.5" thickBot="1">
      <c r="B50" s="122"/>
      <c r="C50" s="123"/>
      <c r="D50" s="123"/>
      <c r="E50" s="123"/>
      <c r="F50" s="109"/>
      <c r="G50" s="106"/>
      <c r="H50" s="105"/>
      <c r="I50" s="106"/>
      <c r="J50" s="110"/>
      <c r="K50" s="116"/>
    </row>
    <row r="51" spans="2:11">
      <c r="B51" s="122"/>
      <c r="C51" s="123"/>
      <c r="D51" s="123"/>
      <c r="E51" s="123"/>
      <c r="F51" s="107"/>
      <c r="G51" s="110"/>
      <c r="H51" s="110"/>
      <c r="I51" s="110"/>
      <c r="J51" s="110"/>
      <c r="K51" s="116"/>
    </row>
    <row r="52" spans="2:11">
      <c r="B52" s="115" t="s">
        <v>69</v>
      </c>
      <c r="C52" s="110"/>
      <c r="D52" s="110"/>
      <c r="E52" s="110"/>
      <c r="F52" s="107">
        <f>F38+F47</f>
        <v>90182</v>
      </c>
      <c r="G52" s="110"/>
      <c r="H52" s="107">
        <f>H38+H47</f>
        <v>98582</v>
      </c>
      <c r="I52" s="110"/>
      <c r="J52" s="110"/>
      <c r="K52" s="116"/>
    </row>
    <row r="53" spans="2:11" ht="16.5" thickBot="1">
      <c r="B53" s="124"/>
      <c r="C53" s="125"/>
      <c r="D53" s="125"/>
      <c r="E53" s="125"/>
      <c r="F53" s="125"/>
      <c r="G53" s="125"/>
      <c r="H53" s="125"/>
      <c r="I53" s="125"/>
      <c r="J53" s="125"/>
      <c r="K53" s="126"/>
    </row>
    <row r="54" spans="2:11">
      <c r="B54" s="131" t="s">
        <v>93</v>
      </c>
      <c r="C54" s="132"/>
      <c r="D54" s="132"/>
      <c r="E54" s="132"/>
      <c r="F54" s="132"/>
      <c r="G54" s="132"/>
      <c r="H54" s="132"/>
      <c r="I54" s="132"/>
      <c r="J54" s="132"/>
      <c r="K54" s="133"/>
    </row>
    <row r="55" spans="2:11">
      <c r="B55" s="115"/>
      <c r="C55" s="110"/>
      <c r="D55" s="110"/>
      <c r="E55" s="110"/>
      <c r="F55" s="110"/>
      <c r="G55" s="110"/>
      <c r="H55" s="110"/>
      <c r="I55" s="110"/>
      <c r="J55" s="110"/>
      <c r="K55" s="116"/>
    </row>
    <row r="56" spans="2:11">
      <c r="B56" s="115"/>
      <c r="C56" s="110"/>
      <c r="D56" s="110"/>
      <c r="E56" s="110"/>
      <c r="F56" s="110"/>
      <c r="G56" s="110"/>
      <c r="H56" s="110"/>
      <c r="I56" s="110"/>
      <c r="J56" s="110"/>
      <c r="K56" s="116"/>
    </row>
    <row r="57" spans="2:11" ht="16.5" thickBot="1">
      <c r="B57" s="134" t="s">
        <v>63</v>
      </c>
      <c r="C57" s="135"/>
      <c r="D57" s="135"/>
      <c r="E57" s="135"/>
      <c r="F57" s="135"/>
      <c r="G57" s="135"/>
      <c r="H57" s="135"/>
      <c r="I57" s="135"/>
      <c r="J57" s="135"/>
      <c r="K57" s="136"/>
    </row>
    <row r="58" spans="2:11">
      <c r="B58" s="117"/>
      <c r="C58" s="118"/>
      <c r="D58" s="118"/>
      <c r="E58" s="118"/>
      <c r="F58" s="98" t="s">
        <v>84</v>
      </c>
      <c r="G58" s="111">
        <f>I32</f>
        <v>36810</v>
      </c>
      <c r="H58" s="98" t="s">
        <v>85</v>
      </c>
      <c r="I58" s="111">
        <f>G58+1</f>
        <v>36811</v>
      </c>
      <c r="J58" s="118"/>
      <c r="K58" s="119"/>
    </row>
    <row r="59" spans="2:11">
      <c r="B59" s="115" t="s">
        <v>64</v>
      </c>
      <c r="C59" s="110"/>
      <c r="D59" s="110"/>
      <c r="E59" s="110"/>
      <c r="F59" s="99" t="s">
        <v>60</v>
      </c>
      <c r="G59" s="100"/>
      <c r="H59" s="127"/>
      <c r="I59" s="100"/>
      <c r="J59" s="110" t="s">
        <v>61</v>
      </c>
      <c r="K59" s="116"/>
    </row>
    <row r="60" spans="2:11">
      <c r="B60" s="120" t="s">
        <v>65</v>
      </c>
      <c r="C60" s="121"/>
      <c r="D60" s="121" t="s">
        <v>57</v>
      </c>
      <c r="E60" s="110"/>
      <c r="F60" s="101" t="s">
        <v>58</v>
      </c>
      <c r="G60" s="100"/>
      <c r="H60" s="127"/>
      <c r="I60" s="100"/>
      <c r="J60" s="110" t="s">
        <v>59</v>
      </c>
      <c r="K60" s="116"/>
    </row>
    <row r="61" spans="2:11">
      <c r="B61" s="122" t="s">
        <v>66</v>
      </c>
      <c r="C61" s="123"/>
      <c r="D61" s="123">
        <v>65066</v>
      </c>
      <c r="E61" s="123"/>
      <c r="F61" s="102">
        <f>H35</f>
        <v>31825</v>
      </c>
      <c r="G61" s="100"/>
      <c r="H61" s="104">
        <v>31825</v>
      </c>
      <c r="I61" s="100"/>
      <c r="J61" s="110"/>
      <c r="K61" s="116"/>
    </row>
    <row r="62" spans="2:11">
      <c r="B62" s="122" t="s">
        <v>66</v>
      </c>
      <c r="C62" s="123"/>
      <c r="D62" s="123">
        <v>38115</v>
      </c>
      <c r="E62" s="123" t="s">
        <v>90</v>
      </c>
      <c r="F62" s="129">
        <f>H36</f>
        <v>48734</v>
      </c>
      <c r="G62" s="100"/>
      <c r="H62" s="104">
        <f>41680-6081</f>
        <v>35599</v>
      </c>
      <c r="I62" s="100"/>
      <c r="J62" s="110"/>
      <c r="K62" s="116"/>
    </row>
    <row r="63" spans="2:11">
      <c r="B63" s="122" t="s">
        <v>66</v>
      </c>
      <c r="C63" s="123"/>
      <c r="D63" s="123">
        <v>38088</v>
      </c>
      <c r="E63" s="123" t="s">
        <v>89</v>
      </c>
      <c r="F63" s="103">
        <f>H37</f>
        <v>1465</v>
      </c>
      <c r="G63" s="100"/>
      <c r="H63" s="104">
        <f>29246-23000-6246</f>
        <v>0</v>
      </c>
      <c r="I63" s="100"/>
      <c r="J63" s="110"/>
      <c r="K63" s="116"/>
    </row>
    <row r="64" spans="2:11">
      <c r="B64" s="122"/>
      <c r="C64" s="123"/>
      <c r="D64" s="123"/>
      <c r="E64" s="123"/>
      <c r="F64" s="104">
        <f>SUM(F61:F63)</f>
        <v>82024</v>
      </c>
      <c r="G64" s="100" t="s">
        <v>62</v>
      </c>
      <c r="H64" s="128">
        <f>SUM(H61:H63)</f>
        <v>67424</v>
      </c>
      <c r="I64" s="100"/>
      <c r="J64" s="110">
        <f>SUM(J61:J63)</f>
        <v>0</v>
      </c>
      <c r="K64" s="116"/>
    </row>
    <row r="65" spans="2:11">
      <c r="B65" s="115"/>
      <c r="C65" s="110"/>
      <c r="D65" s="110"/>
      <c r="E65" s="110"/>
      <c r="F65" s="104"/>
      <c r="G65" s="100"/>
      <c r="H65" s="127"/>
      <c r="I65" s="100"/>
      <c r="J65" s="110"/>
      <c r="K65" s="116"/>
    </row>
    <row r="66" spans="2:11" ht="16.5" thickBot="1">
      <c r="B66" s="115"/>
      <c r="C66" s="110"/>
      <c r="D66" s="110"/>
      <c r="E66" s="110"/>
      <c r="F66" s="105"/>
      <c r="G66" s="106"/>
      <c r="H66" s="105"/>
      <c r="I66" s="106"/>
      <c r="J66" s="110"/>
      <c r="K66" s="116"/>
    </row>
    <row r="67" spans="2:11">
      <c r="B67" s="115"/>
      <c r="C67" s="110"/>
      <c r="D67" s="110"/>
      <c r="E67" s="110"/>
      <c r="F67" s="110"/>
      <c r="G67" s="110"/>
      <c r="H67" s="110"/>
      <c r="I67" s="110"/>
      <c r="J67" s="110"/>
      <c r="K67" s="116"/>
    </row>
    <row r="68" spans="2:11" ht="16.5" thickBot="1">
      <c r="B68" s="134" t="s">
        <v>32</v>
      </c>
      <c r="C68" s="135"/>
      <c r="D68" s="135"/>
      <c r="E68" s="135"/>
      <c r="F68" s="135"/>
      <c r="G68" s="135"/>
      <c r="H68" s="135"/>
      <c r="I68" s="135"/>
      <c r="J68" s="135"/>
      <c r="K68" s="136"/>
    </row>
    <row r="69" spans="2:11">
      <c r="B69" s="117"/>
      <c r="C69" s="118"/>
      <c r="D69" s="118"/>
      <c r="E69" s="118"/>
      <c r="F69" s="98" t="s">
        <v>84</v>
      </c>
      <c r="G69" s="111">
        <f>G58</f>
        <v>36810</v>
      </c>
      <c r="H69" s="98" t="s">
        <v>85</v>
      </c>
      <c r="I69" s="111">
        <f>G69+1</f>
        <v>36811</v>
      </c>
      <c r="J69" s="118"/>
      <c r="K69" s="119"/>
    </row>
    <row r="70" spans="2:11">
      <c r="B70" s="115" t="s">
        <v>64</v>
      </c>
      <c r="C70" s="110"/>
      <c r="D70" s="110"/>
      <c r="E70" s="110"/>
      <c r="F70" s="99" t="s">
        <v>60</v>
      </c>
      <c r="G70" s="100"/>
      <c r="H70" s="127"/>
      <c r="I70" s="100"/>
      <c r="J70" s="110" t="s">
        <v>61</v>
      </c>
      <c r="K70" s="116"/>
    </row>
    <row r="71" spans="2:11">
      <c r="B71" s="120" t="s">
        <v>65</v>
      </c>
      <c r="C71" s="121"/>
      <c r="D71" s="121" t="s">
        <v>57</v>
      </c>
      <c r="E71" s="110"/>
      <c r="F71" s="101" t="s">
        <v>58</v>
      </c>
      <c r="G71" s="100"/>
      <c r="H71" s="127"/>
      <c r="I71" s="100"/>
      <c r="J71" s="110" t="s">
        <v>59</v>
      </c>
      <c r="K71" s="116"/>
    </row>
    <row r="72" spans="2:11">
      <c r="B72" s="122" t="s">
        <v>67</v>
      </c>
      <c r="C72" s="123"/>
      <c r="D72" s="123">
        <v>10007</v>
      </c>
      <c r="E72" s="123"/>
      <c r="F72" s="108">
        <f>H46</f>
        <v>16558</v>
      </c>
      <c r="G72" s="100"/>
      <c r="H72" s="104">
        <v>16558</v>
      </c>
      <c r="I72" s="100"/>
      <c r="J72" s="110"/>
      <c r="K72" s="116"/>
    </row>
    <row r="73" spans="2:11">
      <c r="B73" s="122"/>
      <c r="C73" s="123"/>
      <c r="D73" s="123"/>
      <c r="E73" s="123"/>
      <c r="F73" s="104">
        <f>SUM(F72)</f>
        <v>16558</v>
      </c>
      <c r="G73" s="100" t="s">
        <v>62</v>
      </c>
      <c r="H73" s="128">
        <f>SUM(H72)</f>
        <v>16558</v>
      </c>
      <c r="I73" s="100"/>
      <c r="J73" s="110">
        <f>SUM(J72)</f>
        <v>0</v>
      </c>
      <c r="K73" s="116"/>
    </row>
    <row r="74" spans="2:11">
      <c r="B74" s="122"/>
      <c r="C74" s="123"/>
      <c r="D74" s="123"/>
      <c r="E74" s="123"/>
      <c r="F74" s="104"/>
      <c r="G74" s="100"/>
      <c r="H74" s="104"/>
      <c r="I74" s="100"/>
      <c r="J74" s="110"/>
      <c r="K74" s="116"/>
    </row>
    <row r="75" spans="2:11">
      <c r="B75" s="122"/>
      <c r="C75" s="123"/>
      <c r="D75" s="123"/>
      <c r="E75" s="123"/>
      <c r="F75" s="104"/>
      <c r="G75" s="100"/>
      <c r="H75" s="104"/>
      <c r="I75" s="100"/>
      <c r="J75" s="110"/>
      <c r="K75" s="116"/>
    </row>
    <row r="76" spans="2:11" ht="16.5" thickBot="1">
      <c r="B76" s="122"/>
      <c r="C76" s="123"/>
      <c r="D76" s="123"/>
      <c r="E76" s="123"/>
      <c r="F76" s="109"/>
      <c r="G76" s="106"/>
      <c r="H76" s="105"/>
      <c r="I76" s="106"/>
      <c r="J76" s="110"/>
      <c r="K76" s="116"/>
    </row>
    <row r="77" spans="2:11">
      <c r="B77" s="122"/>
      <c r="C77" s="123"/>
      <c r="D77" s="123"/>
      <c r="E77" s="123"/>
      <c r="F77" s="107"/>
      <c r="G77" s="110"/>
      <c r="H77" s="110"/>
      <c r="I77" s="110"/>
      <c r="J77" s="110"/>
      <c r="K77" s="116"/>
    </row>
    <row r="78" spans="2:11">
      <c r="B78" s="115" t="s">
        <v>69</v>
      </c>
      <c r="C78" s="110"/>
      <c r="D78" s="110"/>
      <c r="E78" s="110"/>
      <c r="F78" s="107">
        <f>F64+F73</f>
        <v>98582</v>
      </c>
      <c r="G78" s="110"/>
      <c r="H78" s="107">
        <f>H64+H73</f>
        <v>83982</v>
      </c>
      <c r="I78" s="110"/>
      <c r="J78" s="110"/>
      <c r="K78" s="116"/>
    </row>
    <row r="79" spans="2:11" ht="16.5" thickBot="1">
      <c r="B79" s="124"/>
      <c r="C79" s="125"/>
      <c r="D79" s="125"/>
      <c r="E79" s="125"/>
      <c r="F79" s="125"/>
      <c r="G79" s="125"/>
      <c r="H79" s="125"/>
      <c r="I79" s="125"/>
      <c r="J79" s="125"/>
      <c r="K79" s="126"/>
    </row>
  </sheetData>
  <mergeCells count="9">
    <mergeCell ref="B68:K68"/>
    <mergeCell ref="B31:K31"/>
    <mergeCell ref="B42:K42"/>
    <mergeCell ref="B2:K2"/>
    <mergeCell ref="B5:K5"/>
    <mergeCell ref="B16:K16"/>
    <mergeCell ref="B28:K28"/>
    <mergeCell ref="B54:K54"/>
    <mergeCell ref="B57:K57"/>
  </mergeCells>
  <pageMargins left="0.75" right="0.75" top="1" bottom="1" header="0.5" footer="0.5"/>
  <pageSetup scale="5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tabSelected="1" zoomScale="75" workbookViewId="0">
      <pane ySplit="11" topLeftCell="A12" activePane="bottomLeft" state="frozen"/>
      <selection pane="bottomLeft" activeCell="J26" sqref="J26"/>
    </sheetView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36809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36808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36808</v>
      </c>
      <c r="E4" s="48"/>
      <c r="F4" s="64">
        <v>36809</v>
      </c>
      <c r="G4" s="48"/>
      <c r="H4" s="64">
        <v>36810</v>
      </c>
      <c r="I4" s="48"/>
      <c r="J4" s="64">
        <v>36811</v>
      </c>
      <c r="K4" s="48"/>
    </row>
    <row r="5" spans="1:11">
      <c r="A5" s="5"/>
      <c r="B5" s="5"/>
      <c r="C5" s="5"/>
      <c r="D5" s="42" t="s">
        <v>74</v>
      </c>
      <c r="E5" s="41"/>
      <c r="F5" s="42" t="s">
        <v>47</v>
      </c>
      <c r="G5" s="41"/>
      <c r="H5" s="42" t="s">
        <v>48</v>
      </c>
      <c r="I5" s="41"/>
      <c r="J5" s="42" t="s">
        <v>71</v>
      </c>
      <c r="K5" s="41"/>
    </row>
    <row r="6" spans="1:11" ht="16.5" thickBot="1">
      <c r="A6" s="9"/>
      <c r="C6" s="5"/>
      <c r="E6" s="41"/>
      <c r="G6" s="41"/>
      <c r="I6" s="41"/>
      <c r="K6" s="41"/>
    </row>
    <row r="7" spans="1:11" s="66" customFormat="1" ht="12.75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6">
        <v>55</v>
      </c>
      <c r="E8" s="67">
        <v>50</v>
      </c>
      <c r="F8" s="76">
        <v>61</v>
      </c>
      <c r="G8" s="67">
        <v>43</v>
      </c>
      <c r="H8" s="76">
        <v>68</v>
      </c>
      <c r="I8" s="67">
        <v>41</v>
      </c>
      <c r="J8" s="76">
        <v>67</v>
      </c>
      <c r="K8" s="67">
        <v>44</v>
      </c>
    </row>
    <row r="9" spans="1:11" s="70" customFormat="1" ht="16.5" thickBot="1">
      <c r="A9" s="79" t="s">
        <v>79</v>
      </c>
      <c r="B9" s="80"/>
      <c r="C9" s="79"/>
      <c r="D9" s="81">
        <f>(D8+E8)/2-65</f>
        <v>-12.5</v>
      </c>
      <c r="E9" s="79"/>
      <c r="F9" s="81">
        <f>(F8+G8)/2-65</f>
        <v>-13</v>
      </c>
      <c r="G9" s="79"/>
      <c r="H9" s="81">
        <f>(H8+I8)/2-65</f>
        <v>-10.5</v>
      </c>
      <c r="I9" s="79"/>
      <c r="J9" s="81">
        <f>(J8+K8)/2-65</f>
        <v>-9.5</v>
      </c>
      <c r="K9" s="79"/>
    </row>
    <row r="10" spans="1:11" ht="16.5" thickTop="1">
      <c r="A10" s="5"/>
      <c r="C10" s="5"/>
      <c r="D10" s="68"/>
      <c r="E10" s="5"/>
      <c r="F10" s="68"/>
      <c r="G10" s="5"/>
      <c r="H10" s="68"/>
      <c r="I10" s="5"/>
      <c r="J10" s="68"/>
      <c r="K10" s="5"/>
    </row>
    <row r="11" spans="1:11">
      <c r="A11" s="5" t="s">
        <v>49</v>
      </c>
      <c r="B11" s="5"/>
      <c r="C11" s="5"/>
      <c r="D11" s="13">
        <f>120000-23000-17000</f>
        <v>80000</v>
      </c>
      <c r="E11" s="5"/>
      <c r="F11" s="13">
        <f>85000</f>
        <v>85000</v>
      </c>
      <c r="G11" s="5"/>
      <c r="H11" s="13">
        <f>45000+48400</f>
        <v>93400</v>
      </c>
      <c r="I11" s="5"/>
      <c r="J11" s="13">
        <f>45000+33800</f>
        <v>78800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13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13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92"/>
      <c r="F22" s="19">
        <f>SUM(F17:F21)</f>
        <v>32702</v>
      </c>
      <c r="G22" s="92"/>
      <c r="H22" s="19">
        <f>SUM(H17:H21)</f>
        <v>32702</v>
      </c>
      <c r="I22" s="92"/>
      <c r="J22" s="19">
        <f>SUM(J17:J21)</f>
        <v>32702</v>
      </c>
      <c r="K22" s="92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93"/>
      <c r="F23" s="82">
        <f>F22*0.973182</f>
        <v>31824.997764</v>
      </c>
      <c r="G23" s="93"/>
      <c r="H23" s="82">
        <f>H22*0.973182</f>
        <v>31824.997764</v>
      </c>
      <c r="I23" s="93"/>
      <c r="J23" s="82">
        <f>J22*0.973182</f>
        <v>31824.997764</v>
      </c>
      <c r="K23" s="93"/>
    </row>
    <row r="24" spans="1:11">
      <c r="A24" s="9" t="s">
        <v>19</v>
      </c>
      <c r="B24" s="13"/>
      <c r="C24" s="5"/>
      <c r="D24" s="13"/>
      <c r="E24" s="5"/>
      <c r="F24" s="13"/>
      <c r="G24" s="5"/>
      <c r="H24" s="13"/>
      <c r="I24" s="5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13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f>26091+3155-23000-6246</f>
        <v>0</v>
      </c>
      <c r="E28" s="5"/>
      <c r="F28" s="13">
        <v>0</v>
      </c>
      <c r="G28" s="5"/>
      <c r="H28" s="13">
        <v>1465</v>
      </c>
      <c r="I28" s="5"/>
      <c r="J28" s="13">
        <f>26091+3155-23000-6246</f>
        <v>0</v>
      </c>
      <c r="K28" s="5"/>
    </row>
    <row r="29" spans="1:11">
      <c r="A29" s="9" t="s">
        <v>22</v>
      </c>
      <c r="B29" s="13">
        <f>57970-3155</f>
        <v>54815</v>
      </c>
      <c r="C29" s="5"/>
      <c r="D29" s="53">
        <f>54815-10754</f>
        <v>44061</v>
      </c>
      <c r="E29" s="16"/>
      <c r="F29" s="53">
        <f>11198+2863+33819</f>
        <v>47880</v>
      </c>
      <c r="G29" s="16"/>
      <c r="H29" s="53">
        <f>54815-2754-13000+17219-1465</f>
        <v>54815</v>
      </c>
      <c r="I29" s="16"/>
      <c r="J29" s="53">
        <f>54815-10754-2381</f>
        <v>41680</v>
      </c>
      <c r="K29" s="16"/>
    </row>
    <row r="30" spans="1:11">
      <c r="A30" s="23"/>
      <c r="B30" s="24"/>
      <c r="C30" s="5"/>
      <c r="D30" s="7"/>
      <c r="E30" s="5"/>
      <c r="F30" s="7"/>
      <c r="G30" s="5"/>
      <c r="H30" s="7"/>
      <c r="I30" s="5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44061</v>
      </c>
      <c r="E31" s="87" t="s">
        <v>5</v>
      </c>
      <c r="F31" s="86">
        <f>SUM(F28:F30)</f>
        <v>47880</v>
      </c>
      <c r="G31" s="87" t="s">
        <v>5</v>
      </c>
      <c r="H31" s="86">
        <f>SUM(H28:H30)</f>
        <v>56280</v>
      </c>
      <c r="I31" s="87" t="s">
        <v>5</v>
      </c>
      <c r="J31" s="86">
        <f>SUM(J28:J30)</f>
        <v>41680</v>
      </c>
      <c r="K31" s="87" t="s">
        <v>5</v>
      </c>
    </row>
    <row r="32" spans="1:11">
      <c r="A32" s="9" t="s">
        <v>24</v>
      </c>
      <c r="B32" s="13">
        <v>31827.5</v>
      </c>
      <c r="C32" s="5"/>
      <c r="D32" s="53">
        <f>-5076-4181</f>
        <v>-9257</v>
      </c>
      <c r="E32" s="5"/>
      <c r="F32" s="53">
        <v>-5076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88" t="s">
        <v>5</v>
      </c>
      <c r="F35" s="88">
        <v>-6081</v>
      </c>
      <c r="G35" s="88" t="s">
        <v>5</v>
      </c>
      <c r="H35" s="88">
        <v>-6081</v>
      </c>
      <c r="I35" s="88" t="s">
        <v>5</v>
      </c>
      <c r="J35" s="88">
        <v>-6081</v>
      </c>
      <c r="K35" s="88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30723</v>
      </c>
      <c r="E36" s="94"/>
      <c r="F36" s="19">
        <f>SUM(F31:F35)</f>
        <v>38723</v>
      </c>
      <c r="G36" s="94"/>
      <c r="H36" s="19">
        <f>SUM(H31:H35)</f>
        <v>47123</v>
      </c>
      <c r="I36" s="94"/>
      <c r="J36" s="19">
        <f>SUM(J31:J35)</f>
        <v>32523</v>
      </c>
      <c r="K36" s="94"/>
    </row>
    <row r="37" spans="1:11">
      <c r="A37" s="5"/>
      <c r="B37" s="13"/>
      <c r="C37" s="5"/>
      <c r="D37" s="5"/>
      <c r="E37" s="13"/>
      <c r="F37" s="5"/>
      <c r="G37" s="13"/>
      <c r="H37" s="5"/>
      <c r="I37" s="13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85"/>
    </row>
    <row r="42" spans="1:11">
      <c r="A42" s="5" t="s">
        <v>30</v>
      </c>
      <c r="B42" s="13">
        <v>53648</v>
      </c>
      <c r="C42" s="5"/>
      <c r="D42" s="27">
        <v>-16599</v>
      </c>
      <c r="E42" s="5"/>
      <c r="F42" s="27">
        <v>-16599</v>
      </c>
      <c r="G42" s="5"/>
      <c r="H42" s="27">
        <v>-16599</v>
      </c>
      <c r="I42" s="5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17493</v>
      </c>
      <c r="E44" s="5"/>
      <c r="F44" s="53">
        <f>12493+2000</f>
        <v>14493</v>
      </c>
      <c r="G44" s="5"/>
      <c r="H44" s="53">
        <f>14493</f>
        <v>14493</v>
      </c>
      <c r="I44" s="5"/>
      <c r="J44" s="53">
        <f>14493</f>
        <v>14493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5"/>
      <c r="F46" s="5"/>
      <c r="G46" s="5"/>
      <c r="H46" s="5"/>
      <c r="I46" s="5"/>
      <c r="J46" s="5"/>
      <c r="K46" s="5"/>
    </row>
    <row r="47" spans="1:11">
      <c r="A47" s="5"/>
      <c r="B47" s="24"/>
      <c r="C47" s="13"/>
      <c r="D47" s="13"/>
      <c r="E47" s="5"/>
      <c r="F47" s="13"/>
      <c r="G47" s="5"/>
      <c r="H47" s="13"/>
      <c r="I47" s="5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17452</v>
      </c>
      <c r="E48" s="95"/>
      <c r="F48" s="19">
        <f>SUM(F43:F47)</f>
        <v>14452</v>
      </c>
      <c r="G48" s="95"/>
      <c r="H48" s="19">
        <f>SUM(H43:H47)</f>
        <v>14452</v>
      </c>
      <c r="I48" s="95"/>
      <c r="J48" s="19">
        <f>SUM(J43:J47)</f>
        <v>14452</v>
      </c>
      <c r="K48" s="95"/>
    </row>
    <row r="49" spans="1:11">
      <c r="A49" s="16" t="s">
        <v>82</v>
      </c>
      <c r="B49" s="17">
        <v>93369.99</v>
      </c>
      <c r="C49" s="17"/>
      <c r="D49" s="17">
        <f>D48*0.9975</f>
        <v>17408.370000000003</v>
      </c>
      <c r="E49" s="5"/>
      <c r="F49" s="17">
        <f>F48*0.9975</f>
        <v>14415.87</v>
      </c>
      <c r="G49" s="5"/>
      <c r="H49" s="17">
        <f>H48*0.9975</f>
        <v>14415.87</v>
      </c>
      <c r="I49" s="5"/>
      <c r="J49" s="17">
        <f>J48*0.9975</f>
        <v>14415.87</v>
      </c>
      <c r="K49" s="5"/>
    </row>
    <row r="50" spans="1:11">
      <c r="A50" s="15" t="s">
        <v>0</v>
      </c>
      <c r="B50" s="21"/>
      <c r="C50" s="5"/>
      <c r="D50" s="29">
        <f>D49/D58</f>
        <v>0.21760463108204947</v>
      </c>
      <c r="E50" s="5"/>
      <c r="F50" s="29">
        <f>F49/F58</f>
        <v>0.16959847504967285</v>
      </c>
      <c r="G50" s="5"/>
      <c r="H50" s="29">
        <f>H49/H58</f>
        <v>0.1543455069070295</v>
      </c>
      <c r="I50" s="5"/>
      <c r="J50" s="29">
        <f>J49/J58</f>
        <v>0.18294251788146537</v>
      </c>
      <c r="K50" s="5"/>
    </row>
    <row r="51" spans="1:11">
      <c r="A51" s="10"/>
      <c r="B51" s="13"/>
      <c r="C51" s="5"/>
      <c r="D51" s="13"/>
      <c r="E51" s="13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13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13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5"/>
      <c r="F54" s="13">
        <v>0</v>
      </c>
      <c r="G54" s="5"/>
      <c r="H54" s="13">
        <v>0</v>
      </c>
      <c r="I54" s="5"/>
      <c r="J54" s="13">
        <v>0</v>
      </c>
      <c r="K54" s="5"/>
    </row>
    <row r="55" spans="1:11">
      <c r="A55" s="9"/>
      <c r="B55" s="13"/>
      <c r="C55" s="5"/>
      <c r="D55" s="13"/>
      <c r="E55" s="13"/>
      <c r="F55" s="13"/>
      <c r="G55" s="13"/>
      <c r="H55" s="13"/>
      <c r="I55" s="13"/>
      <c r="J55" s="13"/>
      <c r="K55" s="13"/>
    </row>
    <row r="56" spans="1:11" ht="16.5" thickBot="1">
      <c r="A56" s="5"/>
      <c r="B56" s="13"/>
      <c r="C56" s="5"/>
      <c r="D56" s="13"/>
      <c r="E56" s="13"/>
      <c r="F56" s="13"/>
      <c r="G56" s="13"/>
      <c r="H56" s="13"/>
      <c r="I56" s="13"/>
      <c r="J56" s="13"/>
      <c r="K56" s="13"/>
    </row>
    <row r="57" spans="1:11" ht="16.5" thickTop="1">
      <c r="A57" s="28"/>
      <c r="B57" s="26"/>
      <c r="C57" s="28"/>
      <c r="D57" s="31"/>
      <c r="E57" s="96"/>
      <c r="F57" s="31"/>
      <c r="G57" s="96"/>
      <c r="H57" s="31"/>
      <c r="I57" s="96"/>
      <c r="J57" s="31"/>
      <c r="K57" s="96"/>
    </row>
    <row r="58" spans="1:11">
      <c r="A58" s="28" t="s">
        <v>28</v>
      </c>
      <c r="B58" s="26">
        <v>324602.49</v>
      </c>
      <c r="C58" s="28"/>
      <c r="D58" s="26">
        <f>D23+D36+D48</f>
        <v>79999.997764</v>
      </c>
      <c r="E58" s="5"/>
      <c r="F58" s="26">
        <f>F23+F36+F48</f>
        <v>84999.997764</v>
      </c>
      <c r="G58" s="5"/>
      <c r="H58" s="26">
        <f>H23+H36+H48</f>
        <v>93399.997764</v>
      </c>
      <c r="I58" s="5"/>
      <c r="J58" s="26">
        <f>J23+J36+J48</f>
        <v>78799.997764</v>
      </c>
      <c r="K58" s="5"/>
    </row>
    <row r="59" spans="1:11">
      <c r="A59" s="28"/>
      <c r="B59" s="26"/>
      <c r="C59" s="28"/>
      <c r="D59" s="26"/>
      <c r="E59" s="5"/>
      <c r="F59" s="26"/>
      <c r="G59" s="5"/>
      <c r="H59" s="26"/>
      <c r="I59" s="5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5"/>
      <c r="F60" s="65">
        <f>F11-F58</f>
        <v>2.2360000002663583E-3</v>
      </c>
      <c r="G60" s="5"/>
      <c r="H60" s="65">
        <f>H11-H58</f>
        <v>2.2360000002663583E-3</v>
      </c>
      <c r="I60" s="5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 t="s">
        <v>88</v>
      </c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 t="s">
        <v>87</v>
      </c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 t="s">
        <v>87</v>
      </c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2</v>
      </c>
      <c r="C69" s="5" t="s">
        <v>32</v>
      </c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130" t="s">
        <v>88</v>
      </c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/>
      <c r="C71" s="39"/>
      <c r="D71" s="112">
        <f>SUM(D66:D70)</f>
        <v>33550</v>
      </c>
      <c r="E71" s="5"/>
      <c r="F71" s="112">
        <f>SUM(F66:F70)</f>
        <v>179987</v>
      </c>
      <c r="G71" s="5"/>
      <c r="H71" s="6"/>
      <c r="I71" s="5"/>
      <c r="J71" s="5"/>
      <c r="K71" s="5"/>
    </row>
    <row r="72" spans="1:11">
      <c r="A72" s="5"/>
      <c r="B72" s="38"/>
      <c r="C72" s="39"/>
      <c r="D72" s="13"/>
      <c r="E72" s="5"/>
      <c r="F72" s="13"/>
      <c r="G72" s="5"/>
      <c r="H72" s="6"/>
      <c r="I72" s="5"/>
      <c r="J72" s="5"/>
      <c r="K72" s="5"/>
    </row>
    <row r="73" spans="1:11">
      <c r="A73" s="5"/>
      <c r="B73" s="38" t="s">
        <v>44</v>
      </c>
      <c r="C73" s="5"/>
      <c r="D73" s="24">
        <v>12000</v>
      </c>
      <c r="E73" s="5" t="s">
        <v>86</v>
      </c>
      <c r="F73" s="13">
        <v>51825</v>
      </c>
      <c r="G73" s="5"/>
      <c r="H73" s="6"/>
      <c r="I73" s="5"/>
      <c r="J73" s="5"/>
      <c r="K73" s="39"/>
    </row>
    <row r="74" spans="1:11">
      <c r="A74" s="5"/>
      <c r="B74" s="38"/>
      <c r="C74" s="5"/>
      <c r="D74" s="114"/>
      <c r="E74" s="5"/>
      <c r="F74" s="113"/>
      <c r="G74" s="5"/>
      <c r="H74" s="6"/>
      <c r="I74" s="5"/>
      <c r="J74" s="5"/>
      <c r="K74" s="39"/>
    </row>
    <row r="75" spans="1:11">
      <c r="A75" s="9"/>
      <c r="B75" s="40"/>
      <c r="C75" s="40"/>
      <c r="D75" s="40"/>
      <c r="E75" s="40"/>
      <c r="F75" s="40"/>
      <c r="G75" s="40"/>
      <c r="H75" s="39"/>
      <c r="I75" s="39"/>
      <c r="J75" s="39"/>
      <c r="K75" s="5"/>
    </row>
    <row r="76" spans="1:11">
      <c r="A76" s="5"/>
      <c r="B76" s="5"/>
      <c r="C76" s="5"/>
      <c r="D76" s="13"/>
      <c r="E76" s="5"/>
      <c r="F76" s="13"/>
      <c r="G76" s="5"/>
      <c r="H76" s="13"/>
      <c r="I76" s="5"/>
      <c r="J76" s="13"/>
      <c r="K76" s="5"/>
    </row>
    <row r="78" spans="1:11">
      <c r="A78" s="50" t="s">
        <v>51</v>
      </c>
      <c r="H78" s="57"/>
      <c r="I78" s="50" t="s">
        <v>52</v>
      </c>
    </row>
    <row r="80" spans="1:11">
      <c r="A80" s="56" t="s">
        <v>53</v>
      </c>
      <c r="H80" s="56" t="s">
        <v>56</v>
      </c>
    </row>
    <row r="81" spans="1:8">
      <c r="A81" s="56" t="s">
        <v>54</v>
      </c>
      <c r="H81" s="56" t="s">
        <v>70</v>
      </c>
    </row>
    <row r="82" spans="1:8">
      <c r="A82" s="56" t="s">
        <v>55</v>
      </c>
    </row>
  </sheetData>
  <mergeCells count="1">
    <mergeCell ref="E2:F2"/>
  </mergeCells>
  <pageMargins left="0.75" right="0.75" top="1" bottom="1" header="0.5" footer="0.5"/>
  <pageSetup scale="48"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zoomScale="75" workbookViewId="0">
      <pane ySplit="11" topLeftCell="A12" activePane="bottomLeft" state="frozen"/>
      <selection pane="bottomLeft" activeCell="A12" sqref="A12"/>
    </sheetView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36807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36808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36805</v>
      </c>
      <c r="E4" s="48"/>
      <c r="F4" s="64">
        <v>36806</v>
      </c>
      <c r="G4" s="48"/>
      <c r="H4" s="64">
        <v>36807</v>
      </c>
      <c r="I4" s="48"/>
      <c r="J4" s="64">
        <v>36808</v>
      </c>
      <c r="K4" s="48"/>
    </row>
    <row r="5" spans="1:11">
      <c r="A5" s="5"/>
      <c r="B5" s="5"/>
      <c r="C5" s="5"/>
      <c r="D5" s="42" t="s">
        <v>72</v>
      </c>
      <c r="E5" s="41"/>
      <c r="F5" s="42" t="s">
        <v>75</v>
      </c>
      <c r="G5" s="41"/>
      <c r="H5" s="42" t="s">
        <v>73</v>
      </c>
      <c r="I5" s="41"/>
      <c r="J5" s="42" t="s">
        <v>74</v>
      </c>
      <c r="K5" s="41"/>
    </row>
    <row r="6" spans="1:11" ht="16.5" thickBot="1">
      <c r="A6" s="9"/>
      <c r="C6" s="5"/>
      <c r="G6" s="41"/>
      <c r="I6" s="41"/>
      <c r="K6" s="41"/>
    </row>
    <row r="7" spans="1:11" s="66" customFormat="1" ht="12.75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6">
        <v>84</v>
      </c>
      <c r="E8" s="78">
        <v>67</v>
      </c>
      <c r="F8" s="76">
        <v>64</v>
      </c>
      <c r="G8" s="67">
        <v>60</v>
      </c>
      <c r="H8" s="76">
        <v>53</v>
      </c>
      <c r="I8" s="67">
        <v>48</v>
      </c>
      <c r="J8" s="76">
        <v>51</v>
      </c>
      <c r="K8" s="67">
        <v>44</v>
      </c>
    </row>
    <row r="9" spans="1:11" s="70" customFormat="1" ht="16.5" thickBot="1">
      <c r="A9" s="79" t="s">
        <v>79</v>
      </c>
      <c r="B9" s="80"/>
      <c r="C9" s="79"/>
      <c r="D9" s="81">
        <f>(D8+E8)/2-65</f>
        <v>10.5</v>
      </c>
      <c r="E9" s="80"/>
      <c r="F9" s="81">
        <f>(F8+G8)/2-65</f>
        <v>-3</v>
      </c>
      <c r="G9" s="79"/>
      <c r="H9" s="81">
        <f>(H8+I8)/2-65</f>
        <v>-14.5</v>
      </c>
      <c r="I9" s="79"/>
      <c r="J9" s="81">
        <f>(J8+K8)/2-65</f>
        <v>-17.5</v>
      </c>
      <c r="K9" s="79"/>
    </row>
    <row r="10" spans="1:11" ht="16.5" thickTop="1">
      <c r="A10" s="5"/>
      <c r="C10" s="5"/>
      <c r="D10" s="68"/>
      <c r="F10" s="68"/>
      <c r="G10" s="5"/>
      <c r="H10" s="68"/>
      <c r="I10" s="5"/>
      <c r="J10" s="68"/>
      <c r="K10" s="5"/>
    </row>
    <row r="11" spans="1:11">
      <c r="A11" s="5" t="s">
        <v>49</v>
      </c>
      <c r="B11" s="5"/>
      <c r="C11" s="5"/>
      <c r="D11" s="13">
        <v>48000</v>
      </c>
      <c r="E11" s="13"/>
      <c r="F11" s="13">
        <v>50000</v>
      </c>
      <c r="G11" s="5"/>
      <c r="H11" s="13">
        <f>100000-12000-13000</f>
        <v>75000</v>
      </c>
      <c r="I11" s="5"/>
      <c r="J11" s="13">
        <f>120000-23000-17000</f>
        <v>80000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13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13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20"/>
      <c r="F22" s="19">
        <f>SUM(F17:F21)</f>
        <v>32702</v>
      </c>
      <c r="G22" s="92"/>
      <c r="H22" s="19">
        <f>SUM(H17:H21)</f>
        <v>32702</v>
      </c>
      <c r="I22" s="92"/>
      <c r="J22" s="19">
        <f>SUM(J17:J21)</f>
        <v>32702</v>
      </c>
      <c r="K22" s="92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83"/>
      <c r="F23" s="82">
        <f>F22*0.973182</f>
        <v>31824.997764</v>
      </c>
      <c r="G23" s="93"/>
      <c r="H23" s="82">
        <f>H22*0.973182</f>
        <v>31824.997764</v>
      </c>
      <c r="I23" s="93"/>
      <c r="J23" s="82">
        <f>J22*0.973182</f>
        <v>31824.997764</v>
      </c>
      <c r="K23" s="93"/>
    </row>
    <row r="24" spans="1:11">
      <c r="A24" s="9" t="s">
        <v>19</v>
      </c>
      <c r="B24" s="13"/>
      <c r="C24" s="5"/>
      <c r="D24" s="13"/>
      <c r="E24" s="13"/>
      <c r="F24" s="13"/>
      <c r="G24" s="5"/>
      <c r="H24" s="13"/>
      <c r="I24" s="5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13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v>0</v>
      </c>
      <c r="E28" s="5"/>
      <c r="F28" s="13">
        <v>0</v>
      </c>
      <c r="G28" s="5"/>
      <c r="H28" s="13">
        <v>0</v>
      </c>
      <c r="I28" s="5"/>
      <c r="J28" s="13">
        <f>26091+3155-23000-6246</f>
        <v>0</v>
      </c>
      <c r="K28" s="5"/>
    </row>
    <row r="29" spans="1:11">
      <c r="A29" s="9" t="s">
        <v>22</v>
      </c>
      <c r="B29" s="13">
        <f>57970-3155</f>
        <v>54815</v>
      </c>
      <c r="C29" s="5"/>
      <c r="D29" s="53">
        <v>11198</v>
      </c>
      <c r="E29" s="16"/>
      <c r="F29" s="53">
        <f>11198+2863</f>
        <v>14061</v>
      </c>
      <c r="G29" s="16"/>
      <c r="H29" s="53">
        <f>54815-2754-13000</f>
        <v>39061</v>
      </c>
      <c r="I29" s="16"/>
      <c r="J29" s="53">
        <f>54815-10754</f>
        <v>44061</v>
      </c>
      <c r="K29" s="16"/>
    </row>
    <row r="30" spans="1:11">
      <c r="A30" s="23"/>
      <c r="B30" s="24"/>
      <c r="C30" s="5"/>
      <c r="D30" s="7"/>
      <c r="E30" s="13"/>
      <c r="F30" s="7"/>
      <c r="G30" s="5"/>
      <c r="H30" s="7"/>
      <c r="I30" s="5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11198</v>
      </c>
      <c r="E31" s="87" t="s">
        <v>5</v>
      </c>
      <c r="F31" s="86">
        <f>SUM(F28:F30)</f>
        <v>14061</v>
      </c>
      <c r="G31" s="87" t="s">
        <v>5</v>
      </c>
      <c r="H31" s="86">
        <f>SUM(H28:H30)</f>
        <v>39061</v>
      </c>
      <c r="I31" s="87" t="s">
        <v>5</v>
      </c>
      <c r="J31" s="86">
        <f>SUM(J28:J30)</f>
        <v>44061</v>
      </c>
      <c r="K31" s="87" t="s">
        <v>5</v>
      </c>
    </row>
    <row r="32" spans="1:11">
      <c r="A32" s="9" t="s">
        <v>24</v>
      </c>
      <c r="B32" s="13">
        <v>31827.5</v>
      </c>
      <c r="C32" s="5"/>
      <c r="D32" s="97">
        <f>-5076+2323</f>
        <v>-2753</v>
      </c>
      <c r="E32" s="5"/>
      <c r="F32" s="53">
        <v>-5076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90" t="s">
        <v>5</v>
      </c>
      <c r="F35" s="88">
        <v>-6081</v>
      </c>
      <c r="G35" s="88" t="s">
        <v>5</v>
      </c>
      <c r="H35" s="88">
        <v>-6081</v>
      </c>
      <c r="I35" s="88" t="s">
        <v>5</v>
      </c>
      <c r="J35" s="88">
        <v>-6081</v>
      </c>
      <c r="K35" s="88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4364</v>
      </c>
      <c r="E36" s="20"/>
      <c r="F36" s="19">
        <f>SUM(F31:F35)</f>
        <v>4904</v>
      </c>
      <c r="G36" s="94"/>
      <c r="H36" s="19">
        <f>SUM(H31:H35)</f>
        <v>29904</v>
      </c>
      <c r="I36" s="94"/>
      <c r="J36" s="19">
        <f>SUM(J31:J35)</f>
        <v>34904</v>
      </c>
      <c r="K36" s="94"/>
    </row>
    <row r="37" spans="1:11">
      <c r="A37" s="5"/>
      <c r="B37" s="13"/>
      <c r="C37" s="5"/>
      <c r="D37" s="5"/>
      <c r="E37" s="5"/>
      <c r="F37" s="5"/>
      <c r="G37" s="13"/>
      <c r="H37" s="5"/>
      <c r="I37" s="13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85"/>
    </row>
    <row r="42" spans="1:11">
      <c r="A42" s="5" t="s">
        <v>30</v>
      </c>
      <c r="B42" s="13">
        <v>53648</v>
      </c>
      <c r="C42" s="5"/>
      <c r="D42" s="27">
        <v>-16599</v>
      </c>
      <c r="E42" s="7"/>
      <c r="F42" s="27">
        <v>-16599</v>
      </c>
      <c r="G42" s="5"/>
      <c r="H42" s="27">
        <v>-16599</v>
      </c>
      <c r="I42" s="5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11852</v>
      </c>
      <c r="E44" s="5"/>
      <c r="F44" s="53">
        <f>11852+1460</f>
        <v>13312</v>
      </c>
      <c r="G44" s="5"/>
      <c r="H44" s="53">
        <f>11852+1460</f>
        <v>13312</v>
      </c>
      <c r="I44" s="5"/>
      <c r="J44" s="53">
        <f>11852+1460</f>
        <v>13312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13"/>
      <c r="F46" s="5"/>
      <c r="G46" s="5"/>
      <c r="H46" s="5"/>
      <c r="I46" s="5"/>
      <c r="J46" s="5"/>
      <c r="K46" s="5"/>
    </row>
    <row r="47" spans="1:11">
      <c r="A47" s="5"/>
      <c r="B47" s="24"/>
      <c r="C47" s="13"/>
      <c r="D47" s="13"/>
      <c r="E47" s="13"/>
      <c r="F47" s="13"/>
      <c r="G47" s="5"/>
      <c r="H47" s="13"/>
      <c r="I47" s="5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11811</v>
      </c>
      <c r="E48" s="20"/>
      <c r="F48" s="19">
        <f>SUM(F43:F47)</f>
        <v>13271</v>
      </c>
      <c r="G48" s="95"/>
      <c r="H48" s="19">
        <f>SUM(H43:H47)</f>
        <v>13271</v>
      </c>
      <c r="I48" s="95"/>
      <c r="J48" s="19">
        <f>SUM(J43:J47)</f>
        <v>13271</v>
      </c>
      <c r="K48" s="95"/>
    </row>
    <row r="49" spans="1:11">
      <c r="A49" s="16" t="s">
        <v>82</v>
      </c>
      <c r="B49" s="17">
        <v>93369.99</v>
      </c>
      <c r="C49" s="17"/>
      <c r="D49" s="17">
        <f>D48*0.9975</f>
        <v>11781.4725</v>
      </c>
      <c r="E49" s="17"/>
      <c r="F49" s="17">
        <f>F48*0.9975</f>
        <v>13237.8225</v>
      </c>
      <c r="G49" s="5"/>
      <c r="H49" s="17">
        <f>H48*0.9975</f>
        <v>13237.8225</v>
      </c>
      <c r="I49" s="5"/>
      <c r="J49" s="17">
        <f>J48*0.9975</f>
        <v>13237.8225</v>
      </c>
      <c r="K49" s="5"/>
    </row>
    <row r="50" spans="1:11">
      <c r="A50" s="15" t="s">
        <v>0</v>
      </c>
      <c r="B50" s="21"/>
      <c r="C50" s="5"/>
      <c r="D50" s="29">
        <f>D49/D58</f>
        <v>0.24544735518375596</v>
      </c>
      <c r="E50" s="29"/>
      <c r="F50" s="29">
        <f>F49/F58</f>
        <v>0.26475646183990897</v>
      </c>
      <c r="G50" s="5"/>
      <c r="H50" s="29">
        <f>H49/H58</f>
        <v>0.17650430526218169</v>
      </c>
      <c r="I50" s="5"/>
      <c r="J50" s="29">
        <f>J49/J58</f>
        <v>0.16547278587496436</v>
      </c>
      <c r="K50" s="5"/>
    </row>
    <row r="51" spans="1:11">
      <c r="A51" s="10"/>
      <c r="B51" s="13"/>
      <c r="C51" s="5"/>
      <c r="D51" s="13"/>
      <c r="E51" s="13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13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13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13"/>
      <c r="F54" s="13">
        <v>0</v>
      </c>
      <c r="G54" s="5"/>
      <c r="H54" s="13">
        <v>0</v>
      </c>
      <c r="I54" s="5"/>
      <c r="J54" s="13">
        <v>0</v>
      </c>
      <c r="K54" s="5"/>
    </row>
    <row r="55" spans="1:11">
      <c r="A55" s="9"/>
      <c r="B55" s="13"/>
      <c r="C55" s="5"/>
      <c r="D55" s="13"/>
      <c r="E55" s="5"/>
      <c r="F55" s="13"/>
      <c r="G55" s="13"/>
      <c r="H55" s="13"/>
      <c r="I55" s="13"/>
      <c r="J55" s="13"/>
      <c r="K55" s="13"/>
    </row>
    <row r="56" spans="1:11" ht="16.5" thickBot="1">
      <c r="A56" s="5"/>
      <c r="B56" s="13"/>
      <c r="C56" s="5"/>
      <c r="D56" s="13"/>
      <c r="E56" s="13"/>
      <c r="F56" s="13"/>
      <c r="G56" s="13"/>
      <c r="H56" s="13"/>
      <c r="I56" s="13"/>
      <c r="J56" s="13"/>
      <c r="K56" s="13"/>
    </row>
    <row r="57" spans="1:11" ht="16.5" thickTop="1">
      <c r="A57" s="28"/>
      <c r="B57" s="26"/>
      <c r="C57" s="28"/>
      <c r="D57" s="31"/>
      <c r="E57" s="31"/>
      <c r="F57" s="31"/>
      <c r="G57" s="96"/>
      <c r="H57" s="31"/>
      <c r="I57" s="96"/>
      <c r="J57" s="31"/>
      <c r="K57" s="96"/>
    </row>
    <row r="58" spans="1:11">
      <c r="A58" s="28" t="s">
        <v>28</v>
      </c>
      <c r="B58" s="26">
        <v>324602.49</v>
      </c>
      <c r="C58" s="28"/>
      <c r="D58" s="26">
        <f>D23+D36+D48</f>
        <v>47999.997764</v>
      </c>
      <c r="E58" s="26"/>
      <c r="F58" s="26">
        <f>F23+F36+F48</f>
        <v>49999.997764</v>
      </c>
      <c r="G58" s="5"/>
      <c r="H58" s="26">
        <f>H23+H36+H48</f>
        <v>74999.997764</v>
      </c>
      <c r="I58" s="5"/>
      <c r="J58" s="26">
        <f>J23+J36+J48</f>
        <v>79999.997764</v>
      </c>
      <c r="K58" s="5"/>
    </row>
    <row r="59" spans="1:11">
      <c r="A59" s="28"/>
      <c r="B59" s="26"/>
      <c r="C59" s="28"/>
      <c r="D59" s="26"/>
      <c r="E59" s="26"/>
      <c r="F59" s="26"/>
      <c r="G59" s="5"/>
      <c r="H59" s="26"/>
      <c r="I59" s="5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26"/>
      <c r="F60" s="65">
        <f>F11-F58</f>
        <v>2.2360000002663583E-3</v>
      </c>
      <c r="G60" s="5"/>
      <c r="H60" s="65">
        <f>H11-H58</f>
        <v>2.2360000002663583E-3</v>
      </c>
      <c r="I60" s="5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 t="s">
        <v>88</v>
      </c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 t="s">
        <v>87</v>
      </c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 t="s">
        <v>87</v>
      </c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2</v>
      </c>
      <c r="C69" s="5" t="s">
        <v>32</v>
      </c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130" t="s">
        <v>88</v>
      </c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/>
      <c r="C71" s="39"/>
      <c r="D71" s="112">
        <f>SUM(D66:D70)</f>
        <v>33550</v>
      </c>
      <c r="E71" s="5"/>
      <c r="F71" s="112">
        <f>SUM(F66:F70)</f>
        <v>179987</v>
      </c>
      <c r="G71" s="5"/>
      <c r="H71" s="6"/>
      <c r="I71" s="5"/>
      <c r="J71" s="5"/>
      <c r="K71" s="5"/>
    </row>
    <row r="72" spans="1:11">
      <c r="A72" s="5"/>
      <c r="B72" s="38"/>
      <c r="C72" s="39"/>
      <c r="D72" s="13"/>
      <c r="E72" s="5"/>
      <c r="F72" s="13"/>
      <c r="G72" s="5"/>
      <c r="H72" s="6"/>
      <c r="I72" s="5"/>
      <c r="J72" s="5"/>
      <c r="K72" s="5"/>
    </row>
    <row r="73" spans="1:11">
      <c r="A73" s="5"/>
      <c r="B73" s="38" t="s">
        <v>44</v>
      </c>
      <c r="C73" s="5"/>
      <c r="D73" s="24">
        <v>12000</v>
      </c>
      <c r="E73" s="5" t="s">
        <v>86</v>
      </c>
      <c r="F73" s="13">
        <v>51825</v>
      </c>
      <c r="G73" s="5"/>
      <c r="H73" s="6"/>
      <c r="I73" s="5"/>
      <c r="J73" s="5"/>
      <c r="K73" s="39"/>
    </row>
    <row r="74" spans="1:11">
      <c r="A74" s="5"/>
      <c r="B74" s="38"/>
      <c r="C74" s="5"/>
      <c r="D74" s="114"/>
      <c r="E74" s="5"/>
      <c r="F74" s="113"/>
      <c r="G74" s="5"/>
      <c r="H74" s="6"/>
      <c r="I74" s="5"/>
      <c r="J74" s="5"/>
      <c r="K74" s="39"/>
    </row>
    <row r="75" spans="1:11">
      <c r="A75" s="9"/>
      <c r="B75" s="40"/>
      <c r="C75" s="40"/>
      <c r="D75" s="40"/>
      <c r="E75" s="40"/>
      <c r="F75" s="40"/>
      <c r="G75" s="40"/>
      <c r="H75" s="39"/>
      <c r="I75" s="39"/>
      <c r="J75" s="39"/>
      <c r="K75" s="5"/>
    </row>
    <row r="76" spans="1:11">
      <c r="A76" s="5"/>
      <c r="B76" s="5"/>
      <c r="C76" s="5"/>
      <c r="D76" s="13"/>
      <c r="E76" s="5"/>
      <c r="F76" s="13"/>
      <c r="G76" s="5"/>
      <c r="H76" s="13"/>
      <c r="I76" s="5"/>
      <c r="J76" s="13"/>
      <c r="K76" s="5"/>
    </row>
    <row r="78" spans="1:11">
      <c r="A78" s="50" t="s">
        <v>51</v>
      </c>
      <c r="H78" s="57"/>
      <c r="I78" s="50" t="s">
        <v>52</v>
      </c>
    </row>
    <row r="80" spans="1:11">
      <c r="A80" s="56" t="s">
        <v>53</v>
      </c>
      <c r="H80" s="56" t="s">
        <v>56</v>
      </c>
    </row>
    <row r="81" spans="1:8">
      <c r="A81" s="56" t="s">
        <v>54</v>
      </c>
      <c r="H81" s="56" t="s">
        <v>70</v>
      </c>
    </row>
    <row r="82" spans="1:8">
      <c r="A82" s="56" t="s">
        <v>55</v>
      </c>
    </row>
  </sheetData>
  <mergeCells count="1">
    <mergeCell ref="E2:F2"/>
  </mergeCells>
  <pageMargins left="0.75" right="0.75" top="1" bottom="1" header="0.5" footer="0.5"/>
  <pageSetup scale="48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9"/>
  <sheetViews>
    <sheetView topLeftCell="A19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36805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36808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36804</v>
      </c>
      <c r="E4" s="48"/>
      <c r="F4" s="64">
        <v>36805</v>
      </c>
      <c r="G4" s="48"/>
      <c r="H4" s="64">
        <v>36806</v>
      </c>
      <c r="I4" s="48"/>
      <c r="J4" s="64">
        <v>36807</v>
      </c>
      <c r="K4" s="48"/>
    </row>
    <row r="5" spans="1:11">
      <c r="A5" s="5"/>
      <c r="B5" s="5"/>
      <c r="C5" s="5"/>
      <c r="D5" s="41" t="s">
        <v>71</v>
      </c>
      <c r="E5" s="41"/>
      <c r="F5" s="42" t="s">
        <v>72</v>
      </c>
      <c r="G5" s="41"/>
      <c r="H5" s="42" t="s">
        <v>75</v>
      </c>
      <c r="I5" s="41"/>
      <c r="J5" s="42" t="s">
        <v>73</v>
      </c>
      <c r="K5" s="41"/>
    </row>
    <row r="6" spans="1:11" ht="16.5" thickBot="1">
      <c r="A6" s="9"/>
      <c r="C6" s="5"/>
      <c r="I6" s="41"/>
      <c r="K6" s="41"/>
    </row>
    <row r="7" spans="1:11" s="66" customFormat="1" ht="12.75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6">
        <v>84</v>
      </c>
      <c r="E8" s="78">
        <v>71</v>
      </c>
      <c r="F8" s="76">
        <v>85</v>
      </c>
      <c r="G8" s="78">
        <v>66</v>
      </c>
      <c r="H8" s="76">
        <v>70</v>
      </c>
      <c r="I8" s="67">
        <v>58</v>
      </c>
      <c r="J8" s="76">
        <v>61</v>
      </c>
      <c r="K8" s="67">
        <v>45</v>
      </c>
    </row>
    <row r="9" spans="1:11" s="70" customFormat="1" ht="16.5" thickBot="1">
      <c r="A9" s="79" t="s">
        <v>79</v>
      </c>
      <c r="B9" s="80"/>
      <c r="C9" s="79"/>
      <c r="D9" s="81">
        <f>(D8+E8)/2-65</f>
        <v>12.5</v>
      </c>
      <c r="E9" s="80"/>
      <c r="F9" s="81">
        <f>(F8+G8)/2-65</f>
        <v>10.5</v>
      </c>
      <c r="G9" s="80"/>
      <c r="H9" s="81">
        <f>(H8+I8)/2-65</f>
        <v>-1</v>
      </c>
      <c r="I9" s="79"/>
      <c r="J9" s="81">
        <f>(J8+K8)/2-65</f>
        <v>-12</v>
      </c>
      <c r="K9" s="79"/>
    </row>
    <row r="10" spans="1:11" ht="16.5" thickTop="1">
      <c r="A10" s="5"/>
      <c r="C10" s="5"/>
      <c r="D10" s="68"/>
      <c r="F10" s="68"/>
      <c r="H10" s="68"/>
      <c r="I10" s="5"/>
      <c r="J10" s="68"/>
      <c r="K10" s="5"/>
    </row>
    <row r="11" spans="1:11">
      <c r="A11" s="5" t="s">
        <v>49</v>
      </c>
      <c r="B11" s="5"/>
      <c r="C11" s="5"/>
      <c r="D11" s="13">
        <v>45000</v>
      </c>
      <c r="E11" s="13"/>
      <c r="F11" s="13">
        <v>43000</v>
      </c>
      <c r="G11" s="13"/>
      <c r="H11" s="13">
        <v>45000</v>
      </c>
      <c r="I11" s="5"/>
      <c r="J11" s="13">
        <v>80000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13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13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20"/>
      <c r="F22" s="19">
        <f>SUM(F17:F21)</f>
        <v>32702</v>
      </c>
      <c r="G22" s="20"/>
      <c r="H22" s="19">
        <f>SUM(H17:H21)</f>
        <v>32702</v>
      </c>
      <c r="I22" s="92"/>
      <c r="J22" s="19">
        <f>SUM(J17:J21)</f>
        <v>32702</v>
      </c>
      <c r="K22" s="92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83"/>
      <c r="F23" s="82">
        <f>F22*0.973182</f>
        <v>31824.997764</v>
      </c>
      <c r="G23" s="83"/>
      <c r="H23" s="82">
        <f>H22*0.973182</f>
        <v>31824.997764</v>
      </c>
      <c r="I23" s="93"/>
      <c r="J23" s="82">
        <f>J22*0.973182</f>
        <v>31824.997764</v>
      </c>
      <c r="K23" s="93"/>
    </row>
    <row r="24" spans="1:11">
      <c r="A24" s="9" t="s">
        <v>19</v>
      </c>
      <c r="B24" s="13"/>
      <c r="C24" s="5"/>
      <c r="D24" s="13"/>
      <c r="E24" s="13"/>
      <c r="F24" s="13"/>
      <c r="G24" s="13"/>
      <c r="H24" s="13"/>
      <c r="I24" s="5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13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v>0</v>
      </c>
      <c r="E28" s="5"/>
      <c r="F28" s="13">
        <v>0</v>
      </c>
      <c r="G28" s="5"/>
      <c r="H28" s="13">
        <v>0</v>
      </c>
      <c r="I28" s="5"/>
      <c r="J28" s="13">
        <v>0</v>
      </c>
      <c r="K28" s="5"/>
    </row>
    <row r="29" spans="1:11">
      <c r="A29" s="9" t="s">
        <v>22</v>
      </c>
      <c r="B29" s="13">
        <v>57970</v>
      </c>
      <c r="C29" s="5"/>
      <c r="D29" s="13">
        <v>11198</v>
      </c>
      <c r="E29" s="16"/>
      <c r="F29" s="53">
        <v>11198</v>
      </c>
      <c r="G29" s="16"/>
      <c r="H29" s="53">
        <v>11198</v>
      </c>
      <c r="I29" s="16"/>
      <c r="J29" s="53">
        <v>46198</v>
      </c>
      <c r="K29" s="16"/>
    </row>
    <row r="30" spans="1:11">
      <c r="A30" s="23"/>
      <c r="B30" s="24"/>
      <c r="C30" s="5"/>
      <c r="D30" s="7"/>
      <c r="E30" s="13"/>
      <c r="F30" s="7"/>
      <c r="G30" s="13"/>
      <c r="H30" s="7"/>
      <c r="I30" s="5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11198</v>
      </c>
      <c r="E31" s="87" t="s">
        <v>5</v>
      </c>
      <c r="F31" s="86">
        <f>SUM(F28:F30)</f>
        <v>11198</v>
      </c>
      <c r="G31" s="87" t="s">
        <v>5</v>
      </c>
      <c r="H31" s="86">
        <f>SUM(H28:H30)</f>
        <v>11198</v>
      </c>
      <c r="I31" s="87" t="s">
        <v>5</v>
      </c>
      <c r="J31" s="86">
        <f>SUM(J28:J30)</f>
        <v>46198</v>
      </c>
      <c r="K31" s="87" t="s">
        <v>5</v>
      </c>
    </row>
    <row r="32" spans="1:11">
      <c r="A32" s="9" t="s">
        <v>24</v>
      </c>
      <c r="B32" s="13">
        <v>31827.5</v>
      </c>
      <c r="C32" s="5"/>
      <c r="D32" s="53">
        <v>-5076</v>
      </c>
      <c r="E32" s="5"/>
      <c r="F32" s="97">
        <v>-7076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90" t="s">
        <v>5</v>
      </c>
      <c r="F35" s="88">
        <v>-6081</v>
      </c>
      <c r="G35" s="90" t="s">
        <v>5</v>
      </c>
      <c r="H35" s="88">
        <v>-6081</v>
      </c>
      <c r="I35" s="88" t="s">
        <v>5</v>
      </c>
      <c r="J35" s="88">
        <v>-6081</v>
      </c>
      <c r="K35" s="88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2041</v>
      </c>
      <c r="E36" s="20"/>
      <c r="F36" s="19">
        <f>SUM(F31:F35)</f>
        <v>41</v>
      </c>
      <c r="G36" s="20"/>
      <c r="H36" s="19">
        <f>SUM(H31:H35)</f>
        <v>2041</v>
      </c>
      <c r="I36" s="94"/>
      <c r="J36" s="19">
        <f>SUM(J31:J35)</f>
        <v>37041</v>
      </c>
      <c r="K36" s="94"/>
    </row>
    <row r="37" spans="1:11">
      <c r="A37" s="5"/>
      <c r="B37" s="13"/>
      <c r="C37" s="5"/>
      <c r="D37" s="5"/>
      <c r="E37" s="5"/>
      <c r="F37" s="5"/>
      <c r="G37" s="5"/>
      <c r="H37" s="5"/>
      <c r="I37" s="13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85"/>
    </row>
    <row r="42" spans="1:11">
      <c r="A42" s="5" t="s">
        <v>30</v>
      </c>
      <c r="B42" s="13">
        <v>53648</v>
      </c>
      <c r="C42" s="5"/>
      <c r="D42" s="27">
        <v>-16599</v>
      </c>
      <c r="E42" s="7"/>
      <c r="F42" s="27">
        <v>-16599</v>
      </c>
      <c r="G42" s="7"/>
      <c r="H42" s="27">
        <v>-16599</v>
      </c>
      <c r="I42" s="5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11175</v>
      </c>
      <c r="E44" s="5"/>
      <c r="F44" s="53">
        <v>11175</v>
      </c>
      <c r="G44" s="5"/>
      <c r="H44" s="53">
        <v>11175</v>
      </c>
      <c r="I44" s="5"/>
      <c r="J44" s="53">
        <v>11175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13"/>
      <c r="F46" s="5"/>
      <c r="G46" s="13"/>
      <c r="H46" s="5"/>
      <c r="I46" s="5"/>
      <c r="J46" s="5"/>
      <c r="K46" s="5"/>
    </row>
    <row r="47" spans="1:11">
      <c r="A47" s="5"/>
      <c r="B47" s="24"/>
      <c r="C47" s="13"/>
      <c r="D47" s="13"/>
      <c r="E47" s="13"/>
      <c r="F47" s="13"/>
      <c r="G47" s="13"/>
      <c r="H47" s="13"/>
      <c r="I47" s="5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11134</v>
      </c>
      <c r="E48" s="20"/>
      <c r="F48" s="19">
        <f>SUM(F43:F47)</f>
        <v>11134</v>
      </c>
      <c r="G48" s="20"/>
      <c r="H48" s="19">
        <f>SUM(H43:H47)</f>
        <v>11134</v>
      </c>
      <c r="I48" s="95"/>
      <c r="J48" s="19">
        <f>SUM(J43:J47)</f>
        <v>11134</v>
      </c>
      <c r="K48" s="95"/>
    </row>
    <row r="49" spans="1:11">
      <c r="A49" s="16" t="s">
        <v>82</v>
      </c>
      <c r="B49" s="17">
        <v>93369.99</v>
      </c>
      <c r="C49" s="17"/>
      <c r="D49" s="17">
        <f>D48*0.9975</f>
        <v>11106.165000000001</v>
      </c>
      <c r="E49" s="17"/>
      <c r="F49" s="17">
        <f>F48*0.9975</f>
        <v>11106.165000000001</v>
      </c>
      <c r="G49" s="17"/>
      <c r="H49" s="17">
        <f>H48*0.9975</f>
        <v>11106.165000000001</v>
      </c>
      <c r="I49" s="5"/>
      <c r="J49" s="17">
        <f>J48*0.9975</f>
        <v>11106.165000000001</v>
      </c>
      <c r="K49" s="5"/>
    </row>
    <row r="50" spans="1:11">
      <c r="A50" s="15" t="s">
        <v>0</v>
      </c>
      <c r="B50" s="21"/>
      <c r="C50" s="5"/>
      <c r="D50" s="29">
        <f>D49/D58</f>
        <v>0.24680367893006727</v>
      </c>
      <c r="E50" s="29"/>
      <c r="F50" s="29">
        <f>F49/F58</f>
        <v>0.2582829204074561</v>
      </c>
      <c r="G50" s="29"/>
      <c r="H50" s="29">
        <f>H49/H58</f>
        <v>0.24680367893006727</v>
      </c>
      <c r="I50" s="5"/>
      <c r="J50" s="29">
        <f>J49/J58</f>
        <v>0.13882706638021652</v>
      </c>
      <c r="K50" s="5"/>
    </row>
    <row r="51" spans="1:11">
      <c r="A51" s="10"/>
      <c r="B51" s="13"/>
      <c r="C51" s="5"/>
      <c r="D51" s="13"/>
      <c r="E51" s="13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13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13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13"/>
      <c r="F54" s="13">
        <v>0</v>
      </c>
      <c r="G54" s="13"/>
      <c r="H54" s="13">
        <v>0</v>
      </c>
      <c r="I54" s="5"/>
      <c r="J54" s="13">
        <v>0</v>
      </c>
      <c r="K54" s="5"/>
    </row>
    <row r="55" spans="1:11">
      <c r="A55" s="9"/>
      <c r="B55" s="13"/>
      <c r="C55" s="5"/>
      <c r="D55" s="13"/>
      <c r="E55" s="5"/>
      <c r="F55" s="13"/>
      <c r="G55" s="5"/>
      <c r="H55" s="13"/>
      <c r="I55" s="13"/>
      <c r="J55" s="13"/>
      <c r="K55" s="13"/>
    </row>
    <row r="56" spans="1:11" ht="16.5" thickBot="1">
      <c r="A56" s="5"/>
      <c r="B56" s="13"/>
      <c r="C56" s="5"/>
      <c r="D56" s="13"/>
      <c r="E56" s="13"/>
      <c r="F56" s="13"/>
      <c r="G56" s="13"/>
      <c r="H56" s="13"/>
      <c r="I56" s="13"/>
      <c r="J56" s="13"/>
      <c r="K56" s="13"/>
    </row>
    <row r="57" spans="1:11" ht="16.5" thickTop="1">
      <c r="A57" s="28"/>
      <c r="B57" s="26"/>
      <c r="C57" s="28"/>
      <c r="D57" s="31"/>
      <c r="E57" s="31"/>
      <c r="F57" s="31"/>
      <c r="G57" s="31"/>
      <c r="H57" s="31"/>
      <c r="I57" s="96"/>
      <c r="J57" s="31"/>
      <c r="K57" s="96"/>
    </row>
    <row r="58" spans="1:11">
      <c r="A58" s="28" t="s">
        <v>28</v>
      </c>
      <c r="B58" s="26">
        <v>324602.49</v>
      </c>
      <c r="C58" s="28"/>
      <c r="D58" s="26">
        <f>D23+D36+D48</f>
        <v>44999.997764</v>
      </c>
      <c r="E58" s="26"/>
      <c r="F58" s="26">
        <f>F23+F36+F48</f>
        <v>42999.997764</v>
      </c>
      <c r="G58" s="26"/>
      <c r="H58" s="26">
        <f>H23+H36+H48</f>
        <v>44999.997764</v>
      </c>
      <c r="I58" s="5"/>
      <c r="J58" s="26">
        <f>J23+J36+J48</f>
        <v>79999.997764</v>
      </c>
      <c r="K58" s="5"/>
    </row>
    <row r="59" spans="1:11">
      <c r="A59" s="28"/>
      <c r="B59" s="26"/>
      <c r="C59" s="28"/>
      <c r="D59" s="26"/>
      <c r="E59" s="26"/>
      <c r="F59" s="26"/>
      <c r="G59" s="26"/>
      <c r="H59" s="26"/>
      <c r="I59" s="5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26"/>
      <c r="F60" s="65">
        <f>F11-F58</f>
        <v>2.2360000002663583E-3</v>
      </c>
      <c r="G60" s="26"/>
      <c r="H60" s="65">
        <f>H11-H58</f>
        <v>2.2360000002663583E-3</v>
      </c>
      <c r="I60" s="5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/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/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/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42</v>
      </c>
      <c r="C69" s="5"/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39"/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 t="s">
        <v>44</v>
      </c>
      <c r="C71" s="5"/>
      <c r="D71" s="14" t="s">
        <v>45</v>
      </c>
      <c r="E71" s="5"/>
      <c r="F71" s="13">
        <v>51825</v>
      </c>
      <c r="G71" s="5"/>
      <c r="H71" s="6"/>
      <c r="I71" s="5"/>
      <c r="J71" s="5"/>
      <c r="K71" s="39"/>
    </row>
    <row r="72" spans="1:11">
      <c r="A72" s="9"/>
      <c r="B72" s="40"/>
      <c r="C72" s="40"/>
      <c r="D72" s="40"/>
      <c r="E72" s="40"/>
      <c r="F72" s="40"/>
      <c r="G72" s="40"/>
      <c r="H72" s="39"/>
      <c r="I72" s="39"/>
      <c r="J72" s="39"/>
      <c r="K72" s="5"/>
    </row>
    <row r="73" spans="1:11">
      <c r="A73" s="5"/>
      <c r="B73" s="5"/>
      <c r="C73" s="5"/>
      <c r="D73" s="13"/>
      <c r="E73" s="5"/>
      <c r="F73" s="13"/>
      <c r="G73" s="5"/>
      <c r="H73" s="13"/>
      <c r="I73" s="5"/>
      <c r="J73" s="13"/>
      <c r="K73" s="5"/>
    </row>
    <row r="75" spans="1:11">
      <c r="A75" s="50" t="s">
        <v>51</v>
      </c>
      <c r="H75" s="57"/>
      <c r="I75" s="50" t="s">
        <v>52</v>
      </c>
    </row>
    <row r="77" spans="1:11">
      <c r="A77" s="56" t="s">
        <v>53</v>
      </c>
      <c r="H77" s="56" t="s">
        <v>56</v>
      </c>
    </row>
    <row r="78" spans="1:11">
      <c r="A78" s="56" t="s">
        <v>54</v>
      </c>
      <c r="H78" s="56" t="s">
        <v>70</v>
      </c>
    </row>
    <row r="79" spans="1:11">
      <c r="A79" s="56" t="s">
        <v>55</v>
      </c>
    </row>
  </sheetData>
  <mergeCells count="1">
    <mergeCell ref="E2:F2"/>
  </mergeCells>
  <pageMargins left="0.75" right="0.75" top="1" bottom="1" header="0.5" footer="0.5"/>
  <pageSetup scale="50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9"/>
  <sheetViews>
    <sheetView topLeftCell="A16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36804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36808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36803</v>
      </c>
      <c r="E4" s="46"/>
      <c r="F4" s="64">
        <v>36804</v>
      </c>
      <c r="G4" s="48"/>
      <c r="H4" s="64">
        <v>36805</v>
      </c>
      <c r="I4" s="48"/>
      <c r="J4" s="64">
        <v>36806</v>
      </c>
      <c r="K4" s="5"/>
    </row>
    <row r="5" spans="1:11">
      <c r="A5" s="5"/>
      <c r="B5" s="5"/>
      <c r="C5" s="5"/>
      <c r="D5" s="41" t="s">
        <v>48</v>
      </c>
      <c r="E5" s="41"/>
      <c r="F5" s="41" t="s">
        <v>71</v>
      </c>
      <c r="G5" s="41"/>
      <c r="H5" s="42" t="s">
        <v>72</v>
      </c>
      <c r="I5" s="41"/>
      <c r="J5" s="42" t="s">
        <v>75</v>
      </c>
      <c r="K5" s="41"/>
    </row>
    <row r="6" spans="1:11" ht="16.5" thickBot="1">
      <c r="A6" s="9"/>
      <c r="C6" s="5"/>
      <c r="D6" s="50"/>
      <c r="K6" s="41"/>
    </row>
    <row r="7" spans="1:11" s="66" customFormat="1" ht="12.75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7">
        <v>87</v>
      </c>
      <c r="E8" s="78">
        <v>59</v>
      </c>
      <c r="F8" s="76">
        <v>86</v>
      </c>
      <c r="G8" s="78">
        <v>62</v>
      </c>
      <c r="H8" s="76">
        <v>77</v>
      </c>
      <c r="I8" s="78">
        <v>64</v>
      </c>
      <c r="J8" s="76">
        <v>64</v>
      </c>
      <c r="K8" s="67">
        <v>55</v>
      </c>
    </row>
    <row r="9" spans="1:11" s="70" customFormat="1" ht="16.5" thickBot="1">
      <c r="A9" s="79" t="s">
        <v>79</v>
      </c>
      <c r="B9" s="80"/>
      <c r="C9" s="79"/>
      <c r="D9" s="81">
        <f>(D8+E8)/2-65</f>
        <v>8</v>
      </c>
      <c r="E9" s="80"/>
      <c r="F9" s="81">
        <f>(F8+G8)/2-65</f>
        <v>9</v>
      </c>
      <c r="G9" s="80"/>
      <c r="H9" s="81">
        <f>(H8+I8)/2-65</f>
        <v>5.5</v>
      </c>
      <c r="I9" s="80"/>
      <c r="J9" s="81">
        <f>(J8+K8)/2-65</f>
        <v>-5.5</v>
      </c>
      <c r="K9" s="79"/>
    </row>
    <row r="10" spans="1:11" ht="16.5" thickTop="1">
      <c r="A10" s="5"/>
      <c r="C10" s="5"/>
      <c r="D10" s="68"/>
      <c r="F10" s="68"/>
      <c r="H10" s="68"/>
      <c r="J10" s="68"/>
      <c r="K10" s="5"/>
    </row>
    <row r="11" spans="1:11">
      <c r="A11" s="5" t="s">
        <v>49</v>
      </c>
      <c r="B11" s="5"/>
      <c r="C11" s="5"/>
      <c r="D11" s="51">
        <v>45000</v>
      </c>
      <c r="E11" s="5"/>
      <c r="F11" s="13">
        <v>45000</v>
      </c>
      <c r="G11" s="13"/>
      <c r="H11" s="13">
        <v>43000</v>
      </c>
      <c r="I11" s="13"/>
      <c r="J11" s="13">
        <v>75000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5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5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20"/>
      <c r="F22" s="19">
        <f>SUM(F17:F21)</f>
        <v>32702</v>
      </c>
      <c r="G22" s="20"/>
      <c r="H22" s="19">
        <f>SUM(H17:H21)</f>
        <v>32702</v>
      </c>
      <c r="I22" s="20"/>
      <c r="J22" s="19">
        <f>SUM(J17:J21)</f>
        <v>32702</v>
      </c>
      <c r="K22" s="5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83"/>
      <c r="F23" s="82">
        <f>F22*0.973182</f>
        <v>31824.997764</v>
      </c>
      <c r="G23" s="83"/>
      <c r="H23" s="82">
        <f>H22*0.973182</f>
        <v>31824.997764</v>
      </c>
      <c r="I23" s="83"/>
      <c r="J23" s="82">
        <f>J22*0.973182</f>
        <v>31824.997764</v>
      </c>
      <c r="K23" s="13"/>
    </row>
    <row r="24" spans="1:11">
      <c r="A24" s="9" t="s">
        <v>19</v>
      </c>
      <c r="B24" s="13"/>
      <c r="C24" s="5"/>
      <c r="D24" s="13"/>
      <c r="E24" s="5"/>
      <c r="F24" s="13"/>
      <c r="G24" s="13"/>
      <c r="H24" s="13"/>
      <c r="I24" s="13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5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v>0</v>
      </c>
      <c r="E28" s="5"/>
      <c r="F28" s="13">
        <v>0</v>
      </c>
      <c r="G28" s="5"/>
      <c r="H28" s="13">
        <v>0</v>
      </c>
      <c r="I28" s="5"/>
      <c r="J28" s="13">
        <v>0</v>
      </c>
      <c r="K28" s="5"/>
    </row>
    <row r="29" spans="1:11">
      <c r="A29" s="9" t="s">
        <v>22</v>
      </c>
      <c r="B29" s="13">
        <v>57970</v>
      </c>
      <c r="C29" s="5"/>
      <c r="D29" s="13">
        <v>11198</v>
      </c>
      <c r="E29" s="16"/>
      <c r="F29" s="13">
        <v>11198</v>
      </c>
      <c r="G29" s="16"/>
      <c r="H29" s="53">
        <f>14198-5000</f>
        <v>9198</v>
      </c>
      <c r="I29" s="16"/>
      <c r="J29" s="53">
        <f>14198+27000</f>
        <v>41198</v>
      </c>
      <c r="K29" s="16"/>
    </row>
    <row r="30" spans="1:11">
      <c r="A30" s="23"/>
      <c r="B30" s="24"/>
      <c r="C30" s="5"/>
      <c r="D30" s="7"/>
      <c r="E30" s="5"/>
      <c r="F30" s="7"/>
      <c r="G30" s="13"/>
      <c r="H30" s="7"/>
      <c r="I30" s="13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11198</v>
      </c>
      <c r="E31" s="87" t="s">
        <v>5</v>
      </c>
      <c r="F31" s="86">
        <f>SUM(F28:F30)</f>
        <v>11198</v>
      </c>
      <c r="G31" s="87" t="s">
        <v>5</v>
      </c>
      <c r="H31" s="86">
        <f>SUM(H28:H30)</f>
        <v>9198</v>
      </c>
      <c r="I31" s="87" t="s">
        <v>5</v>
      </c>
      <c r="J31" s="86">
        <f>SUM(J28:J30)</f>
        <v>41198</v>
      </c>
      <c r="K31" s="55" t="s">
        <v>5</v>
      </c>
    </row>
    <row r="32" spans="1:11">
      <c r="A32" s="9" t="s">
        <v>24</v>
      </c>
      <c r="B32" s="13">
        <v>31827.5</v>
      </c>
      <c r="C32" s="5"/>
      <c r="D32" s="53">
        <v>-5076</v>
      </c>
      <c r="E32" s="5"/>
      <c r="F32" s="53">
        <v>-5076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89" t="s">
        <v>5</v>
      </c>
      <c r="F35" s="88">
        <v>-6081</v>
      </c>
      <c r="G35" s="90" t="s">
        <v>5</v>
      </c>
      <c r="H35" s="88">
        <v>-6081</v>
      </c>
      <c r="I35" s="90" t="s">
        <v>5</v>
      </c>
      <c r="J35" s="88">
        <v>-6081</v>
      </c>
      <c r="K35" s="13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2041</v>
      </c>
      <c r="E36" s="20"/>
      <c r="F36" s="19">
        <f>SUM(F31:F35)</f>
        <v>2041</v>
      </c>
      <c r="G36" s="20"/>
      <c r="H36" s="19">
        <f>SUM(H31:H35)</f>
        <v>41</v>
      </c>
      <c r="I36" s="20"/>
      <c r="J36" s="19">
        <f>SUM(J31:J35)</f>
        <v>32041</v>
      </c>
      <c r="K36" s="26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16"/>
    </row>
    <row r="42" spans="1:11">
      <c r="A42" s="5" t="s">
        <v>30</v>
      </c>
      <c r="B42" s="13">
        <v>53648</v>
      </c>
      <c r="C42" s="5"/>
      <c r="D42" s="27">
        <v>-16599</v>
      </c>
      <c r="E42" s="7"/>
      <c r="F42" s="27">
        <v>-16599</v>
      </c>
      <c r="G42" s="7"/>
      <c r="H42" s="27">
        <v>-16599</v>
      </c>
      <c r="I42" s="7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11175</v>
      </c>
      <c r="E44" s="5"/>
      <c r="F44" s="53">
        <v>11175</v>
      </c>
      <c r="G44" s="5"/>
      <c r="H44" s="53">
        <v>11175</v>
      </c>
      <c r="I44" s="5"/>
      <c r="J44" s="53">
        <v>11175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5"/>
      <c r="F46" s="5"/>
      <c r="G46" s="13"/>
      <c r="H46" s="5"/>
      <c r="I46" s="13"/>
      <c r="J46" s="5"/>
      <c r="K46" s="5"/>
    </row>
    <row r="47" spans="1:11">
      <c r="A47" s="5"/>
      <c r="B47" s="24"/>
      <c r="C47" s="13"/>
      <c r="D47" s="13"/>
      <c r="E47" s="5"/>
      <c r="F47" s="13"/>
      <c r="G47" s="13"/>
      <c r="H47" s="13"/>
      <c r="I47" s="13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11134</v>
      </c>
      <c r="E48" s="20"/>
      <c r="F48" s="19">
        <f>SUM(F43:F47)</f>
        <v>11134</v>
      </c>
      <c r="G48" s="20"/>
      <c r="H48" s="19">
        <f>SUM(H43:H47)</f>
        <v>11134</v>
      </c>
      <c r="I48" s="20"/>
      <c r="J48" s="19">
        <f>SUM(J43:J47)</f>
        <v>11134</v>
      </c>
      <c r="K48" s="28"/>
    </row>
    <row r="49" spans="1:11">
      <c r="A49" s="16" t="s">
        <v>82</v>
      </c>
      <c r="B49" s="17">
        <v>93369.99</v>
      </c>
      <c r="C49" s="17"/>
      <c r="D49" s="17">
        <f>D48*0.9975</f>
        <v>11106.165000000001</v>
      </c>
      <c r="E49" s="17"/>
      <c r="F49" s="17">
        <f>F48*0.9975</f>
        <v>11106.165000000001</v>
      </c>
      <c r="G49" s="17"/>
      <c r="H49" s="17">
        <f>H48*0.9975</f>
        <v>11106.165000000001</v>
      </c>
      <c r="I49" s="17"/>
      <c r="J49" s="17">
        <f>J48*0.9975</f>
        <v>11106.165000000001</v>
      </c>
      <c r="K49" s="5"/>
    </row>
    <row r="50" spans="1:11">
      <c r="A50" s="15" t="s">
        <v>0</v>
      </c>
      <c r="B50" s="21"/>
      <c r="C50" s="5"/>
      <c r="D50" s="29">
        <f>D49/D58</f>
        <v>0.24680367893006727</v>
      </c>
      <c r="E50" s="29"/>
      <c r="F50" s="29">
        <f>F49/F58</f>
        <v>0.24680367893006727</v>
      </c>
      <c r="G50" s="29"/>
      <c r="H50" s="29">
        <f>H49/H58</f>
        <v>0.2582829204074561</v>
      </c>
      <c r="I50" s="29"/>
      <c r="J50" s="29">
        <f>J49/J58</f>
        <v>0.14808220441482414</v>
      </c>
      <c r="K50" s="5"/>
    </row>
    <row r="51" spans="1:11">
      <c r="A51" s="10"/>
      <c r="B51" s="13"/>
      <c r="C51" s="5"/>
      <c r="D51" s="13"/>
      <c r="E51" s="5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5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5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5"/>
      <c r="F54" s="13">
        <v>0</v>
      </c>
      <c r="G54" s="13"/>
      <c r="H54" s="13">
        <v>0</v>
      </c>
      <c r="I54" s="13"/>
      <c r="J54" s="13">
        <v>0</v>
      </c>
      <c r="K54" s="5"/>
    </row>
    <row r="55" spans="1:11">
      <c r="A55" s="9"/>
      <c r="B55" s="13"/>
      <c r="C55" s="5"/>
      <c r="D55" s="13"/>
      <c r="E55" s="5"/>
      <c r="F55" s="13"/>
      <c r="G55" s="5"/>
      <c r="H55" s="13"/>
      <c r="I55" s="5"/>
      <c r="J55" s="13"/>
      <c r="K55" s="13"/>
    </row>
    <row r="56" spans="1:11" ht="16.5" thickBot="1">
      <c r="A56" s="5"/>
      <c r="B56" s="13"/>
      <c r="C56" s="5"/>
      <c r="D56" s="13"/>
      <c r="E56" s="5"/>
      <c r="F56" s="13"/>
      <c r="G56" s="13"/>
      <c r="H56" s="13"/>
      <c r="I56" s="13"/>
      <c r="J56" s="13"/>
      <c r="K56" s="13"/>
    </row>
    <row r="57" spans="1:11" ht="16.5" thickTop="1">
      <c r="A57" s="28"/>
      <c r="B57" s="26"/>
      <c r="C57" s="28"/>
      <c r="D57" s="31"/>
      <c r="E57" s="32"/>
      <c r="F57" s="31"/>
      <c r="G57" s="31"/>
      <c r="H57" s="31"/>
      <c r="I57" s="31"/>
      <c r="J57" s="31"/>
      <c r="K57" s="5"/>
    </row>
    <row r="58" spans="1:11">
      <c r="A58" s="28" t="s">
        <v>28</v>
      </c>
      <c r="B58" s="26">
        <v>324602.49</v>
      </c>
      <c r="C58" s="28"/>
      <c r="D58" s="26">
        <f>D23+D36+D48</f>
        <v>44999.997764</v>
      </c>
      <c r="E58" s="28"/>
      <c r="F58" s="26">
        <f>F23+F36+F48</f>
        <v>44999.997764</v>
      </c>
      <c r="G58" s="26"/>
      <c r="H58" s="26">
        <f>H23+H36+H48</f>
        <v>42999.997764</v>
      </c>
      <c r="I58" s="26"/>
      <c r="J58" s="26">
        <f>J23+J36+J48</f>
        <v>74999.997764</v>
      </c>
      <c r="K58" s="5"/>
    </row>
    <row r="59" spans="1:11">
      <c r="A59" s="28"/>
      <c r="B59" s="26"/>
      <c r="C59" s="28"/>
      <c r="D59" s="26"/>
      <c r="E59" s="28"/>
      <c r="F59" s="26"/>
      <c r="G59" s="26"/>
      <c r="H59" s="26"/>
      <c r="I59" s="26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28"/>
      <c r="F60" s="65">
        <f>F11-F58</f>
        <v>2.2360000002663583E-3</v>
      </c>
      <c r="G60" s="26"/>
      <c r="H60" s="65">
        <f>H11-H58</f>
        <v>2.2360000002663583E-3</v>
      </c>
      <c r="I60" s="26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/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/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/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42</v>
      </c>
      <c r="C69" s="5"/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39"/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 t="s">
        <v>44</v>
      </c>
      <c r="C71" s="5"/>
      <c r="D71" s="14" t="s">
        <v>45</v>
      </c>
      <c r="E71" s="5"/>
      <c r="F71" s="13">
        <v>51825</v>
      </c>
      <c r="G71" s="5"/>
      <c r="H71" s="6"/>
      <c r="I71" s="5"/>
      <c r="J71" s="5"/>
      <c r="K71" s="39"/>
    </row>
    <row r="72" spans="1:11">
      <c r="A72" s="9"/>
      <c r="B72" s="40"/>
      <c r="C72" s="40"/>
      <c r="D72" s="40"/>
      <c r="E72" s="40"/>
      <c r="F72" s="40"/>
      <c r="G72" s="40"/>
      <c r="H72" s="39"/>
      <c r="I72" s="39"/>
      <c r="J72" s="39"/>
      <c r="K72" s="5"/>
    </row>
    <row r="73" spans="1:11">
      <c r="A73" s="5"/>
      <c r="B73" s="5"/>
      <c r="C73" s="5"/>
      <c r="D73" s="13"/>
      <c r="E73" s="5"/>
      <c r="F73" s="13"/>
      <c r="G73" s="5"/>
      <c r="H73" s="13"/>
      <c r="I73" s="5"/>
      <c r="J73" s="13"/>
      <c r="K73" s="5"/>
    </row>
    <row r="75" spans="1:11">
      <c r="A75" s="50" t="s">
        <v>51</v>
      </c>
      <c r="H75" s="57"/>
      <c r="I75" s="50" t="s">
        <v>52</v>
      </c>
    </row>
    <row r="77" spans="1:11">
      <c r="A77" s="56" t="s">
        <v>53</v>
      </c>
      <c r="H77" s="56" t="s">
        <v>56</v>
      </c>
    </row>
    <row r="78" spans="1:11">
      <c r="A78" s="56" t="s">
        <v>54</v>
      </c>
      <c r="H78" s="56" t="s">
        <v>70</v>
      </c>
    </row>
    <row r="79" spans="1:11">
      <c r="A79" s="56" t="s">
        <v>55</v>
      </c>
    </row>
  </sheetData>
  <mergeCells count="1">
    <mergeCell ref="E2:F2"/>
  </mergeCells>
  <pageMargins left="0.75" right="0.75" top="1" bottom="1" header="0.5" footer="0.5"/>
  <pageSetup scale="50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opLeftCell="A16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36803</v>
      </c>
      <c r="B1" s="2"/>
      <c r="C1" s="42"/>
      <c r="D1" s="44" t="s">
        <v>46</v>
      </c>
      <c r="E1" s="44"/>
      <c r="F1" s="44"/>
      <c r="G1" s="43"/>
      <c r="H1" s="2"/>
      <c r="I1" s="11">
        <v>36801</v>
      </c>
      <c r="J1" s="2"/>
      <c r="K1" s="2"/>
    </row>
    <row r="2" spans="1:11">
      <c r="A2" s="4"/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36802</v>
      </c>
      <c r="E4" s="46"/>
      <c r="F4" s="47">
        <v>36803</v>
      </c>
      <c r="G4" s="46"/>
      <c r="H4" s="47">
        <v>36804</v>
      </c>
      <c r="I4" s="48"/>
      <c r="J4" s="49">
        <v>36805</v>
      </c>
      <c r="K4" s="5"/>
    </row>
    <row r="5" spans="1:11">
      <c r="A5" s="5"/>
      <c r="B5" s="5"/>
      <c r="C5" s="5"/>
      <c r="D5" s="41" t="s">
        <v>47</v>
      </c>
      <c r="E5" s="41"/>
      <c r="F5" s="41" t="s">
        <v>48</v>
      </c>
      <c r="G5" s="41"/>
      <c r="H5" s="41" t="s">
        <v>71</v>
      </c>
      <c r="I5" s="41"/>
      <c r="J5" s="42" t="s">
        <v>72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50</v>
      </c>
      <c r="C7" s="5"/>
      <c r="D7" s="50"/>
      <c r="F7" s="50"/>
      <c r="K7" s="5"/>
    </row>
    <row r="8" spans="1:11">
      <c r="A8" s="5" t="s">
        <v>49</v>
      </c>
      <c r="B8" s="5"/>
      <c r="C8" s="5"/>
      <c r="D8" s="51">
        <v>45000</v>
      </c>
      <c r="E8" s="5"/>
      <c r="F8" s="51">
        <v>45000</v>
      </c>
      <c r="G8" s="5"/>
      <c r="H8" s="13">
        <v>45000</v>
      </c>
      <c r="I8" s="13"/>
      <c r="J8" s="13">
        <v>48000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15" t="s">
        <v>11</v>
      </c>
      <c r="B13" s="6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10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8524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9">
        <f>SUM(D14:D18)</f>
        <v>32702</v>
      </c>
      <c r="E19" s="20"/>
      <c r="F19" s="19">
        <f>SUM(F14:F18)</f>
        <v>32702</v>
      </c>
      <c r="G19" s="20"/>
      <c r="H19" s="19">
        <f>SUM(H14:H18)</f>
        <v>32702</v>
      </c>
      <c r="I19" s="20"/>
      <c r="J19" s="19">
        <f>SUM(J14:J18)</f>
        <v>32702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15" t="s">
        <v>20</v>
      </c>
      <c r="B23" s="21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10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11198</v>
      </c>
      <c r="E26" s="16"/>
      <c r="F26" s="13">
        <v>11198</v>
      </c>
      <c r="G26" s="16"/>
      <c r="H26" s="13">
        <v>11198</v>
      </c>
      <c r="I26" s="16"/>
      <c r="J26" s="13">
        <v>14198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58">
        <f>SUM(D25:D27)</f>
        <v>11198</v>
      </c>
      <c r="E28" s="55" t="s">
        <v>5</v>
      </c>
      <c r="F28" s="25">
        <f>SUM(F25:F27)</f>
        <v>11198</v>
      </c>
      <c r="G28" s="55" t="s">
        <v>5</v>
      </c>
      <c r="H28" s="25">
        <f>SUM(H25:H27)</f>
        <v>11198</v>
      </c>
      <c r="I28" s="55" t="s">
        <v>5</v>
      </c>
      <c r="J28" s="25">
        <f>SUM(J25:J27)</f>
        <v>14198</v>
      </c>
      <c r="K28" s="55" t="s">
        <v>5</v>
      </c>
    </row>
    <row r="29" spans="1:11">
      <c r="A29" s="9" t="s">
        <v>24</v>
      </c>
      <c r="B29" s="13">
        <v>31827.5</v>
      </c>
      <c r="C29" s="5"/>
      <c r="D29" s="53">
        <v>-5076</v>
      </c>
      <c r="E29" s="5"/>
      <c r="F29" s="53">
        <v>-5076</v>
      </c>
      <c r="G29" s="5"/>
      <c r="H29" s="53">
        <v>-5076</v>
      </c>
      <c r="I29" s="5"/>
      <c r="J29" s="53">
        <v>-5076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9">
        <f>SUM(D28:D32)</f>
        <v>2041</v>
      </c>
      <c r="E33" s="20"/>
      <c r="F33" s="19">
        <f>SUM(F28:F32)</f>
        <v>2041</v>
      </c>
      <c r="G33" s="20"/>
      <c r="H33" s="19">
        <f>SUM(H28:H32)</f>
        <v>2041</v>
      </c>
      <c r="I33" s="20"/>
      <c r="J33" s="19">
        <f>SUM(J28:J32)</f>
        <v>5041</v>
      </c>
      <c r="K33" s="26"/>
    </row>
    <row r="34" spans="1:11">
      <c r="A34" s="5"/>
      <c r="B34" s="13"/>
      <c r="C34" s="5"/>
      <c r="D34" s="5" t="s">
        <v>68</v>
      </c>
      <c r="E34" s="5"/>
      <c r="F34" s="5"/>
      <c r="G34" s="5"/>
      <c r="H34" s="5"/>
      <c r="I34" s="5"/>
      <c r="J34" s="5"/>
      <c r="K34" s="13"/>
    </row>
    <row r="35" spans="1:11">
      <c r="A35" s="15" t="s">
        <v>1</v>
      </c>
      <c r="B35" s="21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10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53648</v>
      </c>
      <c r="C39" s="5"/>
      <c r="D39" s="54">
        <v>-16599</v>
      </c>
      <c r="E39" s="1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1"/>
      <c r="C40" s="1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9">
        <f>SUM(D40:D44)</f>
        <v>11134</v>
      </c>
      <c r="E45" s="20"/>
      <c r="F45" s="19">
        <f>SUM(F40:F44)</f>
        <v>11134</v>
      </c>
      <c r="G45" s="20"/>
      <c r="H45" s="19">
        <f>SUM(H40:H44)</f>
        <v>11134</v>
      </c>
      <c r="I45" s="20"/>
      <c r="J45" s="19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f>D45*0.9975</f>
        <v>11106.165000000001</v>
      </c>
      <c r="E46" s="17"/>
      <c r="F46" s="17">
        <f>F45*0.9975</f>
        <v>11106.165000000001</v>
      </c>
      <c r="G46" s="17"/>
      <c r="H46" s="17">
        <f>H45*0.9975</f>
        <v>11106.165000000001</v>
      </c>
      <c r="I46" s="17"/>
      <c r="J46" s="17">
        <f>J45*0.9975</f>
        <v>11106.165000000001</v>
      </c>
      <c r="K46" s="5"/>
    </row>
    <row r="47" spans="1:11">
      <c r="A47" s="15" t="s">
        <v>0</v>
      </c>
      <c r="B47" s="21"/>
      <c r="C47" s="5"/>
      <c r="D47" s="29">
        <f>D46/D55</f>
        <v>0.2468036666666667</v>
      </c>
      <c r="E47" s="30"/>
      <c r="F47" s="29">
        <f>F46/F55</f>
        <v>0.2468036666666667</v>
      </c>
      <c r="G47" s="29"/>
      <c r="H47" s="29">
        <f>H46/H55</f>
        <v>0.2468036666666667</v>
      </c>
      <c r="I47" s="29"/>
      <c r="J47" s="29">
        <f>J46/J55</f>
        <v>0.23137843750000001</v>
      </c>
      <c r="K47" s="5"/>
    </row>
    <row r="48" spans="1:11">
      <c r="A48" s="10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 ht="16.5" thickBot="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 ht="16.5" thickTop="1">
      <c r="A54" s="28"/>
      <c r="B54" s="26"/>
      <c r="C54" s="28"/>
      <c r="D54" s="31"/>
      <c r="E54" s="32"/>
      <c r="F54" s="31"/>
      <c r="G54" s="32"/>
      <c r="H54" s="31"/>
      <c r="I54" s="31"/>
      <c r="J54" s="31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45000</v>
      </c>
      <c r="E55" s="28"/>
      <c r="F55" s="26">
        <f>F20+F33+F45</f>
        <v>45000</v>
      </c>
      <c r="G55" s="28"/>
      <c r="H55" s="26">
        <f>H20+H33+H45</f>
        <v>45000</v>
      </c>
      <c r="I55" s="26"/>
      <c r="J55" s="26">
        <f>J20+J33+J45</f>
        <v>48000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33" t="s">
        <v>39</v>
      </c>
      <c r="C57" s="10"/>
      <c r="D57" s="34"/>
      <c r="E57" s="10"/>
      <c r="F57" s="10"/>
      <c r="G57" s="10"/>
      <c r="H57" s="6"/>
      <c r="I57" s="5"/>
      <c r="J57" s="5"/>
      <c r="K57" s="5"/>
    </row>
    <row r="58" spans="1:11">
      <c r="A58" s="5"/>
      <c r="B58" s="6"/>
      <c r="C58" s="5"/>
      <c r="D58" s="5"/>
      <c r="E58" s="5"/>
      <c r="F58" s="5"/>
      <c r="G58" s="5"/>
      <c r="H58" s="6"/>
      <c r="I58" s="5"/>
      <c r="J58" s="5"/>
      <c r="K58" s="5"/>
    </row>
    <row r="59" spans="1:11">
      <c r="A59" s="5"/>
      <c r="B59" s="6"/>
      <c r="C59" s="5"/>
      <c r="D59" s="35" t="s">
        <v>40</v>
      </c>
      <c r="E59" s="22"/>
      <c r="F59" s="35" t="s">
        <v>41</v>
      </c>
      <c r="G59" s="5"/>
      <c r="H59" s="36"/>
      <c r="I59" s="5"/>
      <c r="J59" s="5"/>
      <c r="K59" s="5"/>
    </row>
    <row r="60" spans="1:11">
      <c r="A60" s="5"/>
      <c r="B60" s="6"/>
      <c r="C60" s="5"/>
      <c r="D60" s="34"/>
      <c r="E60" s="10"/>
      <c r="F60" s="10"/>
      <c r="G60" s="5"/>
      <c r="H60" s="6"/>
      <c r="I60" s="5"/>
      <c r="J60" s="5"/>
      <c r="K60" s="5"/>
    </row>
    <row r="61" spans="1:11">
      <c r="A61" s="5"/>
      <c r="B61" s="37" t="s">
        <v>3</v>
      </c>
      <c r="C61" s="5"/>
      <c r="D61" s="13">
        <v>9837</v>
      </c>
      <c r="E61" s="13"/>
      <c r="F61" s="13">
        <v>63655</v>
      </c>
      <c r="G61" s="13"/>
      <c r="H61" s="21"/>
      <c r="I61" s="5"/>
      <c r="J61" s="5"/>
      <c r="K61" s="5"/>
    </row>
    <row r="62" spans="1:11">
      <c r="A62" s="5"/>
      <c r="B62" s="37" t="s">
        <v>2</v>
      </c>
      <c r="C62" s="5"/>
      <c r="D62" s="13">
        <v>484</v>
      </c>
      <c r="E62" s="13"/>
      <c r="F62" s="13">
        <v>2070</v>
      </c>
      <c r="G62" s="13"/>
      <c r="H62" s="21"/>
      <c r="I62" s="5"/>
      <c r="J62" s="5"/>
      <c r="K62" s="5"/>
    </row>
    <row r="63" spans="1:11">
      <c r="A63" s="5"/>
      <c r="B63" s="38" t="s">
        <v>4</v>
      </c>
      <c r="C63" s="22"/>
      <c r="D63" s="13">
        <v>3386</v>
      </c>
      <c r="E63" s="5"/>
      <c r="F63" s="13">
        <v>8524</v>
      </c>
      <c r="G63" s="13"/>
      <c r="H63" s="21"/>
      <c r="I63" s="5"/>
      <c r="J63" s="5"/>
      <c r="K63" s="5"/>
    </row>
    <row r="64" spans="1:11">
      <c r="A64" s="5"/>
      <c r="B64" s="37" t="s">
        <v>42</v>
      </c>
      <c r="C64" s="5"/>
      <c r="D64" s="13">
        <v>16599</v>
      </c>
      <c r="E64" s="5"/>
      <c r="F64" s="13">
        <v>53648</v>
      </c>
      <c r="G64" s="13"/>
      <c r="H64" s="21"/>
      <c r="I64" s="5"/>
      <c r="J64" s="5"/>
      <c r="K64" s="5"/>
    </row>
    <row r="65" spans="1:11">
      <c r="A65" s="5"/>
      <c r="B65" s="38" t="s">
        <v>43</v>
      </c>
      <c r="C65" s="39"/>
      <c r="D65" s="13">
        <v>3244</v>
      </c>
      <c r="E65" s="5"/>
      <c r="F65" s="13">
        <v>52090</v>
      </c>
      <c r="G65" s="5"/>
      <c r="H65" s="6"/>
      <c r="I65" s="5"/>
      <c r="J65" s="5"/>
      <c r="K65" s="5"/>
    </row>
    <row r="66" spans="1:11">
      <c r="A66" s="5"/>
      <c r="B66" s="38" t="s">
        <v>44</v>
      </c>
      <c r="C66" s="5"/>
      <c r="D66" s="14" t="s">
        <v>45</v>
      </c>
      <c r="E66" s="5"/>
      <c r="F66" s="13">
        <v>51825</v>
      </c>
      <c r="G66" s="5"/>
      <c r="H66" s="6"/>
      <c r="I66" s="5"/>
      <c r="J66" s="5"/>
      <c r="K66" s="39"/>
    </row>
    <row r="67" spans="1:11">
      <c r="A67" s="9"/>
      <c r="B67" s="40"/>
      <c r="C67" s="40"/>
      <c r="D67" s="40"/>
      <c r="E67" s="40"/>
      <c r="F67" s="40"/>
      <c r="G67" s="40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51</v>
      </c>
      <c r="H70" s="57"/>
      <c r="I70" s="50" t="s">
        <v>52</v>
      </c>
    </row>
    <row r="72" spans="1:11">
      <c r="A72" s="56" t="s">
        <v>53</v>
      </c>
      <c r="H72" s="56" t="s">
        <v>56</v>
      </c>
    </row>
    <row r="73" spans="1:11">
      <c r="A73" s="56" t="s">
        <v>54</v>
      </c>
      <c r="H73" s="56" t="s">
        <v>70</v>
      </c>
    </row>
    <row r="74" spans="1:11">
      <c r="A74" s="56" t="s">
        <v>55</v>
      </c>
    </row>
  </sheetData>
  <mergeCells count="1">
    <mergeCell ref="E2:F2"/>
  </mergeCells>
  <pageMargins left="0.75" right="0.75" top="1" bottom="1" header="0.5" footer="0.5"/>
  <pageSetup scale="5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opLeftCell="A16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36802</v>
      </c>
      <c r="B1" s="2"/>
      <c r="C1" s="42"/>
      <c r="D1" s="44" t="s">
        <v>46</v>
      </c>
      <c r="E1" s="44"/>
      <c r="F1" s="44"/>
      <c r="G1" s="43"/>
      <c r="H1" s="2"/>
      <c r="I1" s="11">
        <v>36801</v>
      </c>
      <c r="J1" s="2"/>
      <c r="K1" s="2"/>
    </row>
    <row r="2" spans="1:11">
      <c r="A2" s="4"/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36801</v>
      </c>
      <c r="E4" s="48"/>
      <c r="F4" s="47">
        <v>36802</v>
      </c>
      <c r="G4" s="48"/>
      <c r="H4" s="47">
        <v>36803</v>
      </c>
      <c r="I4" s="48"/>
      <c r="J4" s="49">
        <v>36804</v>
      </c>
      <c r="K4" s="5"/>
    </row>
    <row r="5" spans="1:11">
      <c r="A5" s="5"/>
      <c r="B5" s="5"/>
      <c r="C5" s="5"/>
      <c r="D5" s="42" t="s">
        <v>74</v>
      </c>
      <c r="E5" s="41"/>
      <c r="F5" s="41" t="s">
        <v>47</v>
      </c>
      <c r="G5" s="41"/>
      <c r="H5" s="41" t="s">
        <v>48</v>
      </c>
      <c r="I5" s="41"/>
      <c r="J5" s="41" t="s">
        <v>71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50</v>
      </c>
      <c r="C7" s="5"/>
      <c r="D7" s="50"/>
      <c r="F7" s="50"/>
      <c r="K7" s="5"/>
    </row>
    <row r="8" spans="1:11">
      <c r="A8" s="5" t="s">
        <v>49</v>
      </c>
      <c r="B8" s="5"/>
      <c r="C8" s="5"/>
      <c r="D8" s="51">
        <v>45000</v>
      </c>
      <c r="E8" s="5"/>
      <c r="F8" s="51">
        <v>45000</v>
      </c>
      <c r="G8" s="5"/>
      <c r="H8" s="13">
        <v>45000</v>
      </c>
      <c r="I8" s="13"/>
      <c r="J8" s="13">
        <v>45000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4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8524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7">
        <f>SUM(D14:D18)</f>
        <v>32702</v>
      </c>
      <c r="E19" s="18"/>
      <c r="F19" s="17">
        <f>SUM(F14:F18)</f>
        <v>32702</v>
      </c>
      <c r="G19" s="18"/>
      <c r="H19" s="17">
        <f>SUM(H14:H18)</f>
        <v>32702</v>
      </c>
      <c r="I19" s="18"/>
      <c r="J19" s="17">
        <f>SUM(J14:J18)</f>
        <v>32702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4" t="s">
        <v>20</v>
      </c>
      <c r="B23" s="13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5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16198</v>
      </c>
      <c r="E26" s="16"/>
      <c r="F26" s="13">
        <v>11198</v>
      </c>
      <c r="G26" s="16"/>
      <c r="H26" s="13">
        <v>11198</v>
      </c>
      <c r="I26" s="16"/>
      <c r="J26" s="13">
        <v>11198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59">
        <f>SUM(D25:D27)</f>
        <v>16198</v>
      </c>
      <c r="E28" s="60" t="s">
        <v>5</v>
      </c>
      <c r="F28" s="13">
        <f>SUM(F25:F27)</f>
        <v>11198</v>
      </c>
      <c r="G28" s="60" t="s">
        <v>5</v>
      </c>
      <c r="H28" s="13">
        <f>SUM(H25:H27)</f>
        <v>11198</v>
      </c>
      <c r="I28" s="60" t="s">
        <v>5</v>
      </c>
      <c r="J28" s="13">
        <f>SUM(J25:J27)</f>
        <v>11198</v>
      </c>
      <c r="K28" s="60" t="s">
        <v>5</v>
      </c>
    </row>
    <row r="29" spans="1:11">
      <c r="A29" s="9" t="s">
        <v>24</v>
      </c>
      <c r="B29" s="13">
        <v>31827.5</v>
      </c>
      <c r="C29" s="5"/>
      <c r="D29" s="53">
        <v>-9837</v>
      </c>
      <c r="E29" s="5"/>
      <c r="F29" s="53">
        <v>-5076</v>
      </c>
      <c r="G29" s="5"/>
      <c r="H29" s="53">
        <v>-5076</v>
      </c>
      <c r="I29" s="5"/>
      <c r="J29" s="53">
        <v>-5076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7">
        <f>SUM(D28:D32)</f>
        <v>2280</v>
      </c>
      <c r="E33" s="18"/>
      <c r="F33" s="17">
        <f>SUM(F28:F32)</f>
        <v>2041</v>
      </c>
      <c r="G33" s="18"/>
      <c r="H33" s="17">
        <f>SUM(H28:H32)</f>
        <v>2041</v>
      </c>
      <c r="I33" s="18"/>
      <c r="J33" s="17">
        <f>SUM(J28:J32)</f>
        <v>2041</v>
      </c>
      <c r="K33" s="26"/>
    </row>
    <row r="34" spans="1:11">
      <c r="A34" s="5"/>
      <c r="B34" s="13"/>
      <c r="C34" s="5"/>
      <c r="D34" s="5" t="s">
        <v>68</v>
      </c>
      <c r="E34" s="5"/>
      <c r="F34" s="5"/>
      <c r="G34" s="5"/>
      <c r="H34" s="5"/>
      <c r="I34" s="5"/>
      <c r="J34" s="5"/>
      <c r="K34" s="13"/>
    </row>
    <row r="35" spans="1:11">
      <c r="A35" s="4" t="s">
        <v>1</v>
      </c>
      <c r="B35" s="13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53648</v>
      </c>
      <c r="C39" s="5"/>
      <c r="D39" s="54">
        <v>-16599</v>
      </c>
      <c r="E39" s="5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5"/>
      <c r="C40" s="5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7">
        <f>SUM(D40:D44)</f>
        <v>11134</v>
      </c>
      <c r="E45" s="18"/>
      <c r="F45" s="17">
        <f>SUM(F40:F44)</f>
        <v>11134</v>
      </c>
      <c r="G45" s="18"/>
      <c r="H45" s="17">
        <f>SUM(H40:H44)</f>
        <v>11134</v>
      </c>
      <c r="I45" s="18"/>
      <c r="J45" s="17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f>D45*0.9975</f>
        <v>11106.165000000001</v>
      </c>
      <c r="E46" s="17"/>
      <c r="F46" s="17">
        <f>F45*0.9975</f>
        <v>11106.165000000001</v>
      </c>
      <c r="G46" s="17"/>
      <c r="H46" s="17">
        <f>H45*0.9975</f>
        <v>11106.165000000001</v>
      </c>
      <c r="I46" s="17"/>
      <c r="J46" s="17">
        <f>J45*0.9975</f>
        <v>11106.165000000001</v>
      </c>
      <c r="K46" s="5"/>
    </row>
    <row r="47" spans="1:11">
      <c r="A47" s="4" t="s">
        <v>0</v>
      </c>
      <c r="B47" s="13"/>
      <c r="C47" s="5"/>
      <c r="D47" s="61">
        <f>D46/D55</f>
        <v>0.24549979000419994</v>
      </c>
      <c r="E47" s="62"/>
      <c r="F47" s="61">
        <f>F46/F55</f>
        <v>0.2468036666666667</v>
      </c>
      <c r="G47" s="61"/>
      <c r="H47" s="61">
        <f>H46/H55</f>
        <v>0.2468036666666667</v>
      </c>
      <c r="I47" s="61"/>
      <c r="J47" s="61">
        <f>J46/J55</f>
        <v>0.2468036666666667</v>
      </c>
      <c r="K47" s="5"/>
    </row>
    <row r="48" spans="1:11">
      <c r="A48" s="5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>
      <c r="A54" s="28"/>
      <c r="B54" s="26"/>
      <c r="C54" s="28"/>
      <c r="D54" s="26"/>
      <c r="E54" s="28"/>
      <c r="F54" s="26"/>
      <c r="G54" s="28"/>
      <c r="H54" s="26"/>
      <c r="I54" s="26"/>
      <c r="J54" s="26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45239</v>
      </c>
      <c r="E55" s="28"/>
      <c r="F55" s="26">
        <f>F20+F33+F45</f>
        <v>45000</v>
      </c>
      <c r="G55" s="28"/>
      <c r="H55" s="26">
        <f>H20+H33+H45</f>
        <v>45000</v>
      </c>
      <c r="I55" s="26"/>
      <c r="J55" s="26">
        <f>J20+J33+J45</f>
        <v>45000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9" t="s">
        <v>39</v>
      </c>
      <c r="C57" s="5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5"/>
      <c r="C59" s="5"/>
      <c r="D59" s="35" t="s">
        <v>40</v>
      </c>
      <c r="E59" s="22"/>
      <c r="F59" s="35" t="s">
        <v>41</v>
      </c>
      <c r="G59" s="5"/>
      <c r="H59" s="9"/>
      <c r="I59" s="5"/>
      <c r="J59" s="5"/>
      <c r="K59" s="5"/>
    </row>
    <row r="60" spans="1:11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3" t="s">
        <v>3</v>
      </c>
      <c r="C61" s="5"/>
      <c r="D61" s="13">
        <v>9837</v>
      </c>
      <c r="E61" s="13"/>
      <c r="F61" s="13">
        <v>63655</v>
      </c>
      <c r="G61" s="13"/>
      <c r="H61" s="13"/>
      <c r="I61" s="5"/>
      <c r="J61" s="5"/>
      <c r="K61" s="5"/>
    </row>
    <row r="62" spans="1:11">
      <c r="A62" s="5"/>
      <c r="B62" s="3" t="s">
        <v>2</v>
      </c>
      <c r="C62" s="5"/>
      <c r="D62" s="13">
        <v>484</v>
      </c>
      <c r="E62" s="13"/>
      <c r="F62" s="13">
        <v>2070</v>
      </c>
      <c r="G62" s="13"/>
      <c r="H62" s="13"/>
      <c r="I62" s="5"/>
      <c r="J62" s="5"/>
      <c r="K62" s="5"/>
    </row>
    <row r="63" spans="1:11">
      <c r="A63" s="5"/>
      <c r="B63" s="14" t="s">
        <v>4</v>
      </c>
      <c r="C63" s="22"/>
      <c r="D63" s="13">
        <v>3386</v>
      </c>
      <c r="E63" s="5"/>
      <c r="F63" s="13">
        <v>8524</v>
      </c>
      <c r="G63" s="13"/>
      <c r="H63" s="13"/>
      <c r="I63" s="5"/>
      <c r="J63" s="5"/>
      <c r="K63" s="5"/>
    </row>
    <row r="64" spans="1:11">
      <c r="A64" s="5"/>
      <c r="B64" s="3" t="s">
        <v>42</v>
      </c>
      <c r="C64" s="5"/>
      <c r="D64" s="13">
        <v>16599</v>
      </c>
      <c r="E64" s="5"/>
      <c r="F64" s="13">
        <v>53648</v>
      </c>
      <c r="G64" s="13"/>
      <c r="H64" s="13"/>
      <c r="I64" s="5"/>
      <c r="J64" s="5"/>
      <c r="K64" s="5"/>
    </row>
    <row r="65" spans="1:11">
      <c r="A65" s="5"/>
      <c r="B65" s="14" t="s">
        <v>43</v>
      </c>
      <c r="C65" s="39"/>
      <c r="D65" s="13">
        <v>3244</v>
      </c>
      <c r="E65" s="5"/>
      <c r="F65" s="13">
        <v>52090</v>
      </c>
      <c r="G65" s="5"/>
      <c r="H65" s="5"/>
      <c r="I65" s="5"/>
      <c r="J65" s="5"/>
      <c r="K65" s="5"/>
    </row>
    <row r="66" spans="1:11">
      <c r="A66" s="5"/>
      <c r="B66" s="14" t="s">
        <v>44</v>
      </c>
      <c r="C66" s="5"/>
      <c r="D66" s="14" t="s">
        <v>45</v>
      </c>
      <c r="E66" s="5"/>
      <c r="F66" s="13">
        <v>51825</v>
      </c>
      <c r="G66" s="5"/>
      <c r="H66" s="5"/>
      <c r="I66" s="5"/>
      <c r="J66" s="5"/>
      <c r="K66" s="39"/>
    </row>
    <row r="67" spans="1:11">
      <c r="A67" s="9"/>
      <c r="B67" s="39"/>
      <c r="C67" s="39"/>
      <c r="D67" s="39"/>
      <c r="E67" s="39"/>
      <c r="F67" s="39"/>
      <c r="G67" s="39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51</v>
      </c>
      <c r="H70" s="57"/>
      <c r="I70" s="50" t="s">
        <v>52</v>
      </c>
    </row>
    <row r="72" spans="1:11">
      <c r="A72" s="56" t="s">
        <v>53</v>
      </c>
      <c r="H72" s="56" t="s">
        <v>56</v>
      </c>
    </row>
    <row r="73" spans="1:11">
      <c r="A73" s="56" t="s">
        <v>54</v>
      </c>
      <c r="H73" s="56" t="s">
        <v>70</v>
      </c>
    </row>
    <row r="74" spans="1:11">
      <c r="A74" s="56" t="s">
        <v>55</v>
      </c>
    </row>
  </sheetData>
  <mergeCells count="1">
    <mergeCell ref="E2:F2"/>
  </mergeCells>
  <pageMargins left="0.75" right="0.75" top="1" bottom="1" header="0.5" footer="0.5"/>
  <pageSetup scale="53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opLeftCell="A16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36800</v>
      </c>
      <c r="B1" s="2"/>
      <c r="C1" s="42"/>
      <c r="D1" s="44" t="s">
        <v>46</v>
      </c>
      <c r="E1" s="44"/>
      <c r="F1" s="44"/>
      <c r="G1" s="43"/>
      <c r="H1" s="2"/>
      <c r="I1" s="11">
        <v>36797.369089120373</v>
      </c>
      <c r="J1" s="2"/>
      <c r="K1" s="2"/>
    </row>
    <row r="2" spans="1:11">
      <c r="A2" s="4"/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36800</v>
      </c>
      <c r="E4" s="48"/>
      <c r="F4" s="47">
        <v>36801</v>
      </c>
      <c r="G4" s="48"/>
      <c r="H4" s="47">
        <v>36802</v>
      </c>
      <c r="I4" s="48"/>
      <c r="J4" s="49">
        <v>36803</v>
      </c>
      <c r="K4" s="5"/>
    </row>
    <row r="5" spans="1:11">
      <c r="A5" s="5"/>
      <c r="B5" s="5"/>
      <c r="C5" s="5"/>
      <c r="D5" s="42" t="s">
        <v>73</v>
      </c>
      <c r="E5" s="41"/>
      <c r="F5" s="42" t="s">
        <v>74</v>
      </c>
      <c r="G5" s="41"/>
      <c r="H5" s="41" t="s">
        <v>47</v>
      </c>
      <c r="I5" s="41"/>
      <c r="J5" s="41" t="s">
        <v>48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50</v>
      </c>
      <c r="C7" s="5"/>
      <c r="D7" s="50"/>
      <c r="F7" s="50"/>
      <c r="K7" s="5"/>
    </row>
    <row r="8" spans="1:11">
      <c r="A8" s="5" t="s">
        <v>49</v>
      </c>
      <c r="B8" s="5"/>
      <c r="C8" s="5"/>
      <c r="D8" s="51">
        <v>45000</v>
      </c>
      <c r="E8" s="5"/>
      <c r="F8" s="51">
        <v>50000</v>
      </c>
      <c r="G8" s="5"/>
      <c r="H8" s="13">
        <v>50000</v>
      </c>
      <c r="I8" s="13"/>
      <c r="J8" s="13">
        <v>50000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4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5600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7">
        <v>32146</v>
      </c>
      <c r="E19" s="18"/>
      <c r="F19" s="17">
        <v>32146</v>
      </c>
      <c r="G19" s="18"/>
      <c r="H19" s="17">
        <v>32146</v>
      </c>
      <c r="I19" s="18"/>
      <c r="J19" s="17">
        <v>32146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4" t="s">
        <v>20</v>
      </c>
      <c r="B23" s="13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5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10698</v>
      </c>
      <c r="E26" s="16"/>
      <c r="F26" s="13">
        <v>15698</v>
      </c>
      <c r="G26" s="16"/>
      <c r="H26" s="13">
        <v>15698</v>
      </c>
      <c r="I26" s="16"/>
      <c r="J26" s="13">
        <v>15698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59">
        <f>SUM(D25:D27)</f>
        <v>10698</v>
      </c>
      <c r="E28" s="60" t="s">
        <v>5</v>
      </c>
      <c r="F28" s="13">
        <f>SUM(F25:F27)</f>
        <v>15698</v>
      </c>
      <c r="G28" s="60" t="s">
        <v>5</v>
      </c>
      <c r="H28" s="13">
        <f>SUM(H25:H27)</f>
        <v>15698</v>
      </c>
      <c r="I28" s="60" t="s">
        <v>5</v>
      </c>
      <c r="J28" s="13">
        <f>SUM(J25:J27)</f>
        <v>15698</v>
      </c>
      <c r="K28" s="60" t="s">
        <v>5</v>
      </c>
    </row>
    <row r="29" spans="1:11">
      <c r="A29" s="9" t="s">
        <v>24</v>
      </c>
      <c r="B29" s="13">
        <v>31827.5</v>
      </c>
      <c r="C29" s="5"/>
      <c r="D29" s="53">
        <v>-4576</v>
      </c>
      <c r="E29" s="5"/>
      <c r="F29" s="53">
        <v>-4576</v>
      </c>
      <c r="G29" s="5"/>
      <c r="H29" s="53">
        <v>-4576</v>
      </c>
      <c r="I29" s="5"/>
      <c r="J29" s="53">
        <v>-4576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7">
        <f>SUM(D28:D32)</f>
        <v>2041</v>
      </c>
      <c r="E33" s="18"/>
      <c r="F33" s="17">
        <f>SUM(F28:F32)</f>
        <v>7041</v>
      </c>
      <c r="G33" s="18"/>
      <c r="H33" s="17">
        <f>SUM(H28:H32)</f>
        <v>7041</v>
      </c>
      <c r="I33" s="18"/>
      <c r="J33" s="17">
        <f>SUM(J28:J32)</f>
        <v>7041</v>
      </c>
      <c r="K33" s="26"/>
    </row>
    <row r="34" spans="1:11">
      <c r="A34" s="5"/>
      <c r="B34" s="13"/>
      <c r="C34" s="5"/>
      <c r="D34" s="5" t="s">
        <v>68</v>
      </c>
      <c r="E34" s="5"/>
      <c r="F34" s="5"/>
      <c r="G34" s="5"/>
      <c r="H34" s="5"/>
      <c r="I34" s="5"/>
      <c r="J34" s="5"/>
      <c r="K34" s="13"/>
    </row>
    <row r="35" spans="1:11">
      <c r="A35" s="4" t="s">
        <v>1</v>
      </c>
      <c r="B35" s="13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37554</v>
      </c>
      <c r="C39" s="5"/>
      <c r="D39" s="54">
        <f>-16599</f>
        <v>-16599</v>
      </c>
      <c r="E39" s="5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5"/>
      <c r="C40" s="5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7">
        <f>SUM(D40:D44)</f>
        <v>11134</v>
      </c>
      <c r="E45" s="18"/>
      <c r="F45" s="17">
        <f>SUM(F40:F44)</f>
        <v>11134</v>
      </c>
      <c r="G45" s="18"/>
      <c r="H45" s="17">
        <f>SUM(H40:H44)</f>
        <v>11134</v>
      </c>
      <c r="I45" s="18"/>
      <c r="J45" s="17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f>D45*0.9975</f>
        <v>11106.165000000001</v>
      </c>
      <c r="E46" s="17"/>
      <c r="F46" s="17">
        <f>F45*0.9975</f>
        <v>11106.165000000001</v>
      </c>
      <c r="G46" s="17"/>
      <c r="H46" s="17">
        <f>H45*0.9975</f>
        <v>11106.165000000001</v>
      </c>
      <c r="I46" s="17"/>
      <c r="J46" s="17">
        <f>J45*0.9975</f>
        <v>11106.165000000001</v>
      </c>
      <c r="K46" s="5"/>
    </row>
    <row r="47" spans="1:11">
      <c r="A47" s="4" t="s">
        <v>0</v>
      </c>
      <c r="B47" s="13"/>
      <c r="C47" s="5"/>
      <c r="D47" s="61">
        <f>D46/D55</f>
        <v>0.2468036666666667</v>
      </c>
      <c r="E47" s="62"/>
      <c r="F47" s="61">
        <f>F46/F55</f>
        <v>0.22212330000000002</v>
      </c>
      <c r="G47" s="61"/>
      <c r="H47" s="61">
        <f>H46/H55</f>
        <v>0.22212330000000002</v>
      </c>
      <c r="I47" s="61"/>
      <c r="J47" s="61">
        <f>J46/J55</f>
        <v>0.22212330000000002</v>
      </c>
      <c r="K47" s="5"/>
    </row>
    <row r="48" spans="1:11">
      <c r="A48" s="5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>
      <c r="A54" s="28"/>
      <c r="B54" s="26"/>
      <c r="C54" s="28"/>
      <c r="D54" s="26"/>
      <c r="E54" s="28"/>
      <c r="F54" s="26"/>
      <c r="G54" s="28"/>
      <c r="H54" s="26"/>
      <c r="I54" s="26"/>
      <c r="J54" s="26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45000</v>
      </c>
      <c r="E55" s="28"/>
      <c r="F55" s="26">
        <f>F20+F33+F45</f>
        <v>50000</v>
      </c>
      <c r="G55" s="28"/>
      <c r="H55" s="26">
        <f>H20+H33+H45</f>
        <v>50000</v>
      </c>
      <c r="I55" s="26"/>
      <c r="J55" s="26">
        <f>J20+J33+J45</f>
        <v>50000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9" t="s">
        <v>39</v>
      </c>
      <c r="C57" s="5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5"/>
      <c r="C59" s="5"/>
      <c r="D59" s="35" t="s">
        <v>40</v>
      </c>
      <c r="E59" s="22"/>
      <c r="F59" s="35" t="s">
        <v>41</v>
      </c>
      <c r="G59" s="5"/>
      <c r="H59" s="9"/>
      <c r="I59" s="5"/>
      <c r="J59" s="5"/>
      <c r="K59" s="5"/>
    </row>
    <row r="60" spans="1:11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3" t="s">
        <v>3</v>
      </c>
      <c r="C61" s="5"/>
      <c r="D61" s="13">
        <v>9837</v>
      </c>
      <c r="E61" s="13"/>
      <c r="F61" s="13">
        <v>31827.5</v>
      </c>
      <c r="G61" s="13"/>
      <c r="H61" s="13"/>
      <c r="I61" s="5"/>
      <c r="J61" s="5"/>
      <c r="K61" s="5"/>
    </row>
    <row r="62" spans="1:11">
      <c r="A62" s="5"/>
      <c r="B62" s="3" t="s">
        <v>2</v>
      </c>
      <c r="C62" s="5"/>
      <c r="D62" s="13">
        <v>484</v>
      </c>
      <c r="E62" s="13"/>
      <c r="F62" s="13">
        <v>2049</v>
      </c>
      <c r="G62" s="13"/>
      <c r="H62" s="13"/>
      <c r="I62" s="5"/>
      <c r="J62" s="5"/>
      <c r="K62" s="5"/>
    </row>
    <row r="63" spans="1:11">
      <c r="A63" s="5"/>
      <c r="B63" s="14" t="s">
        <v>4</v>
      </c>
      <c r="C63" s="22"/>
      <c r="D63" s="13">
        <v>3386</v>
      </c>
      <c r="E63" s="5"/>
      <c r="F63" s="13">
        <v>5600</v>
      </c>
      <c r="G63" s="13"/>
      <c r="H63" s="13"/>
      <c r="I63" s="5"/>
      <c r="J63" s="5"/>
      <c r="K63" s="5"/>
    </row>
    <row r="64" spans="1:11">
      <c r="A64" s="5"/>
      <c r="B64" s="3" t="s">
        <v>42</v>
      </c>
      <c r="C64" s="5"/>
      <c r="D64" s="13">
        <v>16599</v>
      </c>
      <c r="E64" s="5"/>
      <c r="F64" s="13">
        <v>37554</v>
      </c>
      <c r="G64" s="13"/>
      <c r="H64" s="13"/>
      <c r="I64" s="5"/>
      <c r="J64" s="5"/>
      <c r="K64" s="5"/>
    </row>
    <row r="65" spans="1:11">
      <c r="A65" s="5"/>
      <c r="B65" s="14" t="s">
        <v>43</v>
      </c>
      <c r="C65" s="39"/>
      <c r="D65" s="13">
        <v>3244</v>
      </c>
      <c r="E65" s="5"/>
      <c r="F65" s="13">
        <v>52090</v>
      </c>
      <c r="G65" s="5"/>
      <c r="H65" s="5"/>
      <c r="I65" s="5"/>
      <c r="J65" s="5"/>
      <c r="K65" s="5"/>
    </row>
    <row r="66" spans="1:11">
      <c r="A66" s="5"/>
      <c r="B66" s="14" t="s">
        <v>44</v>
      </c>
      <c r="C66" s="5"/>
      <c r="D66" s="14" t="s">
        <v>45</v>
      </c>
      <c r="E66" s="5"/>
      <c r="F66" s="13">
        <v>51825</v>
      </c>
      <c r="G66" s="5"/>
      <c r="H66" s="5"/>
      <c r="I66" s="5"/>
      <c r="J66" s="5"/>
      <c r="K66" s="39"/>
    </row>
    <row r="67" spans="1:11">
      <c r="A67" s="9"/>
      <c r="B67" s="39"/>
      <c r="C67" s="39"/>
      <c r="D67" s="39"/>
      <c r="E67" s="39"/>
      <c r="F67" s="39"/>
      <c r="G67" s="39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51</v>
      </c>
      <c r="H70" s="57"/>
      <c r="I70" s="50" t="s">
        <v>52</v>
      </c>
    </row>
    <row r="72" spans="1:11">
      <c r="A72" s="56" t="s">
        <v>53</v>
      </c>
      <c r="H72" s="56" t="s">
        <v>56</v>
      </c>
    </row>
    <row r="73" spans="1:11">
      <c r="A73" s="56" t="s">
        <v>54</v>
      </c>
      <c r="H73" s="56" t="s">
        <v>70</v>
      </c>
    </row>
    <row r="74" spans="1:11">
      <c r="A74" s="56" t="s">
        <v>55</v>
      </c>
    </row>
  </sheetData>
  <mergeCells count="1">
    <mergeCell ref="E2:F2"/>
  </mergeCells>
  <pageMargins left="0.75" right="0.75" top="1" bottom="1" header="0.5" footer="0.5"/>
  <pageSetup scale="5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Confirmation</vt:lpstr>
      <vt:lpstr>10-10</vt:lpstr>
      <vt:lpstr>10-7,8,9</vt:lpstr>
      <vt:lpstr>10-6</vt:lpstr>
      <vt:lpstr>10-5</vt:lpstr>
      <vt:lpstr>10-4</vt:lpstr>
      <vt:lpstr>10-3</vt:lpstr>
      <vt:lpstr>10-1,2</vt:lpstr>
      <vt:lpstr>'10-4'!Print_Area</vt:lpstr>
    </vt:vector>
  </TitlesOfParts>
  <Company>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Jan Havlíček</cp:lastModifiedBy>
  <cp:lastPrinted>2000-10-09T15:18:04Z</cp:lastPrinted>
  <dcterms:created xsi:type="dcterms:W3CDTF">2000-09-28T13:09:50Z</dcterms:created>
  <dcterms:modified xsi:type="dcterms:W3CDTF">2023-09-14T19:32:33Z</dcterms:modified>
</cp:coreProperties>
</file>